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pcl01\public\OFWSHARE\PR19 Modelling\Model runs\DD\Model Run 7 Publishable Models\Cost Assessment\Base Wholesale water\"/>
    </mc:Choice>
  </mc:AlternateContent>
  <bookViews>
    <workbookView xWindow="0" yWindow="0" windowWidth="12000" windowHeight="3360" tabRatio="889"/>
  </bookViews>
  <sheets>
    <sheet name="Cover" sheetId="89" r:id="rId1"/>
    <sheet name="Inputs&gt;&gt;" sheetId="15" r:id="rId2"/>
    <sheet name="Controls" sheetId="66" r:id="rId3"/>
    <sheet name="BP costs" sheetId="83" r:id="rId4"/>
    <sheet name="Forecast drivers" sheetId="67" r:id="rId5"/>
    <sheet name="Coeffs" sheetId="58" r:id="rId6"/>
    <sheet name="Outputs&gt;&gt;" sheetId="28" r:id="rId7"/>
    <sheet name="Modelled costs" sheetId="44" r:id="rId8"/>
    <sheet name="Final allowances" sheetId="84" r:id="rId9"/>
    <sheet name="Financial model inputs" sheetId="85" r:id="rId10"/>
    <sheet name="F_interface" sheetId="54" r:id="rId11"/>
  </sheets>
  <externalReferences>
    <externalReference r:id="rId12"/>
    <externalReference r:id="rId13"/>
    <externalReference r:id="rId14"/>
    <externalReference r:id="rId15"/>
    <externalReference r:id="rId16"/>
    <externalReference r:id="rId17"/>
  </externalReferences>
  <definedNames>
    <definedName name="____net1" localSheetId="2" hidden="1">{"NET",#N/A,FALSE,"401C11"}</definedName>
    <definedName name="____net1" localSheetId="4" hidden="1">{"NET",#N/A,FALSE,"401C11"}</definedName>
    <definedName name="____net1" hidden="1">{"NET",#N/A,FALSE,"401C11"}</definedName>
    <definedName name="__123Graph_A" hidden="1">'[1]2002PCTs'!#REF!</definedName>
    <definedName name="__123Graph_B" hidden="1">[2]Dnurse!#REF!</definedName>
    <definedName name="__123Graph_C" hidden="1">[2]Dnurse!#REF!</definedName>
    <definedName name="__123Graph_X" hidden="1">[3]Aln!#REF!</definedName>
    <definedName name="__net1" localSheetId="2" hidden="1">{"NET",#N/A,FALSE,"401C11"}</definedName>
    <definedName name="__net1" localSheetId="4" hidden="1">{"NET",#N/A,FALSE,"401C11"}</definedName>
    <definedName name="__net1" hidden="1">{"NET",#N/A,FALSE,"401C11"}</definedName>
    <definedName name="_1_0__123Grap" hidden="1">'[4]#REF'!#REF!</definedName>
    <definedName name="_1_123Grap" hidden="1">'[5]#REF'!#REF!</definedName>
    <definedName name="_123Graph_F" hidden="1">'[6]Chelmsford '!$G$18:$G$28</definedName>
    <definedName name="_2_0__123Grap" localSheetId="2" hidden="1">'[5]#REF'!#REF!</definedName>
    <definedName name="_2_0__123Grap" hidden="1">'[5]#REF'!#REF!</definedName>
    <definedName name="_2_123Grap" localSheetId="2" hidden="1">'[2]#REF'!#REF!</definedName>
    <definedName name="_2_123Grap" hidden="1">'[2]#REF'!#REF!</definedName>
    <definedName name="_3_0_S" localSheetId="2" hidden="1">'[4]#REF'!#REF!</definedName>
    <definedName name="_3_0_S" hidden="1">'[4]#REF'!#REF!</definedName>
    <definedName name="_3_123Grap" localSheetId="2" hidden="1">'[5]#REF'!#REF!</definedName>
    <definedName name="_3_123Grap" hidden="1">'[5]#REF'!#REF!</definedName>
    <definedName name="_34_123Grap" hidden="1">'[5]#REF'!#REF!</definedName>
    <definedName name="_42S" hidden="1">'[5]#REF'!#REF!</definedName>
    <definedName name="_4S" hidden="1">'[5]#REF'!#REF!</definedName>
    <definedName name="_5_0__123Grap" hidden="1">'[5]#REF'!#REF!</definedName>
    <definedName name="_6_0_S" hidden="1">'[5]#REF'!#REF!</definedName>
    <definedName name="_6_123Grap" hidden="1">'[2]#REF'!#REF!</definedName>
    <definedName name="_8_123Grap" hidden="1">'[5]#REF'!#REF!</definedName>
    <definedName name="_8S" hidden="1">'[2]#REF'!#REF!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Dist_Values" localSheetId="2" hidden="1">#REF!</definedName>
    <definedName name="_Dist_Values" localSheetId="4" hidden="1">#REF!</definedName>
    <definedName name="_Dist_Values" hidden="1">#REF!</definedName>
    <definedName name="_Fill" localSheetId="2" hidden="1">#REF!</definedName>
    <definedName name="_Fill" localSheetId="4" hidden="1">#REF!</definedName>
    <definedName name="_Fill" hidden="1">#REF!</definedName>
    <definedName name="_xlnm._FilterDatabase" localSheetId="10" hidden="1">F_interface!$A$2:$L$562</definedName>
    <definedName name="_xlnm._FilterDatabase" localSheetId="7" hidden="1">'Modelled costs'!#REF!</definedName>
    <definedName name="_Key1" localSheetId="2" hidden="1">#REF!</definedName>
    <definedName name="_Key1" localSheetId="4" hidden="1">#REF!</definedName>
    <definedName name="_Key1" hidden="1">#REF!</definedName>
    <definedName name="_Key2" localSheetId="2" hidden="1">#REF!</definedName>
    <definedName name="_Key2" localSheetId="4" hidden="1">#REF!</definedName>
    <definedName name="_Key2" hidden="1">#REF!</definedName>
    <definedName name="_net1" localSheetId="2" hidden="1">{"NET",#N/A,FALSE,"401C11"}</definedName>
    <definedName name="_net1" localSheetId="4" hidden="1">{"NET",#N/A,FALSE,"401C11"}</definedName>
    <definedName name="_net1" hidden="1">{"NET",#N/A,FALSE,"401C11"}</definedName>
    <definedName name="_Order1" hidden="1">255</definedName>
    <definedName name="_Order2" hidden="1">255</definedName>
    <definedName name="_Sort" localSheetId="2" hidden="1">#REF!</definedName>
    <definedName name="_Sort" localSheetId="4" hidden="1">#REF!</definedName>
    <definedName name="_Sort" hidden="1">#REF!</definedName>
    <definedName name="a" localSheetId="2" hidden="1">{"CHARGE",#N/A,FALSE,"401C11"}</definedName>
    <definedName name="a" localSheetId="4" hidden="1">{"CHARGE",#N/A,FALSE,"401C11"}</definedName>
    <definedName name="a" hidden="1">{"CHARGE",#N/A,FALSE,"401C11"}</definedName>
    <definedName name="aa" localSheetId="2" hidden="1">{"CHARGE",#N/A,FALSE,"401C11"}</definedName>
    <definedName name="aa" localSheetId="4" hidden="1">{"CHARGE",#N/A,FALSE,"401C11"}</definedName>
    <definedName name="aa" hidden="1">{"CHARGE",#N/A,FALSE,"401C11"}</definedName>
    <definedName name="aaa" localSheetId="2" hidden="1">{"CHARGE",#N/A,FALSE,"401C11"}</definedName>
    <definedName name="aaa" localSheetId="4" hidden="1">{"CHARGE",#N/A,FALSE,"401C11"}</definedName>
    <definedName name="aaa" hidden="1">{"CHARGE",#N/A,FALSE,"401C11"}</definedName>
    <definedName name="aaaa" localSheetId="2" hidden="1">{"CHARGE",#N/A,FALSE,"401C11"}</definedName>
    <definedName name="aaaa" localSheetId="4" hidden="1">{"CHARGE",#N/A,FALSE,"401C11"}</definedName>
    <definedName name="aaaa" hidden="1">{"CHARGE",#N/A,FALSE,"401C11"}</definedName>
    <definedName name="abc" localSheetId="2" hidden="1">{"NET",#N/A,FALSE,"401C11"}</definedName>
    <definedName name="abc" localSheetId="4" hidden="1">{"NET",#N/A,FALSE,"401C11"}</definedName>
    <definedName name="abc" hidden="1">{"NET",#N/A,FALSE,"401C11"}</definedName>
    <definedName name="adbr" localSheetId="2" hidden="1">{"CHARGE",#N/A,FALSE,"401C11"}</definedName>
    <definedName name="adbr" localSheetId="4" hidden="1">{"CHARGE",#N/A,FALSE,"401C11"}</definedName>
    <definedName name="adbr" hidden="1">{"CHARGE",#N/A,FALSE,"401C11"}</definedName>
    <definedName name="b" localSheetId="2" hidden="1">{"CHARGE",#N/A,FALSE,"401C11"}</definedName>
    <definedName name="b" localSheetId="4" hidden="1">{"CHARGE",#N/A,FALSE,"401C11"}</definedName>
    <definedName name="b" hidden="1">{"CHARGE",#N/A,FALSE,"401C11"}</definedName>
    <definedName name="BMGHIndex" hidden="1">"O"</definedName>
    <definedName name="change1" localSheetId="2" hidden="1">{"CHARGE",#N/A,FALSE,"401C11"}</definedName>
    <definedName name="change1" localSheetId="4" hidden="1">{"CHARGE",#N/A,FALSE,"401C11"}</definedName>
    <definedName name="change1" hidden="1">{"CHARGE",#N/A,FALSE,"401C11"}</definedName>
    <definedName name="charge" localSheetId="2" hidden="1">{"CHARGE",#N/A,FALSE,"401C11"}</definedName>
    <definedName name="charge" localSheetId="4" hidden="1">{"CHARGE",#N/A,FALSE,"401C11"}</definedName>
    <definedName name="charge" hidden="1">{"CHARGE",#N/A,FALSE,"401C11"}</definedName>
    <definedName name="da" localSheetId="4" hidden="1">#REF!</definedName>
    <definedName name="da" hidden="1">#REF!</definedName>
    <definedName name="dog" localSheetId="2" hidden="1">{"NET",#N/A,FALSE,"401C11"}</definedName>
    <definedName name="dog" localSheetId="4" hidden="1">{"NET",#N/A,FALSE,"401C11"}</definedName>
    <definedName name="dog" hidden="1">{"NET",#N/A,FALSE,"401C11"}</definedName>
    <definedName name="EV__LASTREFTIME__" hidden="1">40339.4799074074</definedName>
    <definedName name="Expired" hidden="1">FALSE</definedName>
    <definedName name="F" localSheetId="2" hidden="1">{"bal",#N/A,FALSE,"working papers";"income",#N/A,FALSE,"working papers"}</definedName>
    <definedName name="F" localSheetId="4" hidden="1">{"bal",#N/A,FALSE,"working papers";"income",#N/A,FALSE,"working papers"}</definedName>
    <definedName name="F" hidden="1">{"bal",#N/A,FALSE,"working papers";"income",#N/A,FALSE,"working papers"}</definedName>
    <definedName name="fdraf" localSheetId="2" hidden="1">{"bal",#N/A,FALSE,"working papers";"income",#N/A,FALSE,"working papers"}</definedName>
    <definedName name="fdraf" localSheetId="4" hidden="1">{"bal",#N/A,FALSE,"working papers";"income",#N/A,FALSE,"working papers"}</definedName>
    <definedName name="fdraf" hidden="1">{"bal",#N/A,FALSE,"working papers";"income",#N/A,FALSE,"working papers"}</definedName>
    <definedName name="Fdraft" localSheetId="2" hidden="1">{"bal",#N/A,FALSE,"working papers";"income",#N/A,FALSE,"working papers"}</definedName>
    <definedName name="Fdraft" localSheetId="4" hidden="1">{"bal",#N/A,FALSE,"working papers";"income",#N/A,FALSE,"working papers"}</definedName>
    <definedName name="Fdraft" hidden="1">{"bal",#N/A,FALSE,"working papers";"income",#N/A,FALSE,"working papers"}</definedName>
    <definedName name="Foutput" localSheetId="2" hidden="1">#REF!</definedName>
    <definedName name="Foutput" localSheetId="4" hidden="1">#REF!</definedName>
    <definedName name="Foutput" hidden="1">#REF!</definedName>
    <definedName name="fsdfffd" localSheetId="4" hidden="1">#REF!</definedName>
    <definedName name="fsdfffd" hidden="1">#REF!</definedName>
    <definedName name="fsdfsd" localSheetId="4" hidden="1">#REF!</definedName>
    <definedName name="fsdfsd" hidden="1">#REF!</definedName>
    <definedName name="fsfds" localSheetId="4" hidden="1">#REF!</definedName>
    <definedName name="fsfds" hidden="1">#REF!</definedName>
    <definedName name="fsfsd" localSheetId="2" hidden="1">#REF!</definedName>
    <definedName name="fsfsd" localSheetId="4" hidden="1">#REF!</definedName>
    <definedName name="fsfsd" hidden="1">#REF!</definedName>
    <definedName name="gfff" localSheetId="2" hidden="1">{"CHARGE",#N/A,FALSE,"401C11"}</definedName>
    <definedName name="gfff" localSheetId="4" hidden="1">{"CHARGE",#N/A,FALSE,"401C11"}</definedName>
    <definedName name="gfff" hidden="1">{"CHARGE",#N/A,FALSE,"401C11"}</definedName>
    <definedName name="gross" localSheetId="2" hidden="1">{"GROSS",#N/A,FALSE,"401C11"}</definedName>
    <definedName name="gross" localSheetId="4" hidden="1">{"GROSS",#N/A,FALSE,"401C11"}</definedName>
    <definedName name="gross" hidden="1">{"GROSS",#N/A,FALSE,"401C11"}</definedName>
    <definedName name="gross1" localSheetId="2" hidden="1">{"GROSS",#N/A,FALSE,"401C11"}</definedName>
    <definedName name="gross1" localSheetId="4" hidden="1">{"GROSS",#N/A,FALSE,"401C11"}</definedName>
    <definedName name="gross1" hidden="1">{"GROSS",#N/A,FALSE,"401C11"}</definedName>
    <definedName name="hasdfjklhklj" localSheetId="2" hidden="1">{"NET",#N/A,FALSE,"401C11"}</definedName>
    <definedName name="hasdfjklhklj" localSheetId="4" hidden="1">{"NET",#N/A,FALSE,"401C11"}</definedName>
    <definedName name="hasdfjklhklj" hidden="1">{"NET",#N/A,FALSE,"401C11"}</definedName>
    <definedName name="help" localSheetId="2" hidden="1">{"CHARGE",#N/A,FALSE,"401C11"}</definedName>
    <definedName name="help" localSheetId="4" hidden="1">{"CHARGE",#N/A,FALSE,"401C11"}</definedName>
    <definedName name="help" hidden="1">{"CHARGE",#N/A,FALSE,"401C11"}</definedName>
    <definedName name="hghghhj" localSheetId="2" hidden="1">{"CHARGE",#N/A,FALSE,"401C11"}</definedName>
    <definedName name="hghghhj" localSheetId="4" hidden="1">{"CHARGE",#N/A,FALSE,"401C11"}</definedName>
    <definedName name="hghghhj" hidden="1">{"CHARGE",#N/A,FALSE,"401C11"}</definedName>
    <definedName name="HTML_CodePage" hidden="1">1252</definedName>
    <definedName name="HTML_Control" localSheetId="2" hidden="1">{"'Trust by name'!$A$6:$E$350","'Trust by name'!$A$1:$D$348"}</definedName>
    <definedName name="HTML_Control" localSheetId="4"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FELL" localSheetId="2" hidden="1">#REF!</definedName>
    <definedName name="JFELL" localSheetId="4" hidden="1">#REF!</definedName>
    <definedName name="JFELL" hidden="1">#REF!</definedName>
    <definedName name="New" localSheetId="4" hidden="1">#REF!</definedName>
    <definedName name="New" hidden="1">#REF!</definedName>
    <definedName name="OISIII" localSheetId="2" hidden="1">#REF!</definedName>
    <definedName name="OISIII" localSheetId="4" hidden="1">#REF!</definedName>
    <definedName name="OISIII" hidden="1">#REF!</definedName>
    <definedName name="qfx" localSheetId="2" hidden="1">{"NET",#N/A,FALSE,"401C11"}</definedName>
    <definedName name="qfx" localSheetId="4" hidden="1">{"NET",#N/A,FALSE,"401C11"}</definedName>
    <definedName name="qfx" hidden="1">{"NET",#N/A,FALSE,"401C11"}</definedName>
    <definedName name="real" localSheetId="4" hidden="1">#REF!</definedName>
    <definedName name="real" hidden="1">#REF!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rytry" localSheetId="2" hidden="1">{"NET",#N/A,FALSE,"401C11"}</definedName>
    <definedName name="rytry" localSheetId="4" hidden="1">{"NET",#N/A,FALSE,"401C11"}</definedName>
    <definedName name="rytry" hidden="1">{"NET",#N/A,FALSE,"401C11"}</definedName>
    <definedName name="SAPBEXrevision" hidden="1">1</definedName>
    <definedName name="SAPBEXsysID" hidden="1">"BWB"</definedName>
    <definedName name="SAPBEXwbID" hidden="1">"49ZLUKBQR0WG29D9LLI3IBIIT"</definedName>
    <definedName name="sort" localSheetId="4" hidden="1">#REF!</definedName>
    <definedName name="sort" hidden="1">#REF!</definedName>
    <definedName name="Table3.4" localSheetId="2" hidden="1">{"CHARGE",#N/A,FALSE,"401C11"}</definedName>
    <definedName name="Table3.4" localSheetId="4" hidden="1">{"CHARGE",#N/A,FALSE,"401C11"}</definedName>
    <definedName name="Table3.4" hidden="1">{"CHARGE",#N/A,FALSE,"401C11"}</definedName>
    <definedName name="Test23" localSheetId="2" hidden="1">{"NET",#N/A,FALSE,"401C11"}</definedName>
    <definedName name="Test23" localSheetId="4" hidden="1">{"NET",#N/A,FALSE,"401C11"}</definedName>
    <definedName name="Test23" hidden="1">{"NET",#N/A,FALSE,"401C11"}</definedName>
    <definedName name="wert" localSheetId="2" hidden="1">{"GROSS",#N/A,FALSE,"401C11"}</definedName>
    <definedName name="wert" localSheetId="4" hidden="1">{"GROSS",#N/A,FALSE,"401C11"}</definedName>
    <definedName name="wert" hidden="1">{"GROSS",#N/A,FALSE,"401C11"}</definedName>
    <definedName name="wombat" localSheetId="2" hidden="1">#REF!</definedName>
    <definedName name="wombat" localSheetId="4" hidden="1">#REF!</definedName>
    <definedName name="wombat" hidden="1">#REF!</definedName>
    <definedName name="wotsthis" localSheetId="2" hidden="1">{"P&amp;L phased",#N/A,FALSE,"P and L";"Interest phased",#N/A,FALSE,"Interest";"Cshf phased",#N/A,FALSE,"Cashflow";"BSheet phased",#N/A,FALSE,"B Sheet";"Capex phased",#N/A,FALSE,"Capex"}</definedName>
    <definedName name="wotsthis" localSheetId="4"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n.CHARGE." localSheetId="2" hidden="1">{"CHARGE",#N/A,FALSE,"401C11"}</definedName>
    <definedName name="wrn.CHARGE." localSheetId="4" hidden="1">{"CHARGE",#N/A,FALSE,"401C11"}</definedName>
    <definedName name="wrn.CHARGE." hidden="1">{"CHARGE",#N/A,FALSE,"401C11"}</definedName>
    <definedName name="wrn.GROSS." localSheetId="2" hidden="1">{"GROSS",#N/A,FALSE,"401C11"}</definedName>
    <definedName name="wrn.GROSS." localSheetId="4" hidden="1">{"GROSS",#N/A,FALSE,"401C11"}</definedName>
    <definedName name="wrn.GROSS." hidden="1">{"GROSS",#N/A,FALSE,"401C11"}</definedName>
    <definedName name="wrn.NET." localSheetId="2" hidden="1">{"NET",#N/A,FALSE,"401C11"}</definedName>
    <definedName name="wrn.NET." localSheetId="4" hidden="1">{"NET",#N/A,FALSE,"401C11"}</definedName>
    <definedName name="wrn.NET." hidden="1">{"NET",#N/A,FALSE,"401C11"}</definedName>
    <definedName name="wrn.papersdraft" localSheetId="2" hidden="1">{"bal",#N/A,FALSE,"working papers";"income",#N/A,FALSE,"working papers"}</definedName>
    <definedName name="wrn.papersdraft" localSheetId="4" hidden="1">{"bal",#N/A,FALSE,"working papers";"income",#N/A,FALSE,"working papers"}</definedName>
    <definedName name="wrn.papersdraft" hidden="1">{"bal",#N/A,FALSE,"working papers";"income",#N/A,FALSE,"working papers"}</definedName>
    <definedName name="wrn.Print._.5._.and._.12." localSheetId="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localSheetId="4"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2" hidden="1">{"P&amp;L phased",#N/A,FALSE,"P and L";"Interest phased",#N/A,FALSE,"Interest";"Cshf phased",#N/A,FALSE,"Cashflow";"BSheet phased",#N/A,FALSE,"B Sheet";"Capex phased",#N/A,FALSE,"Capex"}</definedName>
    <definedName name="wrn.Print._.Phased." localSheetId="4"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2" hidden="1">{"bal",#N/A,FALSE,"working papers";"income",#N/A,FALSE,"working papers"}</definedName>
    <definedName name="wrn.wpapers." localSheetId="4" hidden="1">{"bal",#N/A,FALSE,"working papers";"income",#N/A,FALSE,"working papers"}</definedName>
    <definedName name="wrn.wpapers." hidden="1">{"bal",#N/A,FALSE,"working papers";"income",#N/A,FALSE,"working papers"}</definedName>
    <definedName name="xxx" localSheetId="2" hidden="1">{"CHARGE",#N/A,FALSE,"401C11"}</definedName>
    <definedName name="xxx" localSheetId="4" hidden="1">{"CHARGE",#N/A,FALSE,"401C11"}</definedName>
    <definedName name="xxx" hidden="1">{"CHARGE",#N/A,FALSE,"401C11"}</definedName>
    <definedName name="yyy" localSheetId="2" hidden="1">{"GROSS",#N/A,FALSE,"401C11"}</definedName>
    <definedName name="yyy" localSheetId="4" hidden="1">{"GROSS",#N/A,FALSE,"401C11"}</definedName>
    <definedName name="yyy" hidden="1">{"GROSS",#N/A,FALSE,"401C11"}</definedName>
    <definedName name="zzz" localSheetId="2" hidden="1">{"NET",#N/A,FALSE,"401C11"}</definedName>
    <definedName name="zzz" localSheetId="4" hidden="1">{"NET",#N/A,FALSE,"401C11"}</definedName>
    <definedName name="zzz" hidden="1">{"NET",#N/A,FALSE,"401C11"}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89" i="84" l="1"/>
  <c r="L89" i="84"/>
  <c r="J89" i="84"/>
  <c r="I89" i="84"/>
  <c r="G89" i="84"/>
  <c r="F89" i="84"/>
  <c r="D89" i="84"/>
  <c r="C89" i="84"/>
  <c r="C96" i="67" l="1"/>
  <c r="C97" i="67"/>
  <c r="C98" i="67"/>
  <c r="C99" i="67"/>
  <c r="C100" i="67"/>
  <c r="C101" i="67"/>
  <c r="C102" i="67"/>
  <c r="C103" i="67"/>
  <c r="C104" i="67"/>
  <c r="C105" i="67"/>
  <c r="D30" i="84" l="1"/>
  <c r="C30" i="84"/>
  <c r="D33" i="84"/>
  <c r="C37" i="84"/>
  <c r="D38" i="84"/>
  <c r="C31" i="84"/>
  <c r="D32" i="84"/>
  <c r="D45" i="84"/>
  <c r="C41" i="84"/>
  <c r="D42" i="84"/>
  <c r="C32" i="84"/>
  <c r="C45" i="84"/>
  <c r="D29" i="84"/>
  <c r="C33" i="84"/>
  <c r="D35" i="84"/>
  <c r="C38" i="84"/>
  <c r="D39" i="84"/>
  <c r="C42" i="84"/>
  <c r="D43" i="84"/>
  <c r="D34" i="84"/>
  <c r="C29" i="84"/>
  <c r="D31" i="84"/>
  <c r="C35" i="84"/>
  <c r="D36" i="84"/>
  <c r="C39" i="84"/>
  <c r="D40" i="84"/>
  <c r="C43" i="84"/>
  <c r="D44" i="84"/>
  <c r="C34" i="84"/>
  <c r="C36" i="84"/>
  <c r="D37" i="84"/>
  <c r="C40" i="84"/>
  <c r="D41" i="84"/>
  <c r="C44" i="84"/>
  <c r="N72" i="84" l="1"/>
  <c r="N86" i="84" l="1"/>
  <c r="N82" i="84"/>
  <c r="N78" i="84"/>
  <c r="N74" i="84"/>
  <c r="N87" i="84"/>
  <c r="N83" i="84"/>
  <c r="N79" i="84"/>
  <c r="N75" i="84"/>
  <c r="N85" i="84"/>
  <c r="N81" i="84"/>
  <c r="N77" i="84"/>
  <c r="N73" i="84"/>
  <c r="N84" i="84"/>
  <c r="N80" i="84"/>
  <c r="N76" i="84"/>
  <c r="N88" i="84"/>
  <c r="I509" i="54"/>
  <c r="J509" i="54"/>
  <c r="K509" i="54"/>
  <c r="L509" i="54"/>
  <c r="I510" i="54"/>
  <c r="J510" i="54"/>
  <c r="K510" i="54"/>
  <c r="L510" i="54"/>
  <c r="I511" i="54"/>
  <c r="J511" i="54"/>
  <c r="K511" i="54"/>
  <c r="L511" i="54"/>
  <c r="I512" i="54"/>
  <c r="J512" i="54"/>
  <c r="K512" i="54"/>
  <c r="L512" i="54"/>
  <c r="H509" i="54"/>
  <c r="H512" i="54"/>
  <c r="H511" i="54"/>
  <c r="H510" i="54"/>
  <c r="C522" i="54"/>
  <c r="C521" i="54"/>
  <c r="C520" i="54"/>
  <c r="C519" i="54"/>
  <c r="C518" i="54"/>
  <c r="C517" i="54"/>
  <c r="C516" i="54"/>
  <c r="C515" i="54"/>
  <c r="C514" i="54"/>
  <c r="C513" i="54"/>
  <c r="C512" i="54"/>
  <c r="C511" i="54"/>
  <c r="C510" i="54"/>
  <c r="C509" i="54"/>
  <c r="I487" i="54"/>
  <c r="J487" i="54"/>
  <c r="K487" i="54"/>
  <c r="L487" i="54"/>
  <c r="I488" i="54"/>
  <c r="J488" i="54"/>
  <c r="K488" i="54"/>
  <c r="L488" i="54"/>
  <c r="H488" i="54"/>
  <c r="H487" i="54"/>
  <c r="C508" i="54"/>
  <c r="C507" i="54"/>
  <c r="C506" i="54"/>
  <c r="C505" i="54"/>
  <c r="C504" i="54"/>
  <c r="C503" i="54"/>
  <c r="C502" i="54"/>
  <c r="C501" i="54"/>
  <c r="C500" i="54"/>
  <c r="C499" i="54"/>
  <c r="C498" i="54"/>
  <c r="C497" i="54"/>
  <c r="C496" i="54"/>
  <c r="C495" i="54"/>
  <c r="C494" i="54"/>
  <c r="C493" i="54"/>
  <c r="C492" i="54"/>
  <c r="C491" i="54"/>
  <c r="C490" i="54"/>
  <c r="C489" i="54"/>
  <c r="C488" i="54"/>
  <c r="C487" i="54"/>
  <c r="C486" i="54"/>
  <c r="C485" i="54"/>
  <c r="C484" i="54"/>
  <c r="C483" i="54"/>
  <c r="H447" i="54"/>
  <c r="I447" i="54"/>
  <c r="J447" i="54"/>
  <c r="K447" i="54"/>
  <c r="L447" i="54"/>
  <c r="H448" i="54"/>
  <c r="I448" i="54"/>
  <c r="J448" i="54"/>
  <c r="K448" i="54"/>
  <c r="L448" i="54"/>
  <c r="H469" i="54"/>
  <c r="I469" i="54"/>
  <c r="J469" i="54"/>
  <c r="K469" i="54"/>
  <c r="L469" i="54"/>
  <c r="H470" i="54"/>
  <c r="I470" i="54"/>
  <c r="J470" i="54"/>
  <c r="K470" i="54"/>
  <c r="L470" i="54"/>
  <c r="H471" i="54"/>
  <c r="I471" i="54"/>
  <c r="J471" i="54"/>
  <c r="K471" i="54"/>
  <c r="L471" i="54"/>
  <c r="H472" i="54"/>
  <c r="I472" i="54"/>
  <c r="J472" i="54"/>
  <c r="K472" i="54"/>
  <c r="L472" i="54"/>
  <c r="C482" i="54"/>
  <c r="C481" i="54"/>
  <c r="C480" i="54"/>
  <c r="C479" i="54"/>
  <c r="C478" i="54"/>
  <c r="C477" i="54"/>
  <c r="C476" i="54"/>
  <c r="C475" i="54"/>
  <c r="C474" i="54"/>
  <c r="C473" i="54"/>
  <c r="C472" i="54"/>
  <c r="C471" i="54"/>
  <c r="C470" i="54"/>
  <c r="C469" i="54"/>
  <c r="C468" i="54"/>
  <c r="C467" i="54"/>
  <c r="C466" i="54"/>
  <c r="C465" i="54"/>
  <c r="C464" i="54"/>
  <c r="C463" i="54"/>
  <c r="C462" i="54"/>
  <c r="C461" i="54"/>
  <c r="C460" i="54"/>
  <c r="C459" i="54"/>
  <c r="C458" i="54"/>
  <c r="C457" i="54"/>
  <c r="C456" i="54"/>
  <c r="C455" i="54"/>
  <c r="C454" i="54"/>
  <c r="C453" i="54"/>
  <c r="C452" i="54"/>
  <c r="C451" i="54"/>
  <c r="C450" i="54"/>
  <c r="C449" i="54"/>
  <c r="C448" i="54"/>
  <c r="C447" i="54"/>
  <c r="C446" i="54"/>
  <c r="C445" i="54"/>
  <c r="L438" i="54"/>
  <c r="K438" i="54"/>
  <c r="J438" i="54"/>
  <c r="I438" i="54"/>
  <c r="H438" i="54"/>
  <c r="L430" i="54"/>
  <c r="K430" i="54"/>
  <c r="J430" i="54"/>
  <c r="I430" i="54"/>
  <c r="H430" i="54"/>
  <c r="L429" i="54"/>
  <c r="K429" i="54"/>
  <c r="J429" i="54"/>
  <c r="I429" i="54"/>
  <c r="H429" i="54"/>
  <c r="L418" i="54"/>
  <c r="K418" i="54"/>
  <c r="J418" i="54"/>
  <c r="I418" i="54"/>
  <c r="H418" i="54"/>
  <c r="L410" i="54"/>
  <c r="K410" i="54"/>
  <c r="J410" i="54"/>
  <c r="I410" i="54"/>
  <c r="H410" i="54"/>
  <c r="L409" i="54"/>
  <c r="K409" i="54"/>
  <c r="J409" i="54"/>
  <c r="I409" i="54"/>
  <c r="H409" i="54"/>
  <c r="L398" i="54"/>
  <c r="K398" i="54"/>
  <c r="J398" i="54"/>
  <c r="I398" i="54"/>
  <c r="H398" i="54"/>
  <c r="L390" i="54"/>
  <c r="K390" i="54"/>
  <c r="J390" i="54"/>
  <c r="I390" i="54"/>
  <c r="H390" i="54"/>
  <c r="L389" i="54"/>
  <c r="K389" i="54"/>
  <c r="J389" i="54"/>
  <c r="I389" i="54"/>
  <c r="H389" i="54"/>
  <c r="L378" i="54"/>
  <c r="K378" i="54"/>
  <c r="J378" i="54"/>
  <c r="I378" i="54"/>
  <c r="H378" i="54"/>
  <c r="L370" i="54"/>
  <c r="K370" i="54"/>
  <c r="J370" i="54"/>
  <c r="I370" i="54"/>
  <c r="H370" i="54"/>
  <c r="L369" i="54"/>
  <c r="K369" i="54"/>
  <c r="J369" i="54"/>
  <c r="I369" i="54"/>
  <c r="H369" i="54"/>
  <c r="L358" i="54"/>
  <c r="K358" i="54"/>
  <c r="J358" i="54"/>
  <c r="I358" i="54"/>
  <c r="H358" i="54"/>
  <c r="L350" i="54"/>
  <c r="K350" i="54"/>
  <c r="J350" i="54"/>
  <c r="I350" i="54"/>
  <c r="H350" i="54"/>
  <c r="L349" i="54"/>
  <c r="K349" i="54"/>
  <c r="J349" i="54"/>
  <c r="I349" i="54"/>
  <c r="H349" i="54"/>
  <c r="L338" i="54"/>
  <c r="K338" i="54"/>
  <c r="J338" i="54"/>
  <c r="I338" i="54"/>
  <c r="H338" i="54"/>
  <c r="L330" i="54"/>
  <c r="K330" i="54"/>
  <c r="J330" i="54"/>
  <c r="I330" i="54"/>
  <c r="H330" i="54"/>
  <c r="L329" i="54"/>
  <c r="K329" i="54"/>
  <c r="J329" i="54"/>
  <c r="I329" i="54"/>
  <c r="H329" i="54"/>
  <c r="L318" i="54"/>
  <c r="K318" i="54"/>
  <c r="J318" i="54"/>
  <c r="I318" i="54"/>
  <c r="H318" i="54"/>
  <c r="L310" i="54"/>
  <c r="K310" i="54"/>
  <c r="J310" i="54"/>
  <c r="I310" i="54"/>
  <c r="H310" i="54"/>
  <c r="L309" i="54"/>
  <c r="K309" i="54"/>
  <c r="J309" i="54"/>
  <c r="I309" i="54"/>
  <c r="H309" i="54"/>
  <c r="L298" i="54"/>
  <c r="K298" i="54"/>
  <c r="J298" i="54"/>
  <c r="I298" i="54"/>
  <c r="H298" i="54"/>
  <c r="L290" i="54"/>
  <c r="K290" i="54"/>
  <c r="J290" i="54"/>
  <c r="I290" i="54"/>
  <c r="H290" i="54"/>
  <c r="L289" i="54"/>
  <c r="K289" i="54"/>
  <c r="J289" i="54"/>
  <c r="I289" i="54"/>
  <c r="H289" i="54"/>
  <c r="C443" i="54"/>
  <c r="C444" i="54"/>
  <c r="N89" i="84" l="1"/>
  <c r="G13" i="66"/>
  <c r="F16" i="66"/>
  <c r="F15" i="66"/>
  <c r="F14" i="66"/>
  <c r="F13" i="66"/>
  <c r="F12" i="66"/>
  <c r="G16" i="66" s="1"/>
  <c r="G14" i="66" l="1"/>
  <c r="G15" i="66"/>
  <c r="G12" i="66"/>
  <c r="AE14" i="85" l="1"/>
  <c r="AE18" i="85"/>
  <c r="AE22" i="85"/>
  <c r="AE26" i="85"/>
  <c r="AE30" i="85"/>
  <c r="AE34" i="85"/>
  <c r="AE38" i="85"/>
  <c r="AE42" i="85"/>
  <c r="AE46" i="85"/>
  <c r="AE50" i="85"/>
  <c r="AE54" i="85"/>
  <c r="AE58" i="85"/>
  <c r="AE62" i="85"/>
  <c r="AE66" i="85"/>
  <c r="AE70" i="85"/>
  <c r="AE74" i="85"/>
  <c r="AE78" i="85"/>
  <c r="AE82" i="85"/>
  <c r="AE86" i="85"/>
  <c r="AF78" i="85"/>
  <c r="AF82" i="85"/>
  <c r="AF86" i="85"/>
  <c r="AE32" i="85"/>
  <c r="AE36" i="85"/>
  <c r="AE40" i="85"/>
  <c r="AE44" i="85"/>
  <c r="AE48" i="85"/>
  <c r="AE52" i="85"/>
  <c r="AE56" i="85"/>
  <c r="AE60" i="85"/>
  <c r="AE64" i="85"/>
  <c r="AE68" i="85"/>
  <c r="AE72" i="85"/>
  <c r="AE76" i="85"/>
  <c r="AE80" i="85"/>
  <c r="AE84" i="85"/>
  <c r="AE88" i="85"/>
  <c r="AE8" i="85"/>
  <c r="AE12" i="85"/>
  <c r="AE16" i="85"/>
  <c r="AE20" i="85"/>
  <c r="AE24" i="85"/>
  <c r="AE28" i="85"/>
  <c r="AE7" i="85"/>
  <c r="AE11" i="85"/>
  <c r="AE15" i="85"/>
  <c r="AE19" i="85"/>
  <c r="AE23" i="85"/>
  <c r="AE27" i="85"/>
  <c r="AE31" i="85"/>
  <c r="AE35" i="85"/>
  <c r="AE39" i="85"/>
  <c r="AE43" i="85"/>
  <c r="AE47" i="85"/>
  <c r="AE51" i="85"/>
  <c r="AE55" i="85"/>
  <c r="AE59" i="85"/>
  <c r="AE63" i="85"/>
  <c r="AE67" i="85"/>
  <c r="AE71" i="85"/>
  <c r="AE75" i="85"/>
  <c r="AE79" i="85"/>
  <c r="AE83" i="85"/>
  <c r="AE87" i="85"/>
  <c r="AF6" i="85"/>
  <c r="AF10" i="85"/>
  <c r="AF14" i="85"/>
  <c r="AF18" i="85"/>
  <c r="AF22" i="85"/>
  <c r="AF26" i="85"/>
  <c r="AF30" i="85"/>
  <c r="AF34" i="85"/>
  <c r="AF38" i="85"/>
  <c r="AF42" i="85"/>
  <c r="AF46" i="85"/>
  <c r="AF50" i="85"/>
  <c r="AF54" i="85"/>
  <c r="AF58" i="85"/>
  <c r="AF62" i="85"/>
  <c r="AF66" i="85"/>
  <c r="AF70" i="85"/>
  <c r="AF74" i="85"/>
  <c r="AF7" i="85"/>
  <c r="AF11" i="85"/>
  <c r="AF15" i="85"/>
  <c r="AF19" i="85"/>
  <c r="AF23" i="85"/>
  <c r="AF27" i="85"/>
  <c r="AF31" i="85"/>
  <c r="AF35" i="85"/>
  <c r="AF39" i="85"/>
  <c r="AF43" i="85"/>
  <c r="AF47" i="85"/>
  <c r="AF51" i="85"/>
  <c r="AF55" i="85"/>
  <c r="AF59" i="85"/>
  <c r="AF63" i="85"/>
  <c r="AF67" i="85"/>
  <c r="AF71" i="85"/>
  <c r="AF75" i="85"/>
  <c r="AF79" i="85"/>
  <c r="AF83" i="85"/>
  <c r="AF87" i="85"/>
  <c r="AE5" i="85"/>
  <c r="AE9" i="85"/>
  <c r="AE13" i="85"/>
  <c r="AE17" i="85"/>
  <c r="AE21" i="85"/>
  <c r="AE25" i="85"/>
  <c r="AE29" i="85"/>
  <c r="AE33" i="85"/>
  <c r="AE37" i="85"/>
  <c r="AE41" i="85"/>
  <c r="AE45" i="85"/>
  <c r="AE49" i="85"/>
  <c r="AE53" i="85"/>
  <c r="AE57" i="85"/>
  <c r="AE61" i="85"/>
  <c r="AE65" i="85"/>
  <c r="AE69" i="85"/>
  <c r="AE73" i="85"/>
  <c r="AE77" i="85"/>
  <c r="AE81" i="85"/>
  <c r="AE85" i="85"/>
  <c r="AE89" i="85"/>
  <c r="AF8" i="85"/>
  <c r="AF12" i="85"/>
  <c r="AF16" i="85"/>
  <c r="AF20" i="85"/>
  <c r="AF24" i="85"/>
  <c r="AF28" i="85"/>
  <c r="AF32" i="85"/>
  <c r="AF36" i="85"/>
  <c r="AF40" i="85"/>
  <c r="AF44" i="85"/>
  <c r="AF48" i="85"/>
  <c r="AF52" i="85"/>
  <c r="AF56" i="85"/>
  <c r="AF60" i="85"/>
  <c r="AF64" i="85"/>
  <c r="AF68" i="85"/>
  <c r="AF72" i="85"/>
  <c r="AF76" i="85"/>
  <c r="AF80" i="85"/>
  <c r="AF84" i="85"/>
  <c r="AF88" i="85"/>
  <c r="AE6" i="85"/>
  <c r="AE10" i="85"/>
  <c r="AF5" i="85"/>
  <c r="AF9" i="85"/>
  <c r="AF13" i="85"/>
  <c r="AF17" i="85"/>
  <c r="AF21" i="85"/>
  <c r="AF25" i="85"/>
  <c r="AF29" i="85"/>
  <c r="AF33" i="85"/>
  <c r="AF37" i="85"/>
  <c r="AF41" i="85"/>
  <c r="AF45" i="85"/>
  <c r="AF49" i="85"/>
  <c r="AF53" i="85"/>
  <c r="AF57" i="85"/>
  <c r="AF61" i="85"/>
  <c r="AF65" i="85"/>
  <c r="AF69" i="85"/>
  <c r="AF73" i="85"/>
  <c r="AF77" i="85"/>
  <c r="AF81" i="85"/>
  <c r="AF85" i="85"/>
  <c r="AF89" i="85"/>
  <c r="L442" i="54"/>
  <c r="K442" i="54"/>
  <c r="J442" i="54"/>
  <c r="I442" i="54"/>
  <c r="H442" i="54"/>
  <c r="L441" i="54"/>
  <c r="K441" i="54"/>
  <c r="J441" i="54"/>
  <c r="I441" i="54"/>
  <c r="H441" i="54"/>
  <c r="L440" i="54"/>
  <c r="K440" i="54"/>
  <c r="J440" i="54"/>
  <c r="I440" i="54"/>
  <c r="H440" i="54"/>
  <c r="L439" i="54"/>
  <c r="K439" i="54"/>
  <c r="J439" i="54"/>
  <c r="I439" i="54"/>
  <c r="H439" i="54"/>
  <c r="L437" i="54"/>
  <c r="K437" i="54"/>
  <c r="J437" i="54"/>
  <c r="I437" i="54"/>
  <c r="H437" i="54"/>
  <c r="L436" i="54"/>
  <c r="K436" i="54"/>
  <c r="J436" i="54"/>
  <c r="I436" i="54"/>
  <c r="H436" i="54"/>
  <c r="L424" i="54"/>
  <c r="K424" i="54"/>
  <c r="J424" i="54"/>
  <c r="I424" i="54"/>
  <c r="H424" i="54"/>
  <c r="L428" i="54"/>
  <c r="K428" i="54"/>
  <c r="J428" i="54"/>
  <c r="I428" i="54"/>
  <c r="H428" i="54"/>
  <c r="L435" i="54"/>
  <c r="K435" i="54"/>
  <c r="J435" i="54"/>
  <c r="I435" i="54"/>
  <c r="H435" i="54"/>
  <c r="L434" i="54"/>
  <c r="K434" i="54"/>
  <c r="J434" i="54"/>
  <c r="I434" i="54"/>
  <c r="H434" i="54"/>
  <c r="L433" i="54"/>
  <c r="K433" i="54"/>
  <c r="J433" i="54"/>
  <c r="I433" i="54"/>
  <c r="H433" i="54"/>
  <c r="L432" i="54"/>
  <c r="K432" i="54"/>
  <c r="J432" i="54"/>
  <c r="I432" i="54"/>
  <c r="H432" i="54"/>
  <c r="L431" i="54"/>
  <c r="K431" i="54"/>
  <c r="J431" i="54"/>
  <c r="I431" i="54"/>
  <c r="H431" i="54"/>
  <c r="L427" i="54"/>
  <c r="K427" i="54"/>
  <c r="J427" i="54"/>
  <c r="I427" i="54"/>
  <c r="H427" i="54"/>
  <c r="L426" i="54"/>
  <c r="K426" i="54"/>
  <c r="J426" i="54"/>
  <c r="I426" i="54"/>
  <c r="H426" i="54"/>
  <c r="L425" i="54"/>
  <c r="K425" i="54"/>
  <c r="J425" i="54"/>
  <c r="I425" i="54"/>
  <c r="H425" i="54"/>
  <c r="L423" i="54"/>
  <c r="K423" i="54"/>
  <c r="J423" i="54"/>
  <c r="I423" i="54"/>
  <c r="H423" i="54"/>
  <c r="L422" i="54"/>
  <c r="K422" i="54"/>
  <c r="J422" i="54"/>
  <c r="I422" i="54"/>
  <c r="H422" i="54"/>
  <c r="L421" i="54"/>
  <c r="K421" i="54"/>
  <c r="J421" i="54"/>
  <c r="I421" i="54"/>
  <c r="H421" i="54"/>
  <c r="L420" i="54"/>
  <c r="K420" i="54"/>
  <c r="J420" i="54"/>
  <c r="I420" i="54"/>
  <c r="H420" i="54"/>
  <c r="L419" i="54"/>
  <c r="K419" i="54"/>
  <c r="J419" i="54"/>
  <c r="I419" i="54"/>
  <c r="H419" i="54"/>
  <c r="L417" i="54"/>
  <c r="K417" i="54"/>
  <c r="J417" i="54"/>
  <c r="I417" i="54"/>
  <c r="H417" i="54"/>
  <c r="L416" i="54"/>
  <c r="K416" i="54"/>
  <c r="J416" i="54"/>
  <c r="I416" i="54"/>
  <c r="H416" i="54"/>
  <c r="L404" i="54"/>
  <c r="K404" i="54"/>
  <c r="J404" i="54"/>
  <c r="I404" i="54"/>
  <c r="H404" i="54"/>
  <c r="L408" i="54"/>
  <c r="K408" i="54"/>
  <c r="J408" i="54"/>
  <c r="I408" i="54"/>
  <c r="H408" i="54"/>
  <c r="L415" i="54"/>
  <c r="K415" i="54"/>
  <c r="J415" i="54"/>
  <c r="I415" i="54"/>
  <c r="H415" i="54"/>
  <c r="L414" i="54"/>
  <c r="K414" i="54"/>
  <c r="J414" i="54"/>
  <c r="I414" i="54"/>
  <c r="H414" i="54"/>
  <c r="L413" i="54"/>
  <c r="K413" i="54"/>
  <c r="J413" i="54"/>
  <c r="I413" i="54"/>
  <c r="H413" i="54"/>
  <c r="L412" i="54"/>
  <c r="K412" i="54"/>
  <c r="J412" i="54"/>
  <c r="I412" i="54"/>
  <c r="H412" i="54"/>
  <c r="L411" i="54"/>
  <c r="K411" i="54"/>
  <c r="J411" i="54"/>
  <c r="I411" i="54"/>
  <c r="H411" i="54"/>
  <c r="L407" i="54"/>
  <c r="K407" i="54"/>
  <c r="J407" i="54"/>
  <c r="I407" i="54"/>
  <c r="H407" i="54"/>
  <c r="L406" i="54"/>
  <c r="K406" i="54"/>
  <c r="J406" i="54"/>
  <c r="I406" i="54"/>
  <c r="H406" i="54"/>
  <c r="L405" i="54"/>
  <c r="K405" i="54"/>
  <c r="J405" i="54"/>
  <c r="I405" i="54"/>
  <c r="H405" i="54"/>
  <c r="L403" i="54"/>
  <c r="K403" i="54"/>
  <c r="J403" i="54"/>
  <c r="I403" i="54"/>
  <c r="H403" i="54"/>
  <c r="Y89" i="85" l="1"/>
  <c r="Y88" i="85"/>
  <c r="Y87" i="85"/>
  <c r="Y86" i="85"/>
  <c r="Y85" i="85"/>
  <c r="Y84" i="85"/>
  <c r="Y83" i="85"/>
  <c r="Y82" i="85"/>
  <c r="Y81" i="85"/>
  <c r="Y80" i="85"/>
  <c r="Y79" i="85"/>
  <c r="Y78" i="85"/>
  <c r="Y77" i="85"/>
  <c r="Y76" i="85"/>
  <c r="Y75" i="85"/>
  <c r="Y74" i="85"/>
  <c r="Y73" i="85"/>
  <c r="Y72" i="85"/>
  <c r="Y71" i="85"/>
  <c r="Y70" i="85"/>
  <c r="Y69" i="85"/>
  <c r="Y68" i="85"/>
  <c r="Y67" i="85"/>
  <c r="Y66" i="85"/>
  <c r="Y65" i="85"/>
  <c r="Y64" i="85"/>
  <c r="Y63" i="85"/>
  <c r="Y62" i="85"/>
  <c r="Y61" i="85"/>
  <c r="Y60" i="85"/>
  <c r="Y59" i="85"/>
  <c r="Y58" i="85"/>
  <c r="Y57" i="85"/>
  <c r="Y56" i="85"/>
  <c r="Y55" i="85"/>
  <c r="Y54" i="85"/>
  <c r="Y53" i="85"/>
  <c r="Y52" i="85"/>
  <c r="Y51" i="85"/>
  <c r="Y50" i="85"/>
  <c r="Y49" i="85"/>
  <c r="Y48" i="85"/>
  <c r="Y47" i="85"/>
  <c r="Y46" i="85"/>
  <c r="Y45" i="85"/>
  <c r="Y44" i="85"/>
  <c r="Y43" i="85"/>
  <c r="Y42" i="85"/>
  <c r="Y41" i="85"/>
  <c r="Y40" i="85"/>
  <c r="Y39" i="85"/>
  <c r="Y38" i="85"/>
  <c r="Y37" i="85"/>
  <c r="Y36" i="85"/>
  <c r="Y35" i="85"/>
  <c r="Y34" i="85"/>
  <c r="Y33" i="85"/>
  <c r="Y32" i="85"/>
  <c r="Y31" i="85"/>
  <c r="Y30" i="85"/>
  <c r="Y29" i="85"/>
  <c r="Y28" i="85"/>
  <c r="Y27" i="85"/>
  <c r="Y26" i="85"/>
  <c r="Y25" i="85"/>
  <c r="Y24" i="85"/>
  <c r="Y23" i="85"/>
  <c r="Y22" i="85"/>
  <c r="Y21" i="85"/>
  <c r="Y20" i="85"/>
  <c r="Y19" i="85"/>
  <c r="Y18" i="85"/>
  <c r="Y17" i="85"/>
  <c r="Y16" i="85"/>
  <c r="Y15" i="85"/>
  <c r="Y14" i="85"/>
  <c r="Y13" i="85"/>
  <c r="Y12" i="85"/>
  <c r="Y11" i="85"/>
  <c r="Y10" i="85"/>
  <c r="Y9" i="85"/>
  <c r="Y8" i="85"/>
  <c r="Y7" i="85"/>
  <c r="Y6" i="85"/>
  <c r="Y5" i="85"/>
  <c r="T55" i="85" l="1"/>
  <c r="T39" i="85"/>
  <c r="H74" i="85"/>
  <c r="I61" i="85"/>
  <c r="I45" i="85"/>
  <c r="H40" i="85"/>
  <c r="H24" i="85"/>
  <c r="H18" i="85"/>
  <c r="H39" i="85"/>
  <c r="U74" i="85"/>
  <c r="U58" i="85"/>
  <c r="U26" i="85"/>
  <c r="U10" i="85"/>
  <c r="U45" i="85"/>
  <c r="I85" i="85"/>
  <c r="H75" i="85"/>
  <c r="T80" i="85"/>
  <c r="T64" i="85"/>
  <c r="T48" i="85"/>
  <c r="T16" i="85"/>
  <c r="T67" i="85"/>
  <c r="T51" i="85"/>
  <c r="T35" i="85"/>
  <c r="I72" i="85"/>
  <c r="H60" i="85"/>
  <c r="I49" i="85"/>
  <c r="H44" i="85"/>
  <c r="I33" i="85"/>
  <c r="H28" i="85"/>
  <c r="I17" i="85"/>
  <c r="H12" i="85"/>
  <c r="H54" i="85"/>
  <c r="H38" i="85"/>
  <c r="H22" i="85"/>
  <c r="H59" i="85"/>
  <c r="U84" i="85"/>
  <c r="U20" i="85"/>
  <c r="U86" i="85"/>
  <c r="U70" i="85"/>
  <c r="U54" i="85"/>
  <c r="U38" i="85"/>
  <c r="U22" i="85"/>
  <c r="U6" i="85"/>
  <c r="U59" i="85"/>
  <c r="U66" i="85"/>
  <c r="U88" i="85"/>
  <c r="U72" i="85"/>
  <c r="U56" i="85"/>
  <c r="U24" i="85"/>
  <c r="T33" i="85"/>
  <c r="I84" i="85"/>
  <c r="H79" i="85"/>
  <c r="I68" i="85"/>
  <c r="U8" i="85"/>
  <c r="T76" i="85"/>
  <c r="T60" i="85"/>
  <c r="T44" i="85"/>
  <c r="T28" i="85"/>
  <c r="T12" i="85"/>
  <c r="I81" i="85"/>
  <c r="I65" i="85"/>
  <c r="T47" i="85"/>
  <c r="H77" i="85"/>
  <c r="I66" i="85"/>
  <c r="T78" i="85"/>
  <c r="T62" i="85"/>
  <c r="T30" i="85"/>
  <c r="T14" i="85"/>
  <c r="H64" i="85"/>
  <c r="I53" i="85"/>
  <c r="H48" i="85"/>
  <c r="I37" i="85"/>
  <c r="H32" i="85"/>
  <c r="I21" i="85"/>
  <c r="H16" i="85"/>
  <c r="I62" i="85"/>
  <c r="I46" i="85"/>
  <c r="I30" i="85"/>
  <c r="I19" i="85"/>
  <c r="H10" i="85"/>
  <c r="H58" i="85"/>
  <c r="H26" i="85"/>
  <c r="H15" i="85"/>
  <c r="H7" i="85"/>
  <c r="H51" i="85"/>
  <c r="I35" i="85"/>
  <c r="I56" i="85"/>
  <c r="H13" i="85"/>
  <c r="I34" i="85"/>
  <c r="T42" i="85"/>
  <c r="I70" i="85"/>
  <c r="T11" i="85"/>
  <c r="T75" i="85"/>
  <c r="T40" i="85"/>
  <c r="H67" i="85"/>
  <c r="I88" i="85"/>
  <c r="T61" i="85"/>
  <c r="U43" i="85"/>
  <c r="U68" i="85"/>
  <c r="U29" i="85"/>
  <c r="U7" i="85"/>
  <c r="U50" i="85"/>
  <c r="M12" i="85"/>
  <c r="M11" i="85"/>
  <c r="M13" i="85"/>
  <c r="M14" i="85"/>
  <c r="M10" i="85"/>
  <c r="M48" i="85"/>
  <c r="M49" i="85"/>
  <c r="M47" i="85"/>
  <c r="M45" i="85"/>
  <c r="M46" i="85"/>
  <c r="M16" i="85"/>
  <c r="M19" i="85"/>
  <c r="M15" i="85"/>
  <c r="M18" i="85"/>
  <c r="M17" i="85"/>
  <c r="M64" i="85"/>
  <c r="M60" i="85"/>
  <c r="M63" i="85"/>
  <c r="M61" i="85"/>
  <c r="M62" i="85"/>
  <c r="M24" i="85"/>
  <c r="M20" i="85"/>
  <c r="M23" i="85"/>
  <c r="M21" i="85"/>
  <c r="M22" i="85"/>
  <c r="M68" i="85"/>
  <c r="M65" i="85"/>
  <c r="M67" i="85"/>
  <c r="M66" i="85"/>
  <c r="M69" i="85"/>
  <c r="M88" i="85"/>
  <c r="M87" i="85"/>
  <c r="M85" i="85"/>
  <c r="M86" i="85"/>
  <c r="M89" i="85"/>
  <c r="M28" i="85"/>
  <c r="M25" i="85"/>
  <c r="M27" i="85"/>
  <c r="M26" i="85"/>
  <c r="M29" i="85"/>
  <c r="M76" i="85"/>
  <c r="M77" i="85"/>
  <c r="M79" i="85"/>
  <c r="M75" i="85"/>
  <c r="M78" i="85"/>
  <c r="M32" i="85"/>
  <c r="M31" i="85"/>
  <c r="M33" i="85"/>
  <c r="M34" i="85"/>
  <c r="M30" i="85"/>
  <c r="M84" i="85"/>
  <c r="M80" i="85"/>
  <c r="M81" i="85"/>
  <c r="M83" i="85"/>
  <c r="M82" i="85"/>
  <c r="M8" i="85"/>
  <c r="M9" i="85"/>
  <c r="M5" i="85"/>
  <c r="M7" i="85"/>
  <c r="M6" i="85"/>
  <c r="M36" i="85"/>
  <c r="M37" i="85"/>
  <c r="M39" i="85"/>
  <c r="M35" i="85"/>
  <c r="M38" i="85"/>
  <c r="M56" i="85"/>
  <c r="M59" i="85"/>
  <c r="M55" i="85"/>
  <c r="M58" i="85"/>
  <c r="M57" i="85"/>
  <c r="M52" i="85"/>
  <c r="M51" i="85"/>
  <c r="M54" i="85"/>
  <c r="M50" i="85"/>
  <c r="M53" i="85"/>
  <c r="M44" i="85"/>
  <c r="M40" i="85"/>
  <c r="M43" i="85"/>
  <c r="M42" i="85"/>
  <c r="M41" i="85"/>
  <c r="M72" i="85"/>
  <c r="M71" i="85"/>
  <c r="M73" i="85"/>
  <c r="M74" i="85"/>
  <c r="M70" i="85"/>
  <c r="L58" i="54"/>
  <c r="K58" i="54"/>
  <c r="J58" i="54"/>
  <c r="I58" i="54"/>
  <c r="H58" i="54"/>
  <c r="L50" i="54"/>
  <c r="K50" i="54"/>
  <c r="J50" i="54"/>
  <c r="I50" i="54"/>
  <c r="H50" i="54"/>
  <c r="L49" i="54"/>
  <c r="K49" i="54"/>
  <c r="J49" i="54"/>
  <c r="I49" i="54"/>
  <c r="H49" i="54"/>
  <c r="L38" i="54"/>
  <c r="K38" i="54"/>
  <c r="J38" i="54"/>
  <c r="I38" i="54"/>
  <c r="H38" i="54"/>
  <c r="L30" i="54"/>
  <c r="K30" i="54"/>
  <c r="J30" i="54"/>
  <c r="I30" i="54"/>
  <c r="H30" i="54"/>
  <c r="L29" i="54"/>
  <c r="K29" i="54"/>
  <c r="J29" i="54"/>
  <c r="I29" i="54"/>
  <c r="H29" i="54"/>
  <c r="L18" i="54"/>
  <c r="K18" i="54"/>
  <c r="J18" i="54"/>
  <c r="I18" i="54"/>
  <c r="H18" i="54"/>
  <c r="L10" i="54"/>
  <c r="K10" i="54"/>
  <c r="J10" i="54"/>
  <c r="I10" i="54"/>
  <c r="H10" i="54"/>
  <c r="L9" i="54"/>
  <c r="K9" i="54"/>
  <c r="J9" i="54"/>
  <c r="I9" i="54"/>
  <c r="H9" i="54"/>
  <c r="H31" i="85" l="1"/>
  <c r="I52" i="85"/>
  <c r="H82" i="85"/>
  <c r="T15" i="85"/>
  <c r="T79" i="85"/>
  <c r="T65" i="85"/>
  <c r="H27" i="85"/>
  <c r="H78" i="85"/>
  <c r="T53" i="85"/>
  <c r="H23" i="85"/>
  <c r="H50" i="85"/>
  <c r="H14" i="85"/>
  <c r="H41" i="85"/>
  <c r="I87" i="85"/>
  <c r="T31" i="85"/>
  <c r="T17" i="85"/>
  <c r="T81" i="85"/>
  <c r="T19" i="85"/>
  <c r="T83" i="85"/>
  <c r="T69" i="85"/>
  <c r="T77" i="85"/>
  <c r="H86" i="85"/>
  <c r="T27" i="85"/>
  <c r="H53" i="85"/>
  <c r="T34" i="85"/>
  <c r="H89" i="85"/>
  <c r="T32" i="85"/>
  <c r="I23" i="85"/>
  <c r="H66" i="85"/>
  <c r="T6" i="85"/>
  <c r="T70" i="85"/>
  <c r="H68" i="85"/>
  <c r="T68" i="85"/>
  <c r="T25" i="85"/>
  <c r="T89" i="85"/>
  <c r="T45" i="85"/>
  <c r="T26" i="85"/>
  <c r="T43" i="85"/>
  <c r="H70" i="85"/>
  <c r="H45" i="85"/>
  <c r="H61" i="85"/>
  <c r="I57" i="85"/>
  <c r="I20" i="85"/>
  <c r="I41" i="85"/>
  <c r="H63" i="85"/>
  <c r="H25" i="85"/>
  <c r="H11" i="85"/>
  <c r="H37" i="85"/>
  <c r="T50" i="85"/>
  <c r="H73" i="85"/>
  <c r="H49" i="85"/>
  <c r="H8" i="85"/>
  <c r="T22" i="85"/>
  <c r="T86" i="85"/>
  <c r="H85" i="85"/>
  <c r="T20" i="85"/>
  <c r="T84" i="85"/>
  <c r="T41" i="85"/>
  <c r="H83" i="85"/>
  <c r="T59" i="85"/>
  <c r="H30" i="85"/>
  <c r="T72" i="85"/>
  <c r="H81" i="85"/>
  <c r="T56" i="85"/>
  <c r="T58" i="85"/>
  <c r="H36" i="85"/>
  <c r="H47" i="85"/>
  <c r="H9" i="85"/>
  <c r="T63" i="85"/>
  <c r="H76" i="85"/>
  <c r="T49" i="85"/>
  <c r="H65" i="85"/>
  <c r="H21" i="85"/>
  <c r="T66" i="85"/>
  <c r="H88" i="85"/>
  <c r="T21" i="85"/>
  <c r="T85" i="85"/>
  <c r="H34" i="85"/>
  <c r="H33" i="85"/>
  <c r="H56" i="85"/>
  <c r="T38" i="85"/>
  <c r="H69" i="85"/>
  <c r="T7" i="85"/>
  <c r="T71" i="85"/>
  <c r="T36" i="85"/>
  <c r="H87" i="85"/>
  <c r="T57" i="85"/>
  <c r="T88" i="85"/>
  <c r="H52" i="85"/>
  <c r="H29" i="85"/>
  <c r="H6" i="85"/>
  <c r="T8" i="85"/>
  <c r="T74" i="85"/>
  <c r="T13" i="85"/>
  <c r="H35" i="85"/>
  <c r="H20" i="85"/>
  <c r="H42" i="85"/>
  <c r="H80" i="85"/>
  <c r="I15" i="85"/>
  <c r="H57" i="85"/>
  <c r="T46" i="85"/>
  <c r="U47" i="85"/>
  <c r="U33" i="85"/>
  <c r="H43" i="85"/>
  <c r="I27" i="85"/>
  <c r="T18" i="85"/>
  <c r="T82" i="85"/>
  <c r="H72" i="85"/>
  <c r="T37" i="85"/>
  <c r="U19" i="85"/>
  <c r="U83" i="85"/>
  <c r="U69" i="85"/>
  <c r="H55" i="85"/>
  <c r="I39" i="85"/>
  <c r="H17" i="85"/>
  <c r="I18" i="85"/>
  <c r="T54" i="85"/>
  <c r="I74" i="85"/>
  <c r="T23" i="85"/>
  <c r="T87" i="85"/>
  <c r="H84" i="85"/>
  <c r="T52" i="85"/>
  <c r="H71" i="85"/>
  <c r="T9" i="85"/>
  <c r="T73" i="85"/>
  <c r="U55" i="85"/>
  <c r="T24" i="85"/>
  <c r="T29" i="85"/>
  <c r="T10" i="85"/>
  <c r="H46" i="85"/>
  <c r="H19" i="85"/>
  <c r="H62" i="85"/>
  <c r="I14" i="85"/>
  <c r="H5" i="85"/>
  <c r="I26" i="85"/>
  <c r="I80" i="85"/>
  <c r="U44" i="85"/>
  <c r="I12" i="85"/>
  <c r="I38" i="85"/>
  <c r="U16" i="85"/>
  <c r="U80" i="85"/>
  <c r="U41" i="85"/>
  <c r="U62" i="85"/>
  <c r="U34" i="85"/>
  <c r="U27" i="85"/>
  <c r="U5" i="85"/>
  <c r="U36" i="85"/>
  <c r="I69" i="85"/>
  <c r="I36" i="85"/>
  <c r="I63" i="85"/>
  <c r="U63" i="85"/>
  <c r="U49" i="85"/>
  <c r="I48" i="85"/>
  <c r="I11" i="85"/>
  <c r="I10" i="85"/>
  <c r="I77" i="85"/>
  <c r="I64" i="85"/>
  <c r="U35" i="85"/>
  <c r="U60" i="85"/>
  <c r="U21" i="85"/>
  <c r="U85" i="85"/>
  <c r="U42" i="85"/>
  <c r="I60" i="85"/>
  <c r="I22" i="85"/>
  <c r="I89" i="85"/>
  <c r="I76" i="85"/>
  <c r="U71" i="85"/>
  <c r="U32" i="85"/>
  <c r="U57" i="85"/>
  <c r="U14" i="85"/>
  <c r="U78" i="85"/>
  <c r="U52" i="85"/>
  <c r="I9" i="85"/>
  <c r="I51" i="85"/>
  <c r="I24" i="85"/>
  <c r="U61" i="85"/>
  <c r="I47" i="85"/>
  <c r="I5" i="85"/>
  <c r="I71" i="85"/>
  <c r="I82" i="85"/>
  <c r="U15" i="85"/>
  <c r="U79" i="85"/>
  <c r="U40" i="85"/>
  <c r="U65" i="85"/>
  <c r="I32" i="85"/>
  <c r="I59" i="85"/>
  <c r="I58" i="85"/>
  <c r="I83" i="85"/>
  <c r="T5" i="85"/>
  <c r="U51" i="85"/>
  <c r="U12" i="85"/>
  <c r="U76" i="85"/>
  <c r="U37" i="85"/>
  <c r="I44" i="85"/>
  <c r="I8" i="85"/>
  <c r="I6" i="85"/>
  <c r="I29" i="85"/>
  <c r="I73" i="85"/>
  <c r="U23" i="85"/>
  <c r="U87" i="85"/>
  <c r="U48" i="85"/>
  <c r="U9" i="85"/>
  <c r="U73" i="85"/>
  <c r="U30" i="85"/>
  <c r="U77" i="85"/>
  <c r="I75" i="85"/>
  <c r="I50" i="85"/>
  <c r="U82" i="85"/>
  <c r="U75" i="85"/>
  <c r="I31" i="85"/>
  <c r="U31" i="85"/>
  <c r="U17" i="85"/>
  <c r="U81" i="85"/>
  <c r="I16" i="85"/>
  <c r="I43" i="85"/>
  <c r="I42" i="85"/>
  <c r="I67" i="85"/>
  <c r="I78" i="85"/>
  <c r="U67" i="85"/>
  <c r="U28" i="85"/>
  <c r="U53" i="85"/>
  <c r="I28" i="85"/>
  <c r="I55" i="85"/>
  <c r="I54" i="85"/>
  <c r="I13" i="85"/>
  <c r="I79" i="85"/>
  <c r="U39" i="85"/>
  <c r="U64" i="85"/>
  <c r="U25" i="85"/>
  <c r="U89" i="85"/>
  <c r="U46" i="85"/>
  <c r="U13" i="85"/>
  <c r="I86" i="85"/>
  <c r="U18" i="85"/>
  <c r="U11" i="85"/>
  <c r="I25" i="85"/>
  <c r="I7" i="85"/>
  <c r="I40" i="85"/>
  <c r="C278" i="54" l="1"/>
  <c r="A1" i="54"/>
  <c r="C282" i="54" l="1"/>
  <c r="C281" i="54"/>
  <c r="C280" i="54"/>
  <c r="C279" i="54"/>
  <c r="C277" i="54"/>
  <c r="C276" i="54"/>
  <c r="C275" i="54"/>
  <c r="C274" i="54"/>
  <c r="C273" i="54"/>
  <c r="C272" i="54"/>
  <c r="C271" i="54"/>
  <c r="C270" i="54"/>
  <c r="C269" i="54"/>
  <c r="C268" i="54"/>
  <c r="C267" i="54"/>
  <c r="C266" i="54"/>
  <c r="C265" i="54"/>
  <c r="C264" i="54"/>
  <c r="C263" i="54"/>
  <c r="C262" i="54"/>
  <c r="C261" i="54"/>
  <c r="C260" i="54"/>
  <c r="C259" i="54"/>
  <c r="C258" i="54"/>
  <c r="C257" i="54"/>
  <c r="C256" i="54"/>
  <c r="C255" i="54"/>
  <c r="C254" i="54"/>
  <c r="C253" i="54"/>
  <c r="C252" i="54"/>
  <c r="C251" i="54"/>
  <c r="C250" i="54"/>
  <c r="C249" i="54"/>
  <c r="C248" i="54"/>
  <c r="C247" i="54"/>
  <c r="C246" i="54"/>
  <c r="C245" i="54"/>
  <c r="C244" i="54"/>
  <c r="C243" i="54"/>
  <c r="C242" i="54"/>
  <c r="C241" i="54"/>
  <c r="C240" i="54"/>
  <c r="C239" i="54"/>
  <c r="C238" i="54"/>
  <c r="C237" i="54"/>
  <c r="C236" i="54"/>
  <c r="C235" i="54"/>
  <c r="C234" i="54"/>
  <c r="C233" i="54"/>
  <c r="C232" i="54"/>
  <c r="C231" i="54"/>
  <c r="C230" i="54"/>
  <c r="C229" i="54"/>
  <c r="C228" i="54"/>
  <c r="C227" i="54"/>
  <c r="C226" i="54"/>
  <c r="C225" i="54"/>
  <c r="C224" i="54"/>
  <c r="C223" i="54"/>
  <c r="C222" i="54"/>
  <c r="C221" i="54"/>
  <c r="C220" i="54"/>
  <c r="C219" i="54"/>
  <c r="C218" i="54"/>
  <c r="C217" i="54"/>
  <c r="C216" i="54"/>
  <c r="C215" i="54"/>
  <c r="C214" i="54"/>
  <c r="C213" i="54"/>
  <c r="C212" i="54"/>
  <c r="C211" i="54"/>
  <c r="C210" i="54"/>
  <c r="C209" i="54"/>
  <c r="C208" i="54"/>
  <c r="C207" i="54"/>
  <c r="C206" i="54"/>
  <c r="C205" i="54"/>
  <c r="C204" i="54"/>
  <c r="C203" i="54"/>
  <c r="C202" i="54"/>
  <c r="C201" i="54"/>
  <c r="C200" i="54"/>
  <c r="C199" i="54"/>
  <c r="C198" i="54"/>
  <c r="C197" i="54"/>
  <c r="C196" i="54"/>
  <c r="C195" i="54"/>
  <c r="C194" i="54"/>
  <c r="C193" i="54"/>
  <c r="C192" i="54"/>
  <c r="C191" i="54"/>
  <c r="C190" i="54"/>
  <c r="C189" i="54"/>
  <c r="C188" i="54"/>
  <c r="C187" i="54"/>
  <c r="C186" i="54"/>
  <c r="C185" i="54"/>
  <c r="C184" i="54"/>
  <c r="C183" i="54"/>
  <c r="C182" i="54"/>
  <c r="C181" i="54"/>
  <c r="C180" i="54"/>
  <c r="C179" i="54"/>
  <c r="C178" i="54"/>
  <c r="C177" i="54"/>
  <c r="C176" i="54"/>
  <c r="C175" i="54"/>
  <c r="C174" i="54"/>
  <c r="C173" i="54"/>
  <c r="C172" i="54"/>
  <c r="C171" i="54"/>
  <c r="C170" i="54"/>
  <c r="C169" i="54"/>
  <c r="C168" i="54"/>
  <c r="C167" i="54"/>
  <c r="C166" i="54"/>
  <c r="C165" i="54"/>
  <c r="C164" i="54"/>
  <c r="C163" i="54"/>
  <c r="C162" i="54"/>
  <c r="C161" i="54"/>
  <c r="C160" i="54"/>
  <c r="C159" i="54"/>
  <c r="C158" i="54"/>
  <c r="C157" i="54"/>
  <c r="C156" i="54"/>
  <c r="C155" i="54"/>
  <c r="C154" i="54"/>
  <c r="C153" i="54"/>
  <c r="C152" i="54"/>
  <c r="C151" i="54"/>
  <c r="C150" i="54"/>
  <c r="C149" i="54"/>
  <c r="C148" i="54"/>
  <c r="C147" i="54"/>
  <c r="C146" i="54"/>
  <c r="C145" i="54"/>
  <c r="C144" i="54"/>
  <c r="C143" i="54"/>
  <c r="C142" i="54"/>
  <c r="C141" i="54"/>
  <c r="C140" i="54"/>
  <c r="C139" i="54"/>
  <c r="C138" i="54"/>
  <c r="C137" i="54"/>
  <c r="C136" i="54"/>
  <c r="C135" i="54"/>
  <c r="C134" i="54"/>
  <c r="C133" i="54"/>
  <c r="C132" i="54"/>
  <c r="C131" i="54"/>
  <c r="C130" i="54"/>
  <c r="C129" i="54"/>
  <c r="C128" i="54"/>
  <c r="C127" i="54"/>
  <c r="C126" i="54"/>
  <c r="C125" i="54"/>
  <c r="C124" i="54"/>
  <c r="C123" i="54"/>
  <c r="C122" i="54"/>
  <c r="C121" i="54"/>
  <c r="C120" i="54"/>
  <c r="C119" i="54"/>
  <c r="C118" i="54"/>
  <c r="C117" i="54"/>
  <c r="C116" i="54"/>
  <c r="C115" i="54"/>
  <c r="C114" i="54"/>
  <c r="C113" i="54"/>
  <c r="C112" i="54"/>
  <c r="C111" i="54"/>
  <c r="C110" i="54"/>
  <c r="C109" i="54"/>
  <c r="C108" i="54"/>
  <c r="C107" i="54"/>
  <c r="C106" i="54"/>
  <c r="C105" i="54"/>
  <c r="C104" i="54"/>
  <c r="C103" i="54"/>
  <c r="C102" i="54"/>
  <c r="C101" i="54"/>
  <c r="C100" i="54"/>
  <c r="C99" i="54"/>
  <c r="C98" i="54"/>
  <c r="C97" i="54"/>
  <c r="C96" i="54"/>
  <c r="C95" i="54"/>
  <c r="C94" i="54"/>
  <c r="C93" i="54"/>
  <c r="C92" i="54"/>
  <c r="C91" i="54"/>
  <c r="C90" i="54"/>
  <c r="C89" i="54"/>
  <c r="C88" i="54"/>
  <c r="C87" i="54"/>
  <c r="C86" i="54"/>
  <c r="C85" i="54"/>
  <c r="C84" i="54"/>
  <c r="C83" i="54"/>
  <c r="C82" i="54"/>
  <c r="C81" i="54"/>
  <c r="C80" i="54"/>
  <c r="C79" i="54"/>
  <c r="C78" i="54"/>
  <c r="C77" i="54"/>
  <c r="C76" i="54"/>
  <c r="C75" i="54"/>
  <c r="C74" i="54"/>
  <c r="C73" i="54"/>
  <c r="C72" i="54"/>
  <c r="C71" i="54"/>
  <c r="C70" i="54"/>
  <c r="C69" i="54"/>
  <c r="C68" i="54"/>
  <c r="C67" i="54"/>
  <c r="C66" i="54"/>
  <c r="C65" i="54"/>
  <c r="C64" i="54"/>
  <c r="C63" i="54"/>
  <c r="C62" i="54"/>
  <c r="C61" i="54"/>
  <c r="C60" i="54"/>
  <c r="C59" i="54"/>
  <c r="C58" i="54"/>
  <c r="C57" i="54"/>
  <c r="C56" i="54"/>
  <c r="C55" i="54"/>
  <c r="C54" i="54"/>
  <c r="C53" i="54"/>
  <c r="C52" i="54"/>
  <c r="C51" i="54"/>
  <c r="C50" i="54"/>
  <c r="C49" i="54"/>
  <c r="C48" i="54"/>
  <c r="C47" i="54"/>
  <c r="C46" i="54"/>
  <c r="C45" i="54"/>
  <c r="C44" i="54"/>
  <c r="C43" i="54"/>
  <c r="C42" i="54"/>
  <c r="C41" i="54"/>
  <c r="C40" i="54"/>
  <c r="C39" i="54"/>
  <c r="C38" i="54"/>
  <c r="C37" i="54"/>
  <c r="C36" i="54"/>
  <c r="C35" i="54"/>
  <c r="C34" i="54"/>
  <c r="C33" i="54"/>
  <c r="C32" i="54"/>
  <c r="C31" i="54"/>
  <c r="C30" i="54"/>
  <c r="C29" i="54"/>
  <c r="C28" i="54"/>
  <c r="C27" i="54"/>
  <c r="C26" i="54"/>
  <c r="C25" i="54"/>
  <c r="C24" i="54"/>
  <c r="C23" i="54"/>
  <c r="C22" i="54"/>
  <c r="C21" i="54"/>
  <c r="C20" i="54"/>
  <c r="C19" i="54"/>
  <c r="C18" i="54"/>
  <c r="C17" i="54"/>
  <c r="C16" i="54"/>
  <c r="C15" i="54"/>
  <c r="C14" i="54"/>
  <c r="C13" i="54"/>
  <c r="C12" i="54"/>
  <c r="C11" i="54"/>
  <c r="C10" i="54"/>
  <c r="C9" i="54"/>
  <c r="B562" i="54"/>
  <c r="C562" i="54" s="1"/>
  <c r="B561" i="54"/>
  <c r="C561" i="54" s="1"/>
  <c r="B560" i="54"/>
  <c r="C560" i="54" s="1"/>
  <c r="B559" i="54"/>
  <c r="C559" i="54" s="1"/>
  <c r="B558" i="54"/>
  <c r="C558" i="54" s="1"/>
  <c r="B557" i="54"/>
  <c r="C557" i="54" s="1"/>
  <c r="B556" i="54"/>
  <c r="C556" i="54" s="1"/>
  <c r="B555" i="54"/>
  <c r="C555" i="54" s="1"/>
  <c r="B554" i="54"/>
  <c r="C554" i="54" s="1"/>
  <c r="B553" i="54"/>
  <c r="C553" i="54" s="1"/>
  <c r="B552" i="54"/>
  <c r="C552" i="54" s="1"/>
  <c r="B551" i="54"/>
  <c r="C551" i="54" s="1"/>
  <c r="B550" i="54"/>
  <c r="C550" i="54" s="1"/>
  <c r="B549" i="54"/>
  <c r="C549" i="54" s="1"/>
  <c r="B548" i="54"/>
  <c r="C548" i="54" s="1"/>
  <c r="B547" i="54"/>
  <c r="C547" i="54" s="1"/>
  <c r="B546" i="54"/>
  <c r="C546" i="54" s="1"/>
  <c r="B545" i="54"/>
  <c r="C545" i="54" s="1"/>
  <c r="B544" i="54"/>
  <c r="C544" i="54" s="1"/>
  <c r="B543" i="54"/>
  <c r="C543" i="54" s="1"/>
  <c r="B542" i="54"/>
  <c r="C542" i="54" s="1"/>
  <c r="B541" i="54"/>
  <c r="C541" i="54" s="1"/>
  <c r="B540" i="54"/>
  <c r="C540" i="54" s="1"/>
  <c r="B539" i="54"/>
  <c r="C539" i="54" s="1"/>
  <c r="B538" i="54"/>
  <c r="C538" i="54" s="1"/>
  <c r="B537" i="54"/>
  <c r="C537" i="54" s="1"/>
  <c r="B536" i="54"/>
  <c r="C536" i="54" s="1"/>
  <c r="B535" i="54"/>
  <c r="C535" i="54" s="1"/>
  <c r="B534" i="54"/>
  <c r="C534" i="54" s="1"/>
  <c r="B533" i="54"/>
  <c r="C533" i="54" s="1"/>
  <c r="B532" i="54"/>
  <c r="C532" i="54" s="1"/>
  <c r="B531" i="54"/>
  <c r="C531" i="54" s="1"/>
  <c r="B530" i="54"/>
  <c r="C530" i="54" s="1"/>
  <c r="B529" i="54"/>
  <c r="C529" i="54" s="1"/>
  <c r="B528" i="54"/>
  <c r="C528" i="54" s="1"/>
  <c r="B527" i="54"/>
  <c r="C527" i="54" s="1"/>
  <c r="B526" i="54"/>
  <c r="C526" i="54" s="1"/>
  <c r="B525" i="54"/>
  <c r="C525" i="54" s="1"/>
  <c r="B524" i="54"/>
  <c r="C524" i="54" s="1"/>
  <c r="B523" i="54"/>
  <c r="C523" i="54" s="1"/>
  <c r="B442" i="54"/>
  <c r="C442" i="54" s="1"/>
  <c r="B441" i="54"/>
  <c r="C441" i="54" s="1"/>
  <c r="B440" i="54"/>
  <c r="C440" i="54" s="1"/>
  <c r="B439" i="54"/>
  <c r="C439" i="54" s="1"/>
  <c r="B438" i="54"/>
  <c r="C438" i="54" s="1"/>
  <c r="B437" i="54"/>
  <c r="C437" i="54" s="1"/>
  <c r="B436" i="54"/>
  <c r="C436" i="54" s="1"/>
  <c r="B435" i="54"/>
  <c r="C435" i="54" s="1"/>
  <c r="B434" i="54"/>
  <c r="C434" i="54" s="1"/>
  <c r="B433" i="54"/>
  <c r="C433" i="54" s="1"/>
  <c r="B432" i="54"/>
  <c r="C432" i="54" s="1"/>
  <c r="B431" i="54"/>
  <c r="C431" i="54" s="1"/>
  <c r="B430" i="54"/>
  <c r="C430" i="54" s="1"/>
  <c r="B429" i="54"/>
  <c r="C429" i="54" s="1"/>
  <c r="B428" i="54"/>
  <c r="C428" i="54" s="1"/>
  <c r="B427" i="54"/>
  <c r="C427" i="54" s="1"/>
  <c r="B426" i="54"/>
  <c r="C426" i="54" s="1"/>
  <c r="B425" i="54"/>
  <c r="C425" i="54" s="1"/>
  <c r="B424" i="54"/>
  <c r="C424" i="54" s="1"/>
  <c r="B423" i="54"/>
  <c r="C423" i="54" s="1"/>
  <c r="B422" i="54"/>
  <c r="C422" i="54" s="1"/>
  <c r="B421" i="54"/>
  <c r="C421" i="54" s="1"/>
  <c r="B420" i="54"/>
  <c r="C420" i="54" s="1"/>
  <c r="B419" i="54"/>
  <c r="C419" i="54" s="1"/>
  <c r="B418" i="54"/>
  <c r="C418" i="54" s="1"/>
  <c r="B417" i="54"/>
  <c r="C417" i="54" s="1"/>
  <c r="B416" i="54"/>
  <c r="C416" i="54" s="1"/>
  <c r="B415" i="54"/>
  <c r="C415" i="54" s="1"/>
  <c r="B414" i="54"/>
  <c r="C414" i="54" s="1"/>
  <c r="B413" i="54"/>
  <c r="C413" i="54" s="1"/>
  <c r="B412" i="54"/>
  <c r="C412" i="54" s="1"/>
  <c r="B411" i="54"/>
  <c r="C411" i="54" s="1"/>
  <c r="B410" i="54"/>
  <c r="C410" i="54" s="1"/>
  <c r="B409" i="54"/>
  <c r="C409" i="54" s="1"/>
  <c r="B408" i="54"/>
  <c r="C408" i="54" s="1"/>
  <c r="B407" i="54"/>
  <c r="C407" i="54" s="1"/>
  <c r="B406" i="54"/>
  <c r="C406" i="54" s="1"/>
  <c r="B405" i="54"/>
  <c r="C405" i="54" s="1"/>
  <c r="B404" i="54"/>
  <c r="C404" i="54" s="1"/>
  <c r="B403" i="54"/>
  <c r="C403" i="54" s="1"/>
  <c r="B402" i="54"/>
  <c r="C402" i="54" s="1"/>
  <c r="B401" i="54"/>
  <c r="C401" i="54" s="1"/>
  <c r="B400" i="54"/>
  <c r="C400" i="54" s="1"/>
  <c r="B399" i="54"/>
  <c r="C399" i="54" s="1"/>
  <c r="B398" i="54"/>
  <c r="C398" i="54" s="1"/>
  <c r="B397" i="54"/>
  <c r="C397" i="54" s="1"/>
  <c r="B396" i="54"/>
  <c r="C396" i="54" s="1"/>
  <c r="B395" i="54"/>
  <c r="C395" i="54" s="1"/>
  <c r="B394" i="54"/>
  <c r="C394" i="54" s="1"/>
  <c r="B393" i="54"/>
  <c r="C393" i="54" s="1"/>
  <c r="B392" i="54"/>
  <c r="C392" i="54" s="1"/>
  <c r="B391" i="54"/>
  <c r="C391" i="54" s="1"/>
  <c r="B390" i="54"/>
  <c r="C390" i="54" s="1"/>
  <c r="B389" i="54"/>
  <c r="C389" i="54" s="1"/>
  <c r="B388" i="54"/>
  <c r="C388" i="54" s="1"/>
  <c r="B387" i="54"/>
  <c r="C387" i="54" s="1"/>
  <c r="B386" i="54"/>
  <c r="C386" i="54" s="1"/>
  <c r="B385" i="54"/>
  <c r="C385" i="54" s="1"/>
  <c r="B384" i="54"/>
  <c r="C384" i="54" s="1"/>
  <c r="B383" i="54"/>
  <c r="C383" i="54" s="1"/>
  <c r="B382" i="54"/>
  <c r="C382" i="54" s="1"/>
  <c r="B381" i="54"/>
  <c r="C381" i="54" s="1"/>
  <c r="B380" i="54"/>
  <c r="C380" i="54" s="1"/>
  <c r="B379" i="54"/>
  <c r="C379" i="54" s="1"/>
  <c r="B378" i="54"/>
  <c r="C378" i="54" s="1"/>
  <c r="B377" i="54"/>
  <c r="C377" i="54" s="1"/>
  <c r="B376" i="54"/>
  <c r="C376" i="54" s="1"/>
  <c r="B375" i="54"/>
  <c r="C375" i="54" s="1"/>
  <c r="B374" i="54"/>
  <c r="C374" i="54" s="1"/>
  <c r="B373" i="54"/>
  <c r="C373" i="54" s="1"/>
  <c r="B372" i="54"/>
  <c r="C372" i="54" s="1"/>
  <c r="B371" i="54"/>
  <c r="C371" i="54" s="1"/>
  <c r="B370" i="54"/>
  <c r="C370" i="54" s="1"/>
  <c r="B369" i="54"/>
  <c r="C369" i="54" s="1"/>
  <c r="B368" i="54"/>
  <c r="C368" i="54" s="1"/>
  <c r="B367" i="54"/>
  <c r="C367" i="54" s="1"/>
  <c r="B366" i="54"/>
  <c r="C366" i="54" s="1"/>
  <c r="B365" i="54"/>
  <c r="C365" i="54" s="1"/>
  <c r="B364" i="54"/>
  <c r="C364" i="54" s="1"/>
  <c r="B363" i="54"/>
  <c r="C363" i="54" s="1"/>
  <c r="B362" i="54"/>
  <c r="C362" i="54" s="1"/>
  <c r="B361" i="54"/>
  <c r="C361" i="54" s="1"/>
  <c r="B360" i="54"/>
  <c r="C360" i="54" s="1"/>
  <c r="B359" i="54"/>
  <c r="C359" i="54" s="1"/>
  <c r="B358" i="54"/>
  <c r="C358" i="54" s="1"/>
  <c r="B357" i="54"/>
  <c r="C357" i="54" s="1"/>
  <c r="B356" i="54"/>
  <c r="C356" i="54" s="1"/>
  <c r="B355" i="54"/>
  <c r="C355" i="54" s="1"/>
  <c r="B354" i="54"/>
  <c r="C354" i="54" s="1"/>
  <c r="B353" i="54"/>
  <c r="C353" i="54" s="1"/>
  <c r="B352" i="54"/>
  <c r="C352" i="54" s="1"/>
  <c r="B351" i="54"/>
  <c r="C351" i="54" s="1"/>
  <c r="B350" i="54"/>
  <c r="C350" i="54" s="1"/>
  <c r="B349" i="54"/>
  <c r="C349" i="54" s="1"/>
  <c r="B348" i="54"/>
  <c r="C348" i="54" s="1"/>
  <c r="B347" i="54"/>
  <c r="C347" i="54" s="1"/>
  <c r="B346" i="54"/>
  <c r="C346" i="54" s="1"/>
  <c r="B345" i="54"/>
  <c r="C345" i="54" s="1"/>
  <c r="B344" i="54"/>
  <c r="C344" i="54" s="1"/>
  <c r="B343" i="54"/>
  <c r="C343" i="54" s="1"/>
  <c r="B342" i="54"/>
  <c r="C342" i="54" s="1"/>
  <c r="B341" i="54"/>
  <c r="C341" i="54" s="1"/>
  <c r="B340" i="54"/>
  <c r="C340" i="54" s="1"/>
  <c r="B339" i="54"/>
  <c r="C339" i="54" s="1"/>
  <c r="B338" i="54"/>
  <c r="C338" i="54" s="1"/>
  <c r="B337" i="54"/>
  <c r="C337" i="54" s="1"/>
  <c r="B336" i="54"/>
  <c r="C336" i="54" s="1"/>
  <c r="B335" i="54"/>
  <c r="C335" i="54" s="1"/>
  <c r="B334" i="54"/>
  <c r="C334" i="54" s="1"/>
  <c r="B333" i="54"/>
  <c r="C333" i="54" s="1"/>
  <c r="B332" i="54"/>
  <c r="C332" i="54" s="1"/>
  <c r="B331" i="54"/>
  <c r="C331" i="54" s="1"/>
  <c r="B330" i="54"/>
  <c r="C330" i="54" s="1"/>
  <c r="B329" i="54"/>
  <c r="C329" i="54" s="1"/>
  <c r="B328" i="54"/>
  <c r="C328" i="54" s="1"/>
  <c r="B327" i="54"/>
  <c r="C327" i="54" s="1"/>
  <c r="B326" i="54"/>
  <c r="C326" i="54" s="1"/>
  <c r="B325" i="54"/>
  <c r="C325" i="54" s="1"/>
  <c r="B324" i="54"/>
  <c r="C324" i="54" s="1"/>
  <c r="B323" i="54"/>
  <c r="C323" i="54" s="1"/>
  <c r="B322" i="54"/>
  <c r="C322" i="54" s="1"/>
  <c r="B321" i="54"/>
  <c r="C321" i="54" s="1"/>
  <c r="B320" i="54"/>
  <c r="C320" i="54" s="1"/>
  <c r="B319" i="54"/>
  <c r="C319" i="54" s="1"/>
  <c r="B318" i="54"/>
  <c r="C318" i="54" s="1"/>
  <c r="B317" i="54"/>
  <c r="C317" i="54" s="1"/>
  <c r="B316" i="54"/>
  <c r="C316" i="54" s="1"/>
  <c r="B315" i="54"/>
  <c r="C315" i="54" s="1"/>
  <c r="B314" i="54"/>
  <c r="C314" i="54" s="1"/>
  <c r="B313" i="54"/>
  <c r="C313" i="54" s="1"/>
  <c r="B312" i="54"/>
  <c r="C312" i="54" s="1"/>
  <c r="B311" i="54"/>
  <c r="C311" i="54" s="1"/>
  <c r="B310" i="54"/>
  <c r="C310" i="54" s="1"/>
  <c r="B309" i="54"/>
  <c r="C309" i="54" s="1"/>
  <c r="B308" i="54"/>
  <c r="C308" i="54" s="1"/>
  <c r="B307" i="54"/>
  <c r="C307" i="54" s="1"/>
  <c r="B306" i="54"/>
  <c r="C306" i="54" s="1"/>
  <c r="B305" i="54"/>
  <c r="C305" i="54" s="1"/>
  <c r="B304" i="54"/>
  <c r="C304" i="54" s="1"/>
  <c r="B303" i="54"/>
  <c r="C303" i="54" s="1"/>
  <c r="B302" i="54"/>
  <c r="C302" i="54" s="1"/>
  <c r="B301" i="54"/>
  <c r="C301" i="54" s="1"/>
  <c r="B300" i="54"/>
  <c r="C300" i="54" s="1"/>
  <c r="B299" i="54"/>
  <c r="C299" i="54" s="1"/>
  <c r="B298" i="54"/>
  <c r="C298" i="54" s="1"/>
  <c r="B297" i="54"/>
  <c r="C297" i="54" s="1"/>
  <c r="B296" i="54"/>
  <c r="C296" i="54" s="1"/>
  <c r="B295" i="54"/>
  <c r="C295" i="54" s="1"/>
  <c r="B294" i="54"/>
  <c r="C294" i="54" s="1"/>
  <c r="B293" i="54"/>
  <c r="C293" i="54" s="1"/>
  <c r="B292" i="54"/>
  <c r="C292" i="54" s="1"/>
  <c r="B291" i="54"/>
  <c r="C291" i="54" s="1"/>
  <c r="B290" i="54"/>
  <c r="C290" i="54" s="1"/>
  <c r="B289" i="54"/>
  <c r="C289" i="54" s="1"/>
  <c r="B288" i="54"/>
  <c r="C288" i="54" s="1"/>
  <c r="B287" i="54"/>
  <c r="C287" i="54" s="1"/>
  <c r="B286" i="54"/>
  <c r="C286" i="54" s="1"/>
  <c r="B285" i="54"/>
  <c r="C285" i="54" s="1"/>
  <c r="B284" i="54"/>
  <c r="C284" i="54" s="1"/>
  <c r="B283" i="54"/>
  <c r="C283" i="54" s="1"/>
  <c r="L562" i="54"/>
  <c r="K562" i="54"/>
  <c r="J562" i="54"/>
  <c r="I562" i="54"/>
  <c r="H562" i="54"/>
  <c r="L561" i="54"/>
  <c r="K561" i="54"/>
  <c r="J561" i="54"/>
  <c r="I561" i="54"/>
  <c r="H561" i="54"/>
  <c r="L560" i="54"/>
  <c r="K560" i="54"/>
  <c r="J560" i="54"/>
  <c r="I560" i="54"/>
  <c r="H560" i="54"/>
  <c r="L559" i="54"/>
  <c r="K559" i="54"/>
  <c r="J559" i="54"/>
  <c r="I559" i="54"/>
  <c r="H559" i="54"/>
  <c r="L558" i="54"/>
  <c r="K558" i="54"/>
  <c r="J558" i="54"/>
  <c r="I558" i="54"/>
  <c r="H558" i="54"/>
  <c r="L557" i="54"/>
  <c r="K557" i="54"/>
  <c r="J557" i="54"/>
  <c r="I557" i="54"/>
  <c r="H557" i="54"/>
  <c r="L556" i="54"/>
  <c r="K556" i="54"/>
  <c r="J556" i="54"/>
  <c r="I556" i="54"/>
  <c r="H556" i="54"/>
  <c r="L555" i="54"/>
  <c r="K555" i="54"/>
  <c r="J555" i="54"/>
  <c r="I555" i="54"/>
  <c r="H555" i="54"/>
  <c r="L554" i="54"/>
  <c r="K554" i="54"/>
  <c r="J554" i="54"/>
  <c r="I554" i="54"/>
  <c r="H554" i="54"/>
  <c r="L553" i="54"/>
  <c r="K553" i="54"/>
  <c r="J553" i="54"/>
  <c r="I553" i="54"/>
  <c r="H553" i="54"/>
  <c r="L552" i="54"/>
  <c r="K552" i="54"/>
  <c r="J552" i="54"/>
  <c r="I552" i="54"/>
  <c r="H552" i="54"/>
  <c r="L551" i="54"/>
  <c r="K551" i="54"/>
  <c r="J551" i="54"/>
  <c r="I551" i="54"/>
  <c r="H551" i="54"/>
  <c r="L550" i="54"/>
  <c r="K550" i="54"/>
  <c r="J550" i="54"/>
  <c r="I550" i="54"/>
  <c r="H550" i="54"/>
  <c r="L549" i="54"/>
  <c r="K549" i="54"/>
  <c r="J549" i="54"/>
  <c r="I549" i="54"/>
  <c r="H549" i="54"/>
  <c r="L548" i="54"/>
  <c r="K548" i="54"/>
  <c r="J548" i="54"/>
  <c r="I548" i="54"/>
  <c r="H548" i="54"/>
  <c r="L547" i="54"/>
  <c r="K547" i="54"/>
  <c r="J547" i="54"/>
  <c r="I547" i="54"/>
  <c r="H547" i="54"/>
  <c r="L546" i="54"/>
  <c r="K546" i="54"/>
  <c r="J546" i="54"/>
  <c r="I546" i="54"/>
  <c r="H546" i="54"/>
  <c r="L545" i="54"/>
  <c r="K545" i="54"/>
  <c r="J545" i="54"/>
  <c r="I545" i="54"/>
  <c r="H545" i="54"/>
  <c r="L544" i="54"/>
  <c r="K544" i="54"/>
  <c r="J544" i="54"/>
  <c r="I544" i="54"/>
  <c r="H544" i="54"/>
  <c r="L543" i="54"/>
  <c r="K543" i="54"/>
  <c r="J543" i="54"/>
  <c r="I543" i="54"/>
  <c r="H543" i="54"/>
  <c r="L542" i="54"/>
  <c r="K542" i="54"/>
  <c r="J542" i="54"/>
  <c r="I542" i="54"/>
  <c r="H542" i="54"/>
  <c r="L541" i="54"/>
  <c r="K541" i="54"/>
  <c r="J541" i="54"/>
  <c r="I541" i="54"/>
  <c r="H541" i="54"/>
  <c r="L540" i="54"/>
  <c r="K540" i="54"/>
  <c r="J540" i="54"/>
  <c r="I540" i="54"/>
  <c r="H540" i="54"/>
  <c r="L539" i="54"/>
  <c r="K539" i="54"/>
  <c r="J539" i="54"/>
  <c r="I539" i="54"/>
  <c r="H539" i="54"/>
  <c r="L538" i="54"/>
  <c r="K538" i="54"/>
  <c r="J538" i="54"/>
  <c r="I538" i="54"/>
  <c r="H538" i="54"/>
  <c r="L537" i="54"/>
  <c r="K537" i="54"/>
  <c r="J537" i="54"/>
  <c r="I537" i="54"/>
  <c r="H537" i="54"/>
  <c r="L536" i="54"/>
  <c r="K536" i="54"/>
  <c r="J536" i="54"/>
  <c r="I536" i="54"/>
  <c r="H536" i="54"/>
  <c r="L535" i="54"/>
  <c r="K535" i="54"/>
  <c r="J535" i="54"/>
  <c r="I535" i="54"/>
  <c r="H535" i="54"/>
  <c r="L534" i="54"/>
  <c r="K534" i="54"/>
  <c r="J534" i="54"/>
  <c r="I534" i="54"/>
  <c r="H534" i="54"/>
  <c r="L533" i="54"/>
  <c r="K533" i="54"/>
  <c r="J533" i="54"/>
  <c r="I533" i="54"/>
  <c r="H533" i="54"/>
  <c r="L532" i="54"/>
  <c r="K532" i="54"/>
  <c r="J532" i="54"/>
  <c r="I532" i="54"/>
  <c r="H532" i="54"/>
  <c r="L531" i="54"/>
  <c r="K531" i="54"/>
  <c r="J531" i="54"/>
  <c r="I531" i="54"/>
  <c r="H531" i="54"/>
  <c r="L530" i="54"/>
  <c r="K530" i="54"/>
  <c r="J530" i="54"/>
  <c r="I530" i="54"/>
  <c r="H530" i="54"/>
  <c r="L529" i="54"/>
  <c r="K529" i="54"/>
  <c r="J529" i="54"/>
  <c r="I529" i="54"/>
  <c r="H529" i="54"/>
  <c r="L528" i="54"/>
  <c r="K528" i="54"/>
  <c r="J528" i="54"/>
  <c r="I528" i="54"/>
  <c r="H528" i="54"/>
  <c r="L527" i="54"/>
  <c r="K527" i="54"/>
  <c r="J527" i="54"/>
  <c r="I527" i="54"/>
  <c r="H527" i="54"/>
  <c r="L526" i="54"/>
  <c r="K526" i="54"/>
  <c r="J526" i="54"/>
  <c r="I526" i="54"/>
  <c r="H526" i="54"/>
  <c r="L525" i="54"/>
  <c r="K525" i="54"/>
  <c r="J525" i="54"/>
  <c r="I525" i="54"/>
  <c r="H525" i="54"/>
  <c r="L524" i="54"/>
  <c r="K524" i="54"/>
  <c r="J524" i="54"/>
  <c r="I524" i="54"/>
  <c r="H524" i="54"/>
  <c r="L523" i="54"/>
  <c r="K523" i="54"/>
  <c r="J523" i="54"/>
  <c r="I523" i="54"/>
  <c r="H523" i="54"/>
  <c r="B96" i="83" l="1"/>
  <c r="B95" i="83"/>
  <c r="B94" i="83"/>
  <c r="B93" i="83"/>
  <c r="B92" i="83"/>
  <c r="B91" i="83"/>
  <c r="B90" i="83"/>
  <c r="B89" i="83"/>
  <c r="B88" i="83"/>
  <c r="B87" i="83"/>
  <c r="A59" i="83"/>
  <c r="B59" i="83"/>
  <c r="C59" i="83"/>
  <c r="A60" i="83"/>
  <c r="B60" i="83"/>
  <c r="C60" i="83"/>
  <c r="A61" i="83"/>
  <c r="B61" i="83"/>
  <c r="C61" i="83"/>
  <c r="A62" i="83"/>
  <c r="B62" i="83"/>
  <c r="C62" i="83"/>
  <c r="A63" i="83"/>
  <c r="B63" i="83"/>
  <c r="C63" i="83"/>
  <c r="A64" i="83"/>
  <c r="B64" i="83"/>
  <c r="C64" i="83"/>
  <c r="A65" i="83"/>
  <c r="B65" i="83"/>
  <c r="C65" i="83"/>
  <c r="A66" i="83"/>
  <c r="B66" i="83"/>
  <c r="C66" i="83"/>
  <c r="A67" i="83"/>
  <c r="B67" i="83"/>
  <c r="C67" i="83"/>
  <c r="A68" i="83"/>
  <c r="B68" i="83"/>
  <c r="C68" i="83"/>
  <c r="A69" i="83"/>
  <c r="B69" i="83"/>
  <c r="C69" i="83"/>
  <c r="A70" i="83"/>
  <c r="B70" i="83"/>
  <c r="C70" i="83"/>
  <c r="A71" i="83"/>
  <c r="B71" i="83"/>
  <c r="C71" i="83"/>
  <c r="A72" i="83"/>
  <c r="B72" i="83"/>
  <c r="C72" i="83"/>
  <c r="A73" i="83"/>
  <c r="B73" i="83"/>
  <c r="C73" i="83"/>
  <c r="A74" i="83"/>
  <c r="B74" i="83"/>
  <c r="C74" i="83"/>
  <c r="A75" i="83"/>
  <c r="B75" i="83"/>
  <c r="C75" i="83"/>
  <c r="A76" i="83"/>
  <c r="B76" i="83"/>
  <c r="C76" i="83"/>
  <c r="A77" i="83"/>
  <c r="B77" i="83"/>
  <c r="C77" i="83"/>
  <c r="A78" i="83"/>
  <c r="B78" i="83"/>
  <c r="C78" i="83"/>
  <c r="A79" i="83"/>
  <c r="B79" i="83"/>
  <c r="C79" i="83"/>
  <c r="A80" i="83"/>
  <c r="B80" i="83"/>
  <c r="C80" i="83"/>
  <c r="A81" i="83"/>
  <c r="B81" i="83"/>
  <c r="C81" i="83"/>
  <c r="B82" i="83"/>
  <c r="C82" i="83"/>
  <c r="B83" i="83"/>
  <c r="C83" i="83"/>
  <c r="B84" i="83"/>
  <c r="C84" i="83"/>
  <c r="B85" i="83"/>
  <c r="C85" i="83"/>
  <c r="B86" i="83"/>
  <c r="C86" i="83"/>
  <c r="A8" i="83"/>
  <c r="B8" i="83"/>
  <c r="C8" i="83"/>
  <c r="A9" i="83"/>
  <c r="B9" i="83"/>
  <c r="C9" i="83"/>
  <c r="A10" i="83"/>
  <c r="B10" i="83"/>
  <c r="C10" i="83"/>
  <c r="A11" i="83"/>
  <c r="B11" i="83"/>
  <c r="C11" i="83"/>
  <c r="A12" i="83"/>
  <c r="B12" i="83"/>
  <c r="C12" i="83"/>
  <c r="A13" i="83"/>
  <c r="B13" i="83"/>
  <c r="C13" i="83"/>
  <c r="A14" i="83"/>
  <c r="B14" i="83"/>
  <c r="C14" i="83"/>
  <c r="A15" i="83"/>
  <c r="B15" i="83"/>
  <c r="C15" i="83"/>
  <c r="A16" i="83"/>
  <c r="B16" i="83"/>
  <c r="C16" i="83"/>
  <c r="A17" i="83"/>
  <c r="B17" i="83"/>
  <c r="C17" i="83"/>
  <c r="A18" i="83"/>
  <c r="B18" i="83"/>
  <c r="C18" i="83"/>
  <c r="A19" i="83"/>
  <c r="B19" i="83"/>
  <c r="C19" i="83"/>
  <c r="A20" i="83"/>
  <c r="B20" i="83"/>
  <c r="C20" i="83"/>
  <c r="A21" i="83"/>
  <c r="B21" i="83"/>
  <c r="C21" i="83"/>
  <c r="A22" i="83"/>
  <c r="B22" i="83"/>
  <c r="C22" i="83"/>
  <c r="A23" i="83"/>
  <c r="B23" i="83"/>
  <c r="C23" i="83"/>
  <c r="A24" i="83"/>
  <c r="B24" i="83"/>
  <c r="C24" i="83"/>
  <c r="A25" i="83"/>
  <c r="B25" i="83"/>
  <c r="C25" i="83"/>
  <c r="A26" i="83"/>
  <c r="B26" i="83"/>
  <c r="C26" i="83"/>
  <c r="A27" i="83"/>
  <c r="B27" i="83"/>
  <c r="C27" i="83"/>
  <c r="A28" i="83"/>
  <c r="B28" i="83"/>
  <c r="C28" i="83"/>
  <c r="A29" i="83"/>
  <c r="B29" i="83"/>
  <c r="C29" i="83"/>
  <c r="A30" i="83"/>
  <c r="B30" i="83"/>
  <c r="C30" i="83"/>
  <c r="A31" i="83"/>
  <c r="B31" i="83"/>
  <c r="C31" i="83"/>
  <c r="A32" i="83"/>
  <c r="B32" i="83"/>
  <c r="C32" i="83"/>
  <c r="A33" i="83"/>
  <c r="B33" i="83"/>
  <c r="C33" i="83"/>
  <c r="A34" i="83"/>
  <c r="B34" i="83"/>
  <c r="C34" i="83"/>
  <c r="A35" i="83"/>
  <c r="B35" i="83"/>
  <c r="C35" i="83"/>
  <c r="A36" i="83"/>
  <c r="B36" i="83"/>
  <c r="C36" i="83"/>
  <c r="A37" i="83"/>
  <c r="B37" i="83"/>
  <c r="C37" i="83"/>
  <c r="A38" i="83"/>
  <c r="B38" i="83"/>
  <c r="C38" i="83"/>
  <c r="A39" i="83"/>
  <c r="B39" i="83"/>
  <c r="C39" i="83"/>
  <c r="A40" i="83"/>
  <c r="B40" i="83"/>
  <c r="C40" i="83"/>
  <c r="A41" i="83"/>
  <c r="B41" i="83"/>
  <c r="C41" i="83"/>
  <c r="A42" i="83"/>
  <c r="B42" i="83"/>
  <c r="C42" i="83"/>
  <c r="A43" i="83"/>
  <c r="B43" i="83"/>
  <c r="C43" i="83"/>
  <c r="A44" i="83"/>
  <c r="B44" i="83"/>
  <c r="C44" i="83"/>
  <c r="A45" i="83"/>
  <c r="B45" i="83"/>
  <c r="C45" i="83"/>
  <c r="A46" i="83"/>
  <c r="B46" i="83"/>
  <c r="C46" i="83"/>
  <c r="A47" i="83"/>
  <c r="B47" i="83"/>
  <c r="C47" i="83"/>
  <c r="A48" i="83"/>
  <c r="B48" i="83"/>
  <c r="C48" i="83"/>
  <c r="A49" i="83"/>
  <c r="B49" i="83"/>
  <c r="C49" i="83"/>
  <c r="A50" i="83"/>
  <c r="B50" i="83"/>
  <c r="C50" i="83"/>
  <c r="A51" i="83"/>
  <c r="B51" i="83"/>
  <c r="C51" i="83"/>
  <c r="A52" i="83"/>
  <c r="B52" i="83"/>
  <c r="C52" i="83"/>
  <c r="A53" i="83"/>
  <c r="B53" i="83"/>
  <c r="C53" i="83"/>
  <c r="A54" i="83"/>
  <c r="B54" i="83"/>
  <c r="C54" i="83"/>
  <c r="A55" i="83"/>
  <c r="B55" i="83"/>
  <c r="C55" i="83"/>
  <c r="A56" i="83"/>
  <c r="B56" i="83"/>
  <c r="C56" i="83"/>
  <c r="A57" i="83"/>
  <c r="B57" i="83"/>
  <c r="C57" i="83"/>
  <c r="A58" i="83"/>
  <c r="B58" i="83"/>
  <c r="C58" i="83"/>
  <c r="C7" i="83"/>
  <c r="B7" i="83"/>
  <c r="A7" i="83"/>
  <c r="C8" i="54" l="1"/>
  <c r="C7" i="54"/>
  <c r="C6" i="54"/>
  <c r="C5" i="54"/>
  <c r="C4" i="54"/>
  <c r="C3" i="54"/>
  <c r="C10" i="66" l="1"/>
  <c r="C90" i="44" l="1"/>
  <c r="B90" i="44"/>
  <c r="A90" i="44"/>
  <c r="C89" i="44"/>
  <c r="B89" i="44"/>
  <c r="A89" i="44"/>
  <c r="C88" i="44"/>
  <c r="B88" i="44"/>
  <c r="A88" i="44"/>
  <c r="C87" i="44"/>
  <c r="B87" i="44"/>
  <c r="A87" i="44"/>
  <c r="C86" i="44"/>
  <c r="B86" i="44"/>
  <c r="A86" i="44"/>
  <c r="C85" i="44"/>
  <c r="B85" i="44"/>
  <c r="A85" i="44"/>
  <c r="C84" i="44"/>
  <c r="B84" i="44"/>
  <c r="A84" i="44"/>
  <c r="C83" i="44"/>
  <c r="B83" i="44"/>
  <c r="A83" i="44"/>
  <c r="C82" i="44"/>
  <c r="B82" i="44"/>
  <c r="A82" i="44"/>
  <c r="C81" i="44"/>
  <c r="B81" i="44"/>
  <c r="A81" i="44"/>
  <c r="C80" i="44"/>
  <c r="B80" i="44"/>
  <c r="A80" i="44"/>
  <c r="C79" i="44"/>
  <c r="B79" i="44"/>
  <c r="A79" i="44"/>
  <c r="C78" i="44"/>
  <c r="B78" i="44"/>
  <c r="A78" i="44"/>
  <c r="C77" i="44"/>
  <c r="B77" i="44"/>
  <c r="A77" i="44"/>
  <c r="C76" i="44"/>
  <c r="B76" i="44"/>
  <c r="A76" i="44"/>
  <c r="C75" i="44"/>
  <c r="B75" i="44"/>
  <c r="A75" i="44"/>
  <c r="C74" i="44"/>
  <c r="B74" i="44"/>
  <c r="A74" i="44"/>
  <c r="C73" i="44"/>
  <c r="B73" i="44"/>
  <c r="A73" i="44"/>
  <c r="C72" i="44"/>
  <c r="B72" i="44"/>
  <c r="A72" i="44"/>
  <c r="C71" i="44"/>
  <c r="B71" i="44"/>
  <c r="A71" i="44"/>
  <c r="C70" i="44"/>
  <c r="B70" i="44"/>
  <c r="A70" i="44"/>
  <c r="C69" i="44"/>
  <c r="B69" i="44"/>
  <c r="A69" i="44"/>
  <c r="C68" i="44"/>
  <c r="B68" i="44"/>
  <c r="A68" i="44"/>
  <c r="C67" i="44"/>
  <c r="B67" i="44"/>
  <c r="A67" i="44"/>
  <c r="C66" i="44"/>
  <c r="B66" i="44"/>
  <c r="A66" i="44"/>
  <c r="C65" i="44"/>
  <c r="B65" i="44"/>
  <c r="A65" i="44"/>
  <c r="C64" i="44"/>
  <c r="B64" i="44"/>
  <c r="A64" i="44"/>
  <c r="C63" i="44"/>
  <c r="B63" i="44"/>
  <c r="A63" i="44"/>
  <c r="C62" i="44"/>
  <c r="B62" i="44"/>
  <c r="A62" i="44"/>
  <c r="C61" i="44"/>
  <c r="B61" i="44"/>
  <c r="A61" i="44"/>
  <c r="C60" i="44"/>
  <c r="B60" i="44"/>
  <c r="A60" i="44"/>
  <c r="C59" i="44"/>
  <c r="B59" i="44"/>
  <c r="A59" i="44"/>
  <c r="C58" i="44"/>
  <c r="B58" i="44"/>
  <c r="A58" i="44"/>
  <c r="C57" i="44"/>
  <c r="B57" i="44"/>
  <c r="A57" i="44"/>
  <c r="C56" i="44"/>
  <c r="B56" i="44"/>
  <c r="A56" i="44"/>
  <c r="C55" i="44"/>
  <c r="B55" i="44"/>
  <c r="A55" i="44"/>
  <c r="C54" i="44"/>
  <c r="B54" i="44"/>
  <c r="A54" i="44"/>
  <c r="C53" i="44"/>
  <c r="B53" i="44"/>
  <c r="A53" i="44"/>
  <c r="C52" i="44"/>
  <c r="B52" i="44"/>
  <c r="A52" i="44"/>
  <c r="C51" i="44"/>
  <c r="B51" i="44"/>
  <c r="A51" i="44"/>
  <c r="C50" i="44"/>
  <c r="B50" i="44"/>
  <c r="A50" i="44"/>
  <c r="C49" i="44"/>
  <c r="B49" i="44"/>
  <c r="A49" i="44"/>
  <c r="C48" i="44"/>
  <c r="B48" i="44"/>
  <c r="A48" i="44"/>
  <c r="C47" i="44"/>
  <c r="B47" i="44"/>
  <c r="A47" i="44"/>
  <c r="C46" i="44"/>
  <c r="B46" i="44"/>
  <c r="A46" i="44"/>
  <c r="C45" i="44"/>
  <c r="B45" i="44"/>
  <c r="A45" i="44"/>
  <c r="C44" i="44"/>
  <c r="B44" i="44"/>
  <c r="A44" i="44"/>
  <c r="C43" i="44"/>
  <c r="B43" i="44"/>
  <c r="A43" i="44"/>
  <c r="C42" i="44"/>
  <c r="B42" i="44"/>
  <c r="A42" i="44"/>
  <c r="C41" i="44"/>
  <c r="B41" i="44"/>
  <c r="A41" i="44"/>
  <c r="C40" i="44"/>
  <c r="B40" i="44"/>
  <c r="A40" i="44"/>
  <c r="C39" i="44"/>
  <c r="B39" i="44"/>
  <c r="A39" i="44"/>
  <c r="C38" i="44"/>
  <c r="B38" i="44"/>
  <c r="A38" i="44"/>
  <c r="C37" i="44"/>
  <c r="B37" i="44"/>
  <c r="A37" i="44"/>
  <c r="C36" i="44"/>
  <c r="B36" i="44"/>
  <c r="A36" i="44"/>
  <c r="C35" i="44"/>
  <c r="B35" i="44"/>
  <c r="A35" i="44"/>
  <c r="C34" i="44"/>
  <c r="B34" i="44"/>
  <c r="A34" i="44"/>
  <c r="C33" i="44"/>
  <c r="B33" i="44"/>
  <c r="A33" i="44"/>
  <c r="C32" i="44"/>
  <c r="B32" i="44"/>
  <c r="A32" i="44"/>
  <c r="C31" i="44"/>
  <c r="B31" i="44"/>
  <c r="A31" i="44"/>
  <c r="C30" i="44"/>
  <c r="B30" i="44"/>
  <c r="A30" i="44"/>
  <c r="C29" i="44"/>
  <c r="B29" i="44"/>
  <c r="A29" i="44"/>
  <c r="C28" i="44"/>
  <c r="B28" i="44"/>
  <c r="A28" i="44"/>
  <c r="C27" i="44"/>
  <c r="B27" i="44"/>
  <c r="A27" i="44"/>
  <c r="C26" i="44"/>
  <c r="B26" i="44"/>
  <c r="A26" i="44"/>
  <c r="C25" i="44"/>
  <c r="B25" i="44"/>
  <c r="A25" i="44"/>
  <c r="C24" i="44"/>
  <c r="B24" i="44"/>
  <c r="A24" i="44"/>
  <c r="C23" i="44"/>
  <c r="B23" i="44"/>
  <c r="A23" i="44"/>
  <c r="C22" i="44"/>
  <c r="B22" i="44"/>
  <c r="A22" i="44"/>
  <c r="C21" i="44"/>
  <c r="B21" i="44"/>
  <c r="A21" i="44"/>
  <c r="C20" i="44"/>
  <c r="B20" i="44"/>
  <c r="A20" i="44"/>
  <c r="C19" i="44"/>
  <c r="B19" i="44"/>
  <c r="A19" i="44"/>
  <c r="C18" i="44"/>
  <c r="B18" i="44"/>
  <c r="A18" i="44"/>
  <c r="C17" i="44"/>
  <c r="B17" i="44"/>
  <c r="A17" i="44"/>
  <c r="C16" i="44"/>
  <c r="B16" i="44"/>
  <c r="A16" i="44"/>
  <c r="C15" i="44"/>
  <c r="B15" i="44"/>
  <c r="A15" i="44"/>
  <c r="C14" i="44"/>
  <c r="B14" i="44"/>
  <c r="A14" i="44"/>
  <c r="C13" i="44"/>
  <c r="B13" i="44"/>
  <c r="A13" i="44"/>
  <c r="C12" i="44"/>
  <c r="B12" i="44"/>
  <c r="A12" i="44"/>
  <c r="C11" i="44"/>
  <c r="B11" i="44"/>
  <c r="A11" i="44"/>
  <c r="C10" i="44"/>
  <c r="B10" i="44"/>
  <c r="A10" i="44"/>
  <c r="C9" i="44"/>
  <c r="B9" i="44"/>
  <c r="A9" i="44"/>
  <c r="C8" i="44"/>
  <c r="B8" i="44"/>
  <c r="A8" i="44"/>
  <c r="C7" i="44"/>
  <c r="B7" i="44"/>
  <c r="A7" i="44"/>
  <c r="C6" i="44"/>
  <c r="B6" i="44"/>
  <c r="A6" i="44"/>
  <c r="C5" i="44"/>
  <c r="B5" i="44"/>
  <c r="A5" i="44"/>
  <c r="C95" i="67" l="1"/>
  <c r="A86" i="83" s="1"/>
  <c r="C94" i="67"/>
  <c r="A85" i="83" s="1"/>
  <c r="C93" i="67"/>
  <c r="A84" i="83" s="1"/>
  <c r="C92" i="67"/>
  <c r="A83" i="83" s="1"/>
  <c r="C91" i="67"/>
  <c r="A82" i="83" s="1"/>
  <c r="C90" i="67"/>
  <c r="C89" i="67"/>
  <c r="C88" i="67"/>
  <c r="C87" i="67"/>
  <c r="C86" i="67"/>
  <c r="C85" i="67"/>
  <c r="C84" i="67"/>
  <c r="C83" i="67"/>
  <c r="C82" i="67"/>
  <c r="C81" i="67"/>
  <c r="C80" i="67"/>
  <c r="C79" i="67"/>
  <c r="C78" i="67"/>
  <c r="C77" i="67"/>
  <c r="C76" i="67"/>
  <c r="C75" i="67"/>
  <c r="C74" i="67"/>
  <c r="C73" i="67"/>
  <c r="C72" i="67"/>
  <c r="C71" i="67"/>
  <c r="C70" i="67"/>
  <c r="C69" i="67"/>
  <c r="C68" i="67"/>
  <c r="C67" i="67"/>
  <c r="C66" i="67"/>
  <c r="C65" i="67"/>
  <c r="C64" i="67"/>
  <c r="C63" i="67"/>
  <c r="C62" i="67"/>
  <c r="C61" i="67"/>
  <c r="C60" i="67"/>
  <c r="C59" i="67"/>
  <c r="C58" i="67"/>
  <c r="C57" i="67"/>
  <c r="C56" i="67"/>
  <c r="C55" i="67"/>
  <c r="C54" i="67"/>
  <c r="C53" i="67"/>
  <c r="C52" i="67"/>
  <c r="C51" i="67"/>
  <c r="C50" i="67"/>
  <c r="C49" i="67"/>
  <c r="C48" i="67"/>
  <c r="C47" i="67"/>
  <c r="C46" i="67"/>
  <c r="C45" i="67"/>
  <c r="C44" i="67"/>
  <c r="C43" i="67"/>
  <c r="C42" i="67"/>
  <c r="C41" i="67"/>
  <c r="C40" i="67"/>
  <c r="C39" i="67"/>
  <c r="C38" i="67"/>
  <c r="C37" i="67"/>
  <c r="C36" i="67"/>
  <c r="C35" i="67"/>
  <c r="C34" i="67"/>
  <c r="C33" i="67"/>
  <c r="C32" i="67"/>
  <c r="C31" i="67"/>
  <c r="C30" i="67"/>
  <c r="C29" i="67"/>
  <c r="C28" i="67"/>
  <c r="C27" i="67"/>
  <c r="C26" i="67"/>
  <c r="C25" i="67"/>
  <c r="C24" i="67"/>
  <c r="C23" i="67"/>
  <c r="C22" i="67"/>
  <c r="C21" i="67"/>
  <c r="C20" i="67"/>
  <c r="C19" i="67"/>
  <c r="C18" i="67"/>
  <c r="C17" i="67"/>
  <c r="C16" i="67"/>
  <c r="C15" i="67"/>
  <c r="C14" i="67"/>
  <c r="C13" i="67"/>
  <c r="C12" i="67"/>
  <c r="C11" i="67"/>
  <c r="C10" i="67"/>
  <c r="C9" i="67"/>
  <c r="C8" i="67"/>
  <c r="C7" i="67"/>
  <c r="C6" i="67"/>
  <c r="M4" i="44" l="1"/>
  <c r="L278" i="54" l="1"/>
  <c r="H278" i="54"/>
  <c r="K278" i="54"/>
  <c r="J278" i="54"/>
  <c r="I278" i="54"/>
  <c r="K270" i="54"/>
  <c r="L269" i="54"/>
  <c r="H269" i="54"/>
  <c r="I270" i="54"/>
  <c r="H270" i="54"/>
  <c r="J270" i="54"/>
  <c r="K269" i="54"/>
  <c r="J269" i="54"/>
  <c r="L270" i="54"/>
  <c r="I269" i="54"/>
  <c r="L268" i="54"/>
  <c r="H268" i="54"/>
  <c r="J264" i="54"/>
  <c r="J268" i="54"/>
  <c r="L264" i="54"/>
  <c r="H264" i="54"/>
  <c r="I264" i="54"/>
  <c r="I268" i="54"/>
  <c r="K264" i="54"/>
  <c r="K268" i="54"/>
  <c r="A105" i="44" l="1"/>
  <c r="A104" i="44"/>
  <c r="A103" i="44"/>
  <c r="A102" i="44"/>
  <c r="A101" i="44"/>
  <c r="A100" i="44"/>
  <c r="A99" i="44"/>
  <c r="A98" i="44"/>
  <c r="A97" i="44"/>
  <c r="A96" i="44"/>
  <c r="A95" i="44"/>
  <c r="A94" i="44"/>
  <c r="A93" i="44"/>
  <c r="A92" i="44"/>
  <c r="A91" i="44"/>
  <c r="L282" i="54" l="1"/>
  <c r="H282" i="54"/>
  <c r="I281" i="54"/>
  <c r="J280" i="54"/>
  <c r="K279" i="54"/>
  <c r="I277" i="54"/>
  <c r="J276" i="54"/>
  <c r="K275" i="54"/>
  <c r="L274" i="54"/>
  <c r="H274" i="54"/>
  <c r="I273" i="54"/>
  <c r="J272" i="54"/>
  <c r="K271" i="54"/>
  <c r="I267" i="54"/>
  <c r="J266" i="54"/>
  <c r="K265" i="54"/>
  <c r="L263" i="54"/>
  <c r="H263" i="54"/>
  <c r="K282" i="54"/>
  <c r="L281" i="54"/>
  <c r="H281" i="54"/>
  <c r="I280" i="54"/>
  <c r="J279" i="54"/>
  <c r="L277" i="54"/>
  <c r="H277" i="54"/>
  <c r="I276" i="54"/>
  <c r="J275" i="54"/>
  <c r="K274" i="54"/>
  <c r="L273" i="54"/>
  <c r="H273" i="54"/>
  <c r="I272" i="54"/>
  <c r="J271" i="54"/>
  <c r="L267" i="54"/>
  <c r="H267" i="54"/>
  <c r="I266" i="54"/>
  <c r="J265" i="54"/>
  <c r="K263" i="54"/>
  <c r="J282" i="54"/>
  <c r="L280" i="54"/>
  <c r="I279" i="54"/>
  <c r="K277" i="54"/>
  <c r="H276" i="54"/>
  <c r="J274" i="54"/>
  <c r="L272" i="54"/>
  <c r="I271" i="54"/>
  <c r="K267" i="54"/>
  <c r="H266" i="54"/>
  <c r="J263" i="54"/>
  <c r="L279" i="54"/>
  <c r="J273" i="54"/>
  <c r="K266" i="54"/>
  <c r="I282" i="54"/>
  <c r="K280" i="54"/>
  <c r="H279" i="54"/>
  <c r="J277" i="54"/>
  <c r="L275" i="54"/>
  <c r="I274" i="54"/>
  <c r="K272" i="54"/>
  <c r="H271" i="54"/>
  <c r="J267" i="54"/>
  <c r="L265" i="54"/>
  <c r="I263" i="54"/>
  <c r="J281" i="54"/>
  <c r="H275" i="54"/>
  <c r="K281" i="54"/>
  <c r="H280" i="54"/>
  <c r="L276" i="54"/>
  <c r="I275" i="54"/>
  <c r="K273" i="54"/>
  <c r="H272" i="54"/>
  <c r="L266" i="54"/>
  <c r="I265" i="54"/>
  <c r="K276" i="54"/>
  <c r="L271" i="54"/>
  <c r="H265" i="54"/>
  <c r="H4" i="44" l="1"/>
  <c r="G4" i="44"/>
  <c r="F4" i="44"/>
  <c r="E4" i="44"/>
  <c r="D4" i="44"/>
  <c r="J229" i="54" l="1"/>
  <c r="L229" i="54"/>
  <c r="I229" i="54"/>
  <c r="H229" i="54"/>
  <c r="K229" i="54"/>
  <c r="I249" i="54"/>
  <c r="J249" i="54"/>
  <c r="L249" i="54"/>
  <c r="H249" i="54"/>
  <c r="K249" i="54"/>
  <c r="K209" i="54"/>
  <c r="I209" i="54"/>
  <c r="L209" i="54"/>
  <c r="J209" i="54"/>
  <c r="H209" i="54"/>
  <c r="I238" i="54"/>
  <c r="K230" i="54"/>
  <c r="L238" i="54"/>
  <c r="H238" i="54"/>
  <c r="J230" i="54"/>
  <c r="K238" i="54"/>
  <c r="I230" i="54"/>
  <c r="J238" i="54"/>
  <c r="L230" i="54"/>
  <c r="H230" i="54"/>
  <c r="I258" i="54"/>
  <c r="K250" i="54"/>
  <c r="L258" i="54"/>
  <c r="H258" i="54"/>
  <c r="J250" i="54"/>
  <c r="K258" i="54"/>
  <c r="I250" i="54"/>
  <c r="J258" i="54"/>
  <c r="L250" i="54"/>
  <c r="H250" i="54"/>
  <c r="I218" i="54"/>
  <c r="K210" i="54"/>
  <c r="L218" i="54"/>
  <c r="H218" i="54"/>
  <c r="J210" i="54"/>
  <c r="K218" i="54"/>
  <c r="I210" i="54"/>
  <c r="J218" i="54"/>
  <c r="L210" i="54"/>
  <c r="H210" i="54"/>
  <c r="L228" i="54"/>
  <c r="H228" i="54"/>
  <c r="J224" i="54"/>
  <c r="J228" i="54"/>
  <c r="L224" i="54"/>
  <c r="H224" i="54"/>
  <c r="I224" i="54"/>
  <c r="I228" i="54"/>
  <c r="K224" i="54"/>
  <c r="K228" i="54"/>
  <c r="L248" i="54"/>
  <c r="H248" i="54"/>
  <c r="J244" i="54"/>
  <c r="K248" i="54"/>
  <c r="J248" i="54"/>
  <c r="L244" i="54"/>
  <c r="H244" i="54"/>
  <c r="I244" i="54"/>
  <c r="I248" i="54"/>
  <c r="K244" i="54"/>
  <c r="L208" i="54"/>
  <c r="H208" i="54"/>
  <c r="J204" i="54"/>
  <c r="K208" i="54"/>
  <c r="J208" i="54"/>
  <c r="L204" i="54"/>
  <c r="H204" i="54"/>
  <c r="I204" i="54"/>
  <c r="I208" i="54"/>
  <c r="K204" i="54"/>
  <c r="H240" i="54"/>
  <c r="L236" i="54"/>
  <c r="K233" i="54"/>
  <c r="I225" i="54"/>
  <c r="K240" i="54"/>
  <c r="J237" i="54"/>
  <c r="K239" i="54"/>
  <c r="I234" i="54"/>
  <c r="I240" i="54"/>
  <c r="H223" i="54"/>
  <c r="L237" i="54"/>
  <c r="H233" i="54"/>
  <c r="K226" i="54"/>
  <c r="K234" i="54"/>
  <c r="J240" i="54"/>
  <c r="L234" i="54"/>
  <c r="I223" i="54"/>
  <c r="J242" i="54"/>
  <c r="I239" i="54"/>
  <c r="H236" i="54"/>
  <c r="L232" i="54"/>
  <c r="K227" i="54"/>
  <c r="J223" i="54"/>
  <c r="L239" i="54"/>
  <c r="L235" i="54"/>
  <c r="I233" i="54"/>
  <c r="H227" i="54"/>
  <c r="K235" i="54"/>
  <c r="K242" i="54"/>
  <c r="J236" i="54"/>
  <c r="L231" i="54"/>
  <c r="K225" i="54"/>
  <c r="J231" i="54"/>
  <c r="L233" i="54"/>
  <c r="J227" i="54"/>
  <c r="L241" i="54"/>
  <c r="H225" i="54"/>
  <c r="K237" i="54"/>
  <c r="I231" i="54"/>
  <c r="J241" i="54"/>
  <c r="I241" i="54"/>
  <c r="H231" i="54"/>
  <c r="I227" i="54"/>
  <c r="H234" i="54"/>
  <c r="I236" i="54"/>
  <c r="J225" i="54"/>
  <c r="K241" i="54"/>
  <c r="I235" i="54"/>
  <c r="L226" i="54"/>
  <c r="H239" i="54"/>
  <c r="K236" i="54"/>
  <c r="L225" i="54"/>
  <c r="H241" i="54"/>
  <c r="I226" i="54"/>
  <c r="K232" i="54"/>
  <c r="H237" i="54"/>
  <c r="L240" i="54"/>
  <c r="J234" i="54"/>
  <c r="H226" i="54"/>
  <c r="J235" i="54"/>
  <c r="L223" i="54"/>
  <c r="J239" i="54"/>
  <c r="L227" i="54"/>
  <c r="H242" i="54"/>
  <c r="K231" i="54"/>
  <c r="J233" i="54"/>
  <c r="H232" i="54"/>
  <c r="I242" i="54"/>
  <c r="L242" i="54"/>
  <c r="I232" i="54"/>
  <c r="J232" i="54"/>
  <c r="H235" i="54"/>
  <c r="K223" i="54"/>
  <c r="I237" i="54"/>
  <c r="J226" i="54"/>
  <c r="J261" i="54"/>
  <c r="H255" i="54"/>
  <c r="L251" i="54"/>
  <c r="K246" i="54"/>
  <c r="L262" i="54"/>
  <c r="K259" i="54"/>
  <c r="J256" i="54"/>
  <c r="I253" i="54"/>
  <c r="L243" i="54"/>
  <c r="I252" i="54"/>
  <c r="L260" i="54"/>
  <c r="K261" i="54"/>
  <c r="I255" i="54"/>
  <c r="L246" i="54"/>
  <c r="I251" i="54"/>
  <c r="J259" i="54"/>
  <c r="H253" i="54"/>
  <c r="K243" i="54"/>
  <c r="K260" i="54"/>
  <c r="J257" i="54"/>
  <c r="I254" i="54"/>
  <c r="H251" i="54"/>
  <c r="L245" i="54"/>
  <c r="H262" i="54"/>
  <c r="K255" i="54"/>
  <c r="J252" i="54"/>
  <c r="I247" i="54"/>
  <c r="H243" i="54"/>
  <c r="H257" i="54"/>
  <c r="H256" i="54"/>
  <c r="K253" i="54"/>
  <c r="I245" i="54"/>
  <c r="J243" i="54"/>
  <c r="L257" i="54"/>
  <c r="J251" i="54"/>
  <c r="I259" i="54"/>
  <c r="H260" i="54"/>
  <c r="I262" i="54"/>
  <c r="L255" i="54"/>
  <c r="J247" i="54"/>
  <c r="J260" i="54"/>
  <c r="H254" i="54"/>
  <c r="K245" i="54"/>
  <c r="L253" i="54"/>
  <c r="H246" i="54"/>
  <c r="H261" i="54"/>
  <c r="I246" i="54"/>
  <c r="L259" i="54"/>
  <c r="J253" i="54"/>
  <c r="H245" i="54"/>
  <c r="K251" i="54"/>
  <c r="L261" i="54"/>
  <c r="H247" i="54"/>
  <c r="J262" i="54"/>
  <c r="I256" i="54"/>
  <c r="J254" i="54"/>
  <c r="H259" i="54"/>
  <c r="K252" i="54"/>
  <c r="I243" i="54"/>
  <c r="I257" i="54"/>
  <c r="I260" i="54"/>
  <c r="J245" i="54"/>
  <c r="L256" i="54"/>
  <c r="K257" i="54"/>
  <c r="K254" i="54"/>
  <c r="K247" i="54"/>
  <c r="K256" i="54"/>
  <c r="J246" i="54"/>
  <c r="K262" i="54"/>
  <c r="J255" i="54"/>
  <c r="L247" i="54"/>
  <c r="I261" i="54"/>
  <c r="L252" i="54"/>
  <c r="L254" i="54"/>
  <c r="H252" i="54"/>
  <c r="K222" i="54"/>
  <c r="J219" i="54"/>
  <c r="I216" i="54"/>
  <c r="H213" i="54"/>
  <c r="L207" i="54"/>
  <c r="K203" i="54"/>
  <c r="K219" i="54"/>
  <c r="I215" i="54"/>
  <c r="H211" i="54"/>
  <c r="L203" i="54"/>
  <c r="J214" i="54"/>
  <c r="J221" i="54"/>
  <c r="I217" i="54"/>
  <c r="L212" i="54"/>
  <c r="K205" i="54"/>
  <c r="H203" i="54"/>
  <c r="H219" i="54"/>
  <c r="L214" i="54"/>
  <c r="L219" i="54"/>
  <c r="H206" i="54"/>
  <c r="H221" i="54"/>
  <c r="L221" i="54"/>
  <c r="J215" i="54"/>
  <c r="I212" i="54"/>
  <c r="H207" i="54"/>
  <c r="L222" i="54"/>
  <c r="I214" i="54"/>
  <c r="K207" i="54"/>
  <c r="I205" i="54"/>
  <c r="J220" i="54"/>
  <c r="H216" i="54"/>
  <c r="L211" i="54"/>
  <c r="K211" i="54"/>
  <c r="K215" i="54"/>
  <c r="I222" i="54"/>
  <c r="K212" i="54"/>
  <c r="K216" i="54"/>
  <c r="I220" i="54"/>
  <c r="L213" i="54"/>
  <c r="J205" i="54"/>
  <c r="J216" i="54"/>
  <c r="L205" i="54"/>
  <c r="K217" i="54"/>
  <c r="K206" i="54"/>
  <c r="I207" i="54"/>
  <c r="L215" i="54"/>
  <c r="I211" i="54"/>
  <c r="L217" i="54"/>
  <c r="J211" i="54"/>
  <c r="K221" i="54"/>
  <c r="I213" i="54"/>
  <c r="J203" i="54"/>
  <c r="H205" i="54"/>
  <c r="H215" i="54"/>
  <c r="J206" i="54"/>
  <c r="I221" i="54"/>
  <c r="J207" i="54"/>
  <c r="H217" i="54"/>
  <c r="K220" i="54"/>
  <c r="H212" i="54"/>
  <c r="K213" i="54"/>
  <c r="J222" i="54"/>
  <c r="H214" i="54"/>
  <c r="H222" i="54"/>
  <c r="H220" i="54"/>
  <c r="I203" i="54"/>
  <c r="K214" i="54"/>
  <c r="I206" i="54"/>
  <c r="J217" i="54"/>
  <c r="L206" i="54"/>
  <c r="L220" i="54"/>
  <c r="I219" i="54"/>
  <c r="J212" i="54"/>
  <c r="L216" i="54"/>
  <c r="J213" i="54"/>
  <c r="L4" i="44" l="1"/>
  <c r="AE92" i="83" l="1"/>
  <c r="AF94" i="83" l="1"/>
  <c r="AE91" i="83"/>
  <c r="AF44" i="83"/>
  <c r="AF88" i="83"/>
  <c r="AE95" i="83"/>
  <c r="AF63" i="83"/>
  <c r="AG94" i="83"/>
  <c r="AF71" i="83"/>
  <c r="AF33" i="83"/>
  <c r="AF29" i="83"/>
  <c r="AE94" i="83"/>
  <c r="AE88" i="83"/>
  <c r="AF62" i="83"/>
  <c r="AF69" i="83"/>
  <c r="AG93" i="83"/>
  <c r="AE96" i="83"/>
  <c r="AG92" i="83"/>
  <c r="AE93" i="83"/>
  <c r="C7" i="84"/>
  <c r="AF23" i="83"/>
  <c r="C11" i="84"/>
  <c r="AE76" i="83"/>
  <c r="AG90" i="83"/>
  <c r="AF54" i="83"/>
  <c r="AE52" i="83"/>
  <c r="AG91" i="83"/>
  <c r="AF57" i="83"/>
  <c r="AE40" i="83"/>
  <c r="AG8" i="83"/>
  <c r="AF9" i="83"/>
  <c r="AF16" i="83"/>
  <c r="AF8" i="83"/>
  <c r="AG96" i="83"/>
  <c r="AF60" i="83"/>
  <c r="AF89" i="83"/>
  <c r="AF46" i="83"/>
  <c r="AG95" i="83"/>
  <c r="AG88" i="83"/>
  <c r="AE87" i="83"/>
  <c r="AF17" i="83"/>
  <c r="AF40" i="83"/>
  <c r="AF64" i="83"/>
  <c r="AF96" i="83"/>
  <c r="AF32" i="83"/>
  <c r="AE14" i="83"/>
  <c r="AE23" i="83"/>
  <c r="AG67" i="83"/>
  <c r="AG12" i="83"/>
  <c r="AG15" i="83"/>
  <c r="AF45" i="83"/>
  <c r="AF24" i="83"/>
  <c r="AF90" i="83"/>
  <c r="AG89" i="83"/>
  <c r="AF22" i="83"/>
  <c r="AF53" i="83"/>
  <c r="AG45" i="83"/>
  <c r="AE46" i="83"/>
  <c r="AF77" i="83"/>
  <c r="AE71" i="83"/>
  <c r="AF51" i="83"/>
  <c r="AE20" i="83"/>
  <c r="AG37" i="83"/>
  <c r="AF49" i="83"/>
  <c r="AG7" i="83"/>
  <c r="AG21" i="83"/>
  <c r="AG75" i="83"/>
  <c r="AG13" i="83"/>
  <c r="AE34" i="83"/>
  <c r="AG43" i="83"/>
  <c r="AE63" i="83"/>
  <c r="AE42" i="83"/>
  <c r="AG72" i="83"/>
  <c r="AG87" i="83"/>
  <c r="AF14" i="83"/>
  <c r="AF11" i="83"/>
  <c r="AF47" i="83"/>
  <c r="AF39" i="83"/>
  <c r="AE11" i="83"/>
  <c r="AE35" i="83"/>
  <c r="AG58" i="83"/>
  <c r="AE27" i="83"/>
  <c r="AE54" i="83"/>
  <c r="AE81" i="83"/>
  <c r="AE89" i="83"/>
  <c r="AG70" i="83"/>
  <c r="AE36" i="83"/>
  <c r="AG56" i="83"/>
  <c r="AE69" i="83"/>
  <c r="AF38" i="83"/>
  <c r="AF34" i="83"/>
  <c r="AF73" i="83"/>
  <c r="AF19" i="83"/>
  <c r="AF87" i="83"/>
  <c r="AF70" i="83"/>
  <c r="AG28" i="83"/>
  <c r="AE55" i="83"/>
  <c r="AE90" i="83"/>
  <c r="AG41" i="83"/>
  <c r="AG47" i="83"/>
  <c r="AG77" i="83"/>
  <c r="AG60" i="83"/>
  <c r="AG18" i="83"/>
  <c r="AG66" i="83"/>
  <c r="AF13" i="83"/>
  <c r="AF95" i="83"/>
  <c r="AF56" i="83"/>
  <c r="AE31" i="83"/>
  <c r="AE16" i="83"/>
  <c r="AE22" i="83"/>
  <c r="AE25" i="83"/>
  <c r="AG79" i="83"/>
  <c r="AF83" i="83"/>
  <c r="AG65" i="83"/>
  <c r="AE68" i="83"/>
  <c r="AE61" i="83"/>
  <c r="AG53" i="83"/>
  <c r="AG59" i="83"/>
  <c r="AF28" i="83"/>
  <c r="AF35" i="83"/>
  <c r="AF55" i="83"/>
  <c r="AF58" i="83"/>
  <c r="AF75" i="83"/>
  <c r="AF20" i="83"/>
  <c r="AF31" i="83"/>
  <c r="AF48" i="83"/>
  <c r="AF41" i="83"/>
  <c r="AF67" i="83"/>
  <c r="AF81" i="83"/>
  <c r="AF92" i="83"/>
  <c r="AF12" i="83"/>
  <c r="AF43" i="83"/>
  <c r="AF30" i="83"/>
  <c r="AF52" i="83"/>
  <c r="AF68" i="83"/>
  <c r="AF27" i="83"/>
  <c r="AF93" i="83"/>
  <c r="AF37" i="83"/>
  <c r="AF50" i="83"/>
  <c r="AF26" i="83"/>
  <c r="AF79" i="83"/>
  <c r="AF80" i="83"/>
  <c r="AF25" i="83"/>
  <c r="AF91" i="83"/>
  <c r="AF65" i="83"/>
  <c r="AF7" i="83"/>
  <c r="AF21" i="83"/>
  <c r="AF10" i="83"/>
  <c r="AF61" i="83"/>
  <c r="AF74" i="83"/>
  <c r="AF15" i="83"/>
  <c r="AF72" i="83"/>
  <c r="AF18" i="83"/>
  <c r="AF59" i="83"/>
  <c r="AF76" i="83"/>
  <c r="AF78" i="83"/>
  <c r="AF42" i="83"/>
  <c r="AF66" i="83"/>
  <c r="AF36" i="83"/>
  <c r="AG11" i="83"/>
  <c r="AG17" i="83"/>
  <c r="AE17" i="83"/>
  <c r="AG24" i="83"/>
  <c r="AE28" i="83"/>
  <c r="AG38" i="83"/>
  <c r="AE38" i="83"/>
  <c r="AE48" i="83"/>
  <c r="AG48" i="83"/>
  <c r="AG78" i="83"/>
  <c r="AG10" i="83"/>
  <c r="AE10" i="83"/>
  <c r="AG23" i="83"/>
  <c r="AE37" i="83"/>
  <c r="AE44" i="83"/>
  <c r="AG44" i="83"/>
  <c r="AG51" i="83"/>
  <c r="AE51" i="83"/>
  <c r="AG57" i="83"/>
  <c r="AE57" i="83"/>
  <c r="AE64" i="83"/>
  <c r="AG64" i="83"/>
  <c r="AE67" i="83"/>
  <c r="AG71" i="83"/>
  <c r="AG74" i="83"/>
  <c r="AE74" i="83"/>
  <c r="AG22" i="83"/>
  <c r="AE26" i="83"/>
  <c r="AG26" i="83"/>
  <c r="AG30" i="83"/>
  <c r="AE30" i="83"/>
  <c r="AG33" i="83"/>
  <c r="AE33" i="83"/>
  <c r="AG40" i="83"/>
  <c r="AE50" i="83"/>
  <c r="AE73" i="83"/>
  <c r="AG73" i="83"/>
  <c r="AG80" i="83"/>
  <c r="AE80" i="83"/>
  <c r="AE15" i="83"/>
  <c r="AG25" i="83"/>
  <c r="AE29" i="83"/>
  <c r="AG29" i="83"/>
  <c r="AG32" i="83"/>
  <c r="AE32" i="83"/>
  <c r="AG39" i="83"/>
  <c r="AG49" i="83"/>
  <c r="AE49" i="83"/>
  <c r="AE56" i="83"/>
  <c r="AG62" i="83"/>
  <c r="AE62" i="83"/>
  <c r="AE79" i="83"/>
  <c r="AG16" i="83" l="1"/>
  <c r="AG36" i="83"/>
  <c r="C16" i="84"/>
  <c r="C10" i="84"/>
  <c r="AE59" i="83"/>
  <c r="AE66" i="83"/>
  <c r="AE70" i="83"/>
  <c r="AE13" i="83"/>
  <c r="AE58" i="83"/>
  <c r="AG81" i="83"/>
  <c r="AG69" i="83"/>
  <c r="AE8" i="83"/>
  <c r="AG50" i="83"/>
  <c r="AE12" i="83"/>
  <c r="AE41" i="83"/>
  <c r="AG31" i="83"/>
  <c r="AG68" i="83"/>
  <c r="AG55" i="83"/>
  <c r="AE24" i="83"/>
  <c r="AG76" i="83"/>
  <c r="AG52" i="83"/>
  <c r="AG42" i="83"/>
  <c r="AE53" i="83"/>
  <c r="AE43" i="83"/>
  <c r="AE77" i="83"/>
  <c r="AE7" i="83"/>
  <c r="C22" i="84"/>
  <c r="C14" i="84"/>
  <c r="C17" i="84"/>
  <c r="AE39" i="83"/>
  <c r="AE18" i="83"/>
  <c r="AE78" i="83"/>
  <c r="C20" i="84"/>
  <c r="AG54" i="83"/>
  <c r="AG20" i="83"/>
  <c r="AE75" i="83"/>
  <c r="AG35" i="83"/>
  <c r="C18" i="84"/>
  <c r="C21" i="84"/>
  <c r="AG61" i="83"/>
  <c r="C6" i="84"/>
  <c r="C9" i="84"/>
  <c r="D18" i="84"/>
  <c r="D7" i="84"/>
  <c r="AG46" i="83"/>
  <c r="AE60" i="83"/>
  <c r="AG9" i="83"/>
  <c r="AE47" i="83"/>
  <c r="AE21" i="83"/>
  <c r="D15" i="84"/>
  <c r="AE72" i="83"/>
  <c r="C13" i="84"/>
  <c r="AG63" i="83"/>
  <c r="AG19" i="83"/>
  <c r="C8" i="84"/>
  <c r="AE9" i="83"/>
  <c r="AG34" i="83"/>
  <c r="AG27" i="83"/>
  <c r="AE65" i="83"/>
  <c r="AE45" i="83"/>
  <c r="AG14" i="83"/>
  <c r="D10" i="84"/>
  <c r="C15" i="84"/>
  <c r="C12" i="84"/>
  <c r="AE19" i="83"/>
  <c r="D13" i="84"/>
  <c r="D11" i="84"/>
  <c r="AF86" i="83"/>
  <c r="AF84" i="83"/>
  <c r="AE83" i="83"/>
  <c r="D12" i="84"/>
  <c r="D9" i="84"/>
  <c r="AG86" i="83"/>
  <c r="D14" i="84"/>
  <c r="D16" i="84"/>
  <c r="D19" i="84"/>
  <c r="D21" i="84"/>
  <c r="D6" i="84"/>
  <c r="D22" i="84"/>
  <c r="D17" i="84"/>
  <c r="AF85" i="83"/>
  <c r="D20" i="84"/>
  <c r="D8" i="84"/>
  <c r="AF82" i="83"/>
  <c r="AE84" i="83"/>
  <c r="AG84" i="83"/>
  <c r="AG85" i="83"/>
  <c r="AE85" i="83"/>
  <c r="AG82" i="83"/>
  <c r="AE82" i="83"/>
  <c r="E18" i="84" l="1"/>
  <c r="E22" i="84"/>
  <c r="E21" i="84"/>
  <c r="E6" i="84"/>
  <c r="E19" i="84"/>
  <c r="E9" i="84"/>
  <c r="E16" i="84"/>
  <c r="E12" i="84"/>
  <c r="E15" i="84"/>
  <c r="E17" i="84"/>
  <c r="E13" i="84"/>
  <c r="E8" i="84"/>
  <c r="E14" i="84"/>
  <c r="E10" i="84"/>
  <c r="AG83" i="83"/>
  <c r="AE86" i="83"/>
  <c r="C23" i="84"/>
  <c r="E20" i="84"/>
  <c r="E7" i="84"/>
  <c r="E11" i="84"/>
  <c r="C95" i="84"/>
  <c r="C99" i="84"/>
  <c r="D23" i="84"/>
  <c r="U20" i="44"/>
  <c r="C109" i="84"/>
  <c r="U8" i="44"/>
  <c r="C97" i="84"/>
  <c r="U21" i="44"/>
  <c r="C110" i="84"/>
  <c r="C107" i="84"/>
  <c r="U18" i="44"/>
  <c r="C105" i="84"/>
  <c r="U16" i="44"/>
  <c r="C103" i="84"/>
  <c r="U14" i="44"/>
  <c r="C101" i="84"/>
  <c r="U12" i="44"/>
  <c r="U9" i="44"/>
  <c r="C98" i="84"/>
  <c r="C96" i="84"/>
  <c r="U7" i="44"/>
  <c r="U19" i="44"/>
  <c r="C108" i="84"/>
  <c r="C106" i="84"/>
  <c r="U17" i="44"/>
  <c r="C104" i="84"/>
  <c r="U15" i="44"/>
  <c r="C102" i="84"/>
  <c r="U13" i="44"/>
  <c r="C100" i="84"/>
  <c r="U11" i="44"/>
  <c r="U6" i="44"/>
  <c r="C94" i="84"/>
  <c r="E23" i="84" l="1"/>
  <c r="U10" i="44"/>
  <c r="U22" i="44" l="1"/>
  <c r="G10" i="66" l="1"/>
  <c r="H74" i="84" l="1"/>
  <c r="H78" i="84"/>
  <c r="H82" i="84"/>
  <c r="H86" i="84"/>
  <c r="H75" i="84"/>
  <c r="H79" i="84"/>
  <c r="H83" i="84"/>
  <c r="H87" i="84"/>
  <c r="H72" i="84"/>
  <c r="H76" i="84"/>
  <c r="H80" i="84"/>
  <c r="H84" i="84"/>
  <c r="H88" i="84"/>
  <c r="H73" i="84"/>
  <c r="H77" i="84"/>
  <c r="H81" i="84"/>
  <c r="H85" i="84"/>
  <c r="E76" i="84"/>
  <c r="E80" i="84"/>
  <c r="E84" i="84"/>
  <c r="E88" i="84"/>
  <c r="E73" i="84"/>
  <c r="E77" i="84"/>
  <c r="E81" i="84"/>
  <c r="E85" i="84"/>
  <c r="E74" i="84"/>
  <c r="E78" i="84"/>
  <c r="E82" i="84"/>
  <c r="E86" i="84"/>
  <c r="E75" i="84"/>
  <c r="E79" i="84"/>
  <c r="E83" i="84"/>
  <c r="E87" i="84"/>
  <c r="H89" i="84" l="1"/>
  <c r="E72" i="84"/>
  <c r="E89" i="84" s="1"/>
  <c r="F102" i="67" l="1"/>
  <c r="I104" i="54"/>
  <c r="F97" i="67"/>
  <c r="I108" i="54"/>
  <c r="G103" i="67"/>
  <c r="J124" i="54"/>
  <c r="G98" i="67"/>
  <c r="J128" i="54"/>
  <c r="H101" i="67"/>
  <c r="H144" i="54"/>
  <c r="H105" i="67"/>
  <c r="L144" i="54"/>
  <c r="H96" i="67"/>
  <c r="H148" i="54"/>
  <c r="H100" i="67"/>
  <c r="L148" i="54"/>
  <c r="F103" i="67"/>
  <c r="J104" i="54"/>
  <c r="F98" i="67"/>
  <c r="J108" i="54"/>
  <c r="G104" i="67"/>
  <c r="K124" i="54"/>
  <c r="G99" i="67"/>
  <c r="K128" i="54"/>
  <c r="H102" i="67"/>
  <c r="I144" i="54"/>
  <c r="H97" i="67"/>
  <c r="I148" i="54"/>
  <c r="F104" i="67"/>
  <c r="K104" i="54"/>
  <c r="F99" i="67"/>
  <c r="K108" i="54"/>
  <c r="G101" i="67"/>
  <c r="H124" i="54"/>
  <c r="G105" i="67"/>
  <c r="L124" i="54"/>
  <c r="G96" i="67"/>
  <c r="H128" i="54"/>
  <c r="G100" i="67"/>
  <c r="L128" i="54"/>
  <c r="H103" i="67"/>
  <c r="J144" i="54"/>
  <c r="H98" i="67"/>
  <c r="J148" i="54"/>
  <c r="F101" i="67"/>
  <c r="H104" i="54"/>
  <c r="F105" i="67"/>
  <c r="L104" i="54"/>
  <c r="F96" i="67"/>
  <c r="H108" i="54"/>
  <c r="F100" i="67"/>
  <c r="L108" i="54"/>
  <c r="G102" i="67"/>
  <c r="I124" i="54"/>
  <c r="G97" i="67"/>
  <c r="I128" i="54"/>
  <c r="H104" i="67"/>
  <c r="K144" i="54"/>
  <c r="H99" i="67"/>
  <c r="K148" i="54"/>
  <c r="D101" i="67"/>
  <c r="H64" i="54"/>
  <c r="D105" i="67"/>
  <c r="L64" i="54"/>
  <c r="D97" i="67"/>
  <c r="I68" i="54"/>
  <c r="D104" i="67"/>
  <c r="K64" i="54"/>
  <c r="L68" i="54"/>
  <c r="D100" i="67"/>
  <c r="I64" i="54"/>
  <c r="D102" i="67"/>
  <c r="D98" i="67"/>
  <c r="J68" i="54"/>
  <c r="D96" i="67"/>
  <c r="H68" i="54"/>
  <c r="D103" i="67"/>
  <c r="J64" i="54"/>
  <c r="D99" i="67"/>
  <c r="K68" i="54"/>
  <c r="E96" i="67" l="1"/>
  <c r="H88" i="54"/>
  <c r="E101" i="67"/>
  <c r="H84" i="54"/>
  <c r="E98" i="67"/>
  <c r="J88" i="54"/>
  <c r="E104" i="67"/>
  <c r="K84" i="54"/>
  <c r="E103" i="67"/>
  <c r="J84" i="54"/>
  <c r="E97" i="67"/>
  <c r="I88" i="54"/>
  <c r="E102" i="67"/>
  <c r="I84" i="54"/>
  <c r="E100" i="67"/>
  <c r="L88" i="54"/>
  <c r="E99" i="67"/>
  <c r="K88" i="54"/>
  <c r="E105" i="67"/>
  <c r="L84" i="54"/>
  <c r="I13" i="67" l="1"/>
  <c r="J13" i="67"/>
  <c r="J165" i="54"/>
  <c r="J19" i="67"/>
  <c r="I19" i="67"/>
  <c r="K166" i="54"/>
  <c r="I21" i="67"/>
  <c r="J21" i="67"/>
  <c r="H167" i="54"/>
  <c r="L167" i="54"/>
  <c r="I25" i="67"/>
  <c r="J25" i="67"/>
  <c r="J97" i="67"/>
  <c r="I168" i="54"/>
  <c r="I97" i="67"/>
  <c r="J171" i="54"/>
  <c r="I33" i="67"/>
  <c r="J33" i="67"/>
  <c r="I39" i="67"/>
  <c r="J39" i="67"/>
  <c r="K172" i="54"/>
  <c r="J41" i="67"/>
  <c r="I41" i="67"/>
  <c r="H173" i="54"/>
  <c r="L173" i="54"/>
  <c r="I45" i="67"/>
  <c r="J45" i="67"/>
  <c r="J47" i="67"/>
  <c r="I174" i="54"/>
  <c r="I47" i="67"/>
  <c r="I53" i="67"/>
  <c r="J53" i="67"/>
  <c r="J175" i="54"/>
  <c r="K176" i="54"/>
  <c r="I59" i="67"/>
  <c r="J59" i="67"/>
  <c r="I61" i="67"/>
  <c r="H177" i="54"/>
  <c r="J61" i="67"/>
  <c r="J65" i="67"/>
  <c r="I65" i="67"/>
  <c r="L177" i="54"/>
  <c r="J73" i="67"/>
  <c r="I73" i="67"/>
  <c r="J179" i="54"/>
  <c r="J79" i="67"/>
  <c r="I79" i="67"/>
  <c r="K180" i="54"/>
  <c r="H181" i="54"/>
  <c r="I81" i="67"/>
  <c r="J81" i="67"/>
  <c r="I85" i="67"/>
  <c r="L181" i="54"/>
  <c r="J85" i="67"/>
  <c r="I182" i="54"/>
  <c r="I87" i="67"/>
  <c r="J87" i="67"/>
  <c r="J15" i="67"/>
  <c r="L165" i="54"/>
  <c r="I15" i="67"/>
  <c r="J23" i="67"/>
  <c r="I23" i="67"/>
  <c r="J167" i="54"/>
  <c r="L171" i="54"/>
  <c r="I35" i="67"/>
  <c r="J35" i="67"/>
  <c r="I14" i="67"/>
  <c r="K165" i="54"/>
  <c r="J14" i="67"/>
  <c r="J16" i="67"/>
  <c r="I16" i="67"/>
  <c r="H166" i="54"/>
  <c r="L166" i="54"/>
  <c r="I20" i="67"/>
  <c r="J20" i="67"/>
  <c r="I22" i="67"/>
  <c r="I167" i="54"/>
  <c r="J22" i="67"/>
  <c r="J98" i="67"/>
  <c r="I98" i="67"/>
  <c r="J168" i="54"/>
  <c r="I34" i="67"/>
  <c r="J34" i="67"/>
  <c r="K171" i="54"/>
  <c r="I36" i="67"/>
  <c r="H172" i="54"/>
  <c r="J36" i="67"/>
  <c r="I40" i="67"/>
  <c r="L172" i="54"/>
  <c r="J40" i="67"/>
  <c r="J42" i="67"/>
  <c r="I173" i="54"/>
  <c r="I42" i="67"/>
  <c r="J48" i="67"/>
  <c r="J174" i="54"/>
  <c r="I48" i="67"/>
  <c r="J54" i="67"/>
  <c r="K175" i="54"/>
  <c r="I54" i="67"/>
  <c r="H176" i="54"/>
  <c r="J56" i="67"/>
  <c r="I56" i="67"/>
  <c r="I60" i="67"/>
  <c r="J60" i="67"/>
  <c r="L176" i="54"/>
  <c r="J62" i="67"/>
  <c r="I177" i="54"/>
  <c r="I62" i="67"/>
  <c r="J74" i="67"/>
  <c r="I74" i="67"/>
  <c r="K179" i="54"/>
  <c r="H180" i="54"/>
  <c r="I76" i="67"/>
  <c r="J76" i="67"/>
  <c r="J80" i="67"/>
  <c r="I80" i="67"/>
  <c r="L180" i="54"/>
  <c r="I82" i="67"/>
  <c r="J82" i="67"/>
  <c r="I181" i="54"/>
  <c r="I88" i="67"/>
  <c r="J182" i="54"/>
  <c r="J88" i="67"/>
  <c r="I17" i="67"/>
  <c r="I166" i="54"/>
  <c r="J17" i="67"/>
  <c r="I172" i="54"/>
  <c r="I37" i="67"/>
  <c r="J37" i="67"/>
  <c r="K174" i="54"/>
  <c r="J49" i="67"/>
  <c r="I49" i="67"/>
  <c r="J51" i="67"/>
  <c r="H175" i="54"/>
  <c r="I51" i="67"/>
  <c r="I55" i="67"/>
  <c r="L175" i="54"/>
  <c r="J55" i="67"/>
  <c r="I176" i="54"/>
  <c r="J57" i="67"/>
  <c r="I57" i="67"/>
  <c r="I63" i="67"/>
  <c r="J177" i="54"/>
  <c r="J63" i="67"/>
  <c r="J71" i="67"/>
  <c r="H179" i="54"/>
  <c r="I71" i="67"/>
  <c r="I75" i="67"/>
  <c r="J75" i="67"/>
  <c r="L179" i="54"/>
  <c r="I180" i="54"/>
  <c r="J77" i="67"/>
  <c r="I77" i="67"/>
  <c r="J83" i="67"/>
  <c r="I83" i="67"/>
  <c r="J181" i="54"/>
  <c r="K182" i="54"/>
  <c r="J89" i="67"/>
  <c r="I89" i="67"/>
  <c r="H165" i="54"/>
  <c r="J11" i="67"/>
  <c r="I11" i="67"/>
  <c r="J31" i="67"/>
  <c r="H171" i="54"/>
  <c r="I31" i="67"/>
  <c r="J173" i="54"/>
  <c r="I43" i="67"/>
  <c r="J43" i="67"/>
  <c r="I12" i="67"/>
  <c r="I165" i="54"/>
  <c r="J12" i="67"/>
  <c r="I18" i="67"/>
  <c r="J18" i="67"/>
  <c r="J166" i="54"/>
  <c r="K167" i="54"/>
  <c r="I24" i="67"/>
  <c r="J24" i="67"/>
  <c r="I96" i="67"/>
  <c r="J96" i="67"/>
  <c r="H168" i="54"/>
  <c r="J100" i="67"/>
  <c r="I100" i="67"/>
  <c r="L168" i="54"/>
  <c r="J32" i="67"/>
  <c r="I171" i="54"/>
  <c r="I32" i="67"/>
  <c r="J38" i="67"/>
  <c r="J172" i="54"/>
  <c r="I38" i="67"/>
  <c r="K173" i="54"/>
  <c r="J44" i="67"/>
  <c r="I44" i="67"/>
  <c r="I46" i="67"/>
  <c r="H174" i="54"/>
  <c r="J46" i="67"/>
  <c r="L174" i="54"/>
  <c r="J50" i="67"/>
  <c r="I50" i="67"/>
  <c r="I52" i="67"/>
  <c r="I175" i="54"/>
  <c r="J52" i="67"/>
  <c r="I58" i="67"/>
  <c r="J176" i="54"/>
  <c r="J58" i="67"/>
  <c r="K177" i="54"/>
  <c r="J64" i="67"/>
  <c r="I64" i="67"/>
  <c r="I72" i="67"/>
  <c r="I179" i="54"/>
  <c r="J72" i="67"/>
  <c r="J180" i="54"/>
  <c r="I78" i="67"/>
  <c r="J78" i="67"/>
  <c r="I84" i="67"/>
  <c r="J84" i="67"/>
  <c r="K181" i="54"/>
  <c r="J86" i="67"/>
  <c r="I86" i="67"/>
  <c r="H182" i="54"/>
  <c r="I90" i="67"/>
  <c r="L182" i="54"/>
  <c r="J90" i="67"/>
  <c r="L169" i="54" l="1"/>
  <c r="J95" i="67"/>
  <c r="I95" i="67"/>
  <c r="I94" i="67"/>
  <c r="J94" i="67"/>
  <c r="K169" i="54"/>
  <c r="J7" i="67"/>
  <c r="I163" i="54"/>
  <c r="I7" i="67"/>
  <c r="J102" i="67"/>
  <c r="I164" i="54"/>
  <c r="I102" i="67"/>
  <c r="F98" i="44"/>
  <c r="G98" i="44"/>
  <c r="H98" i="44"/>
  <c r="E98" i="44"/>
  <c r="D98" i="44"/>
  <c r="J10" i="67"/>
  <c r="L163" i="54"/>
  <c r="I10" i="67"/>
  <c r="H163" i="54"/>
  <c r="J6" i="67"/>
  <c r="I6" i="67"/>
  <c r="I103" i="67"/>
  <c r="J103" i="67"/>
  <c r="J164" i="54"/>
  <c r="J28" i="67"/>
  <c r="J170" i="54"/>
  <c r="I28" i="67"/>
  <c r="J9" i="67"/>
  <c r="I9" i="67"/>
  <c r="K163" i="54"/>
  <c r="J163" i="54"/>
  <c r="J8" i="67"/>
  <c r="I8" i="67"/>
  <c r="I66" i="67"/>
  <c r="H178" i="54"/>
  <c r="J66" i="67"/>
  <c r="J68" i="67"/>
  <c r="I68" i="67"/>
  <c r="J178" i="54"/>
  <c r="I178" i="54"/>
  <c r="I67" i="67"/>
  <c r="J67" i="67"/>
  <c r="F97" i="44"/>
  <c r="H97" i="44"/>
  <c r="E97" i="44"/>
  <c r="G97" i="44"/>
  <c r="D97" i="44"/>
  <c r="J26" i="67"/>
  <c r="H170" i="54"/>
  <c r="I26" i="67"/>
  <c r="H164" i="54"/>
  <c r="I101" i="67"/>
  <c r="J101" i="67"/>
  <c r="H169" i="54"/>
  <c r="J91" i="67"/>
  <c r="I91" i="67"/>
  <c r="J30" i="67"/>
  <c r="I30" i="67"/>
  <c r="L170" i="54"/>
  <c r="J27" i="67"/>
  <c r="I27" i="67"/>
  <c r="I170" i="54"/>
  <c r="I93" i="67"/>
  <c r="J93" i="67"/>
  <c r="J169" i="54"/>
  <c r="L164" i="54"/>
  <c r="I105" i="67"/>
  <c r="J105" i="67"/>
  <c r="K164" i="54"/>
  <c r="I104" i="67"/>
  <c r="J104" i="67"/>
  <c r="K168" i="54"/>
  <c r="J99" i="67"/>
  <c r="I99" i="67"/>
  <c r="F100" i="44"/>
  <c r="H100" i="44"/>
  <c r="G100" i="44"/>
  <c r="E100" i="44"/>
  <c r="D100" i="44"/>
  <c r="F96" i="44"/>
  <c r="E96" i="44"/>
  <c r="H96" i="44"/>
  <c r="G96" i="44"/>
  <c r="D96" i="44"/>
  <c r="I169" i="54"/>
  <c r="J92" i="67"/>
  <c r="I92" i="67"/>
  <c r="L178" i="54"/>
  <c r="J70" i="67"/>
  <c r="I70" i="67"/>
  <c r="I69" i="67"/>
  <c r="K178" i="54"/>
  <c r="J69" i="67"/>
  <c r="K170" i="54"/>
  <c r="I29" i="67"/>
  <c r="J29" i="67"/>
  <c r="F99" i="44" l="1"/>
  <c r="G99" i="44"/>
  <c r="E99" i="44"/>
  <c r="H99" i="44"/>
  <c r="D99" i="44"/>
  <c r="F104" i="44"/>
  <c r="H104" i="44"/>
  <c r="G104" i="44"/>
  <c r="E104" i="44"/>
  <c r="D104" i="44"/>
  <c r="F103" i="44"/>
  <c r="E103" i="44"/>
  <c r="G103" i="44"/>
  <c r="H103" i="44"/>
  <c r="D103" i="44"/>
  <c r="F102" i="44"/>
  <c r="G102" i="44"/>
  <c r="E102" i="44"/>
  <c r="H102" i="44"/>
  <c r="D102" i="44"/>
  <c r="F101" i="44"/>
  <c r="H101" i="44"/>
  <c r="E101" i="44"/>
  <c r="G101" i="44"/>
  <c r="D101" i="44"/>
  <c r="F105" i="44"/>
  <c r="H105" i="44"/>
  <c r="E105" i="44"/>
  <c r="G105" i="44"/>
  <c r="D105" i="44"/>
  <c r="L116" i="54" l="1"/>
  <c r="F60" i="67"/>
  <c r="I115" i="54"/>
  <c r="F52" i="67"/>
  <c r="F30" i="67"/>
  <c r="L110" i="54"/>
  <c r="J110" i="54"/>
  <c r="F28" i="67"/>
  <c r="I93" i="54"/>
  <c r="E42" i="67"/>
  <c r="E41" i="67"/>
  <c r="H93" i="54"/>
  <c r="H105" i="54"/>
  <c r="F11" i="67"/>
  <c r="E22" i="67"/>
  <c r="I87" i="54"/>
  <c r="H87" i="54"/>
  <c r="E21" i="67"/>
  <c r="F42" i="67"/>
  <c r="I113" i="54"/>
  <c r="E53" i="67"/>
  <c r="J95" i="54"/>
  <c r="E69" i="67"/>
  <c r="K98" i="54"/>
  <c r="F19" i="67"/>
  <c r="K106" i="54"/>
  <c r="F20" i="67"/>
  <c r="L106" i="54"/>
  <c r="E29" i="67"/>
  <c r="K90" i="54"/>
  <c r="K102" i="54"/>
  <c r="E89" i="67"/>
  <c r="H121" i="54"/>
  <c r="F81" i="67"/>
  <c r="K114" i="54"/>
  <c r="F49" i="67"/>
  <c r="J119" i="54"/>
  <c r="F73" i="67"/>
  <c r="H107" i="54"/>
  <c r="F21" i="67"/>
  <c r="H118" i="54"/>
  <c r="F66" i="67"/>
  <c r="H112" i="54"/>
  <c r="F36" i="67"/>
  <c r="E82" i="67"/>
  <c r="I101" i="54"/>
  <c r="F43" i="67"/>
  <c r="J113" i="54"/>
  <c r="F83" i="67"/>
  <c r="J121" i="54"/>
  <c r="F38" i="67"/>
  <c r="J112" i="54"/>
  <c r="J116" i="54"/>
  <c r="F58" i="67"/>
  <c r="I110" i="54"/>
  <c r="F27" i="67"/>
  <c r="J105" i="54"/>
  <c r="F13" i="67"/>
  <c r="E24" i="67"/>
  <c r="K87" i="54"/>
  <c r="F64" i="67"/>
  <c r="K117" i="54"/>
  <c r="E73" i="67"/>
  <c r="J99" i="54"/>
  <c r="F45" i="67"/>
  <c r="L113" i="54"/>
  <c r="E70" i="67"/>
  <c r="L98" i="54"/>
  <c r="F18" i="67"/>
  <c r="J106" i="54"/>
  <c r="J90" i="54"/>
  <c r="E28" i="67"/>
  <c r="E90" i="67"/>
  <c r="L102" i="54"/>
  <c r="F84" i="67"/>
  <c r="K121" i="54"/>
  <c r="L114" i="54"/>
  <c r="F50" i="67"/>
  <c r="F72" i="67"/>
  <c r="I119" i="54"/>
  <c r="F71" i="67"/>
  <c r="H119" i="54"/>
  <c r="F25" i="67"/>
  <c r="L107" i="54"/>
  <c r="J107" i="54"/>
  <c r="F23" i="67"/>
  <c r="F24" i="67"/>
  <c r="K107" i="54"/>
  <c r="F70" i="67"/>
  <c r="L118" i="54"/>
  <c r="F67" i="67"/>
  <c r="I118" i="54"/>
  <c r="E59" i="67"/>
  <c r="K96" i="54"/>
  <c r="F89" i="67"/>
  <c r="K122" i="54"/>
  <c r="F80" i="67"/>
  <c r="L120" i="54"/>
  <c r="F55" i="67"/>
  <c r="L115" i="54"/>
  <c r="H96" i="54"/>
  <c r="E56" i="67"/>
  <c r="F14" i="67"/>
  <c r="K105" i="54"/>
  <c r="E92" i="67"/>
  <c r="I89" i="54"/>
  <c r="K116" i="54"/>
  <c r="F59" i="67"/>
  <c r="F53" i="67"/>
  <c r="J115" i="54"/>
  <c r="H115" i="54"/>
  <c r="F51" i="67"/>
  <c r="K110" i="54"/>
  <c r="F29" i="67"/>
  <c r="H56" i="67"/>
  <c r="H156" i="54"/>
  <c r="L105" i="54"/>
  <c r="F15" i="67"/>
  <c r="H92" i="54"/>
  <c r="E36" i="67"/>
  <c r="E37" i="67"/>
  <c r="I92" i="54"/>
  <c r="F62" i="67"/>
  <c r="I117" i="54"/>
  <c r="E75" i="67"/>
  <c r="L99" i="54"/>
  <c r="E51" i="67"/>
  <c r="H95" i="54"/>
  <c r="L95" i="54"/>
  <c r="E55" i="67"/>
  <c r="I98" i="54"/>
  <c r="E67" i="67"/>
  <c r="H106" i="54"/>
  <c r="F16" i="67"/>
  <c r="H90" i="54"/>
  <c r="E26" i="67"/>
  <c r="F82" i="67"/>
  <c r="I121" i="54"/>
  <c r="F85" i="67"/>
  <c r="L121" i="54"/>
  <c r="F47" i="67"/>
  <c r="I114" i="54"/>
  <c r="J114" i="54"/>
  <c r="F48" i="67"/>
  <c r="K118" i="54"/>
  <c r="F69" i="67"/>
  <c r="F37" i="67"/>
  <c r="I112" i="54"/>
  <c r="L112" i="54"/>
  <c r="F40" i="67"/>
  <c r="K152" i="54"/>
  <c r="H39" i="67"/>
  <c r="E58" i="67"/>
  <c r="J96" i="54"/>
  <c r="L96" i="54"/>
  <c r="E60" i="67"/>
  <c r="E6" i="67"/>
  <c r="H83" i="54"/>
  <c r="E61" i="67"/>
  <c r="H97" i="54"/>
  <c r="H101" i="54"/>
  <c r="E81" i="67"/>
  <c r="J161" i="54"/>
  <c r="H83" i="67"/>
  <c r="J117" i="54"/>
  <c r="F63" i="67"/>
  <c r="K119" i="54"/>
  <c r="F74" i="67"/>
  <c r="E94" i="67"/>
  <c r="K89" i="54"/>
  <c r="H116" i="54"/>
  <c r="F56" i="67"/>
  <c r="F54" i="67"/>
  <c r="K115" i="54"/>
  <c r="F26" i="67"/>
  <c r="H110" i="54"/>
  <c r="L100" i="54"/>
  <c r="E80" i="67"/>
  <c r="E40" i="67"/>
  <c r="L92" i="54"/>
  <c r="J92" i="54"/>
  <c r="E38" i="67"/>
  <c r="E23" i="67"/>
  <c r="J87" i="54"/>
  <c r="F61" i="67"/>
  <c r="H117" i="54"/>
  <c r="L117" i="54"/>
  <c r="F65" i="67"/>
  <c r="I99" i="54"/>
  <c r="E72" i="67"/>
  <c r="H113" i="54"/>
  <c r="F41" i="67"/>
  <c r="K113" i="54"/>
  <c r="F44" i="67"/>
  <c r="F17" i="67"/>
  <c r="I106" i="54"/>
  <c r="E27" i="67"/>
  <c r="I90" i="54"/>
  <c r="E30" i="67"/>
  <c r="L90" i="54"/>
  <c r="L119" i="54"/>
  <c r="F75" i="67"/>
  <c r="I107" i="54"/>
  <c r="F22" i="67"/>
  <c r="J118" i="54"/>
  <c r="F68" i="67"/>
  <c r="K112" i="54"/>
  <c r="F39" i="67"/>
  <c r="I96" i="54"/>
  <c r="E57" i="67"/>
  <c r="I97" i="54"/>
  <c r="E62" i="67"/>
  <c r="E84" i="67"/>
  <c r="K101" i="54"/>
  <c r="F57" i="67"/>
  <c r="I116" i="54"/>
  <c r="K92" i="54"/>
  <c r="E39" i="67"/>
  <c r="F39" i="44" l="1"/>
  <c r="K39" i="44" s="1"/>
  <c r="F56" i="44"/>
  <c r="K56" i="44" s="1"/>
  <c r="F33" i="67"/>
  <c r="J111" i="54"/>
  <c r="F93" i="67"/>
  <c r="J109" i="54"/>
  <c r="G27" i="67"/>
  <c r="I130" i="54"/>
  <c r="G54" i="67"/>
  <c r="K135" i="54"/>
  <c r="G51" i="67"/>
  <c r="H135" i="54"/>
  <c r="G66" i="67"/>
  <c r="H138" i="54"/>
  <c r="G70" i="67"/>
  <c r="L138" i="54"/>
  <c r="H10" i="67"/>
  <c r="L143" i="54"/>
  <c r="H9" i="67"/>
  <c r="K143" i="54"/>
  <c r="G91" i="67"/>
  <c r="H129" i="54"/>
  <c r="E10" i="67"/>
  <c r="L83" i="54"/>
  <c r="L91" i="54"/>
  <c r="E35" i="67"/>
  <c r="L161" i="54"/>
  <c r="H85" i="67"/>
  <c r="K157" i="54"/>
  <c r="H64" i="67"/>
  <c r="K83" i="54"/>
  <c r="E9" i="67"/>
  <c r="J162" i="54"/>
  <c r="H88" i="67"/>
  <c r="I162" i="54"/>
  <c r="H87" i="67"/>
  <c r="J158" i="54"/>
  <c r="H68" i="67"/>
  <c r="H54" i="67"/>
  <c r="K155" i="54"/>
  <c r="E25" i="67"/>
  <c r="L87" i="54"/>
  <c r="H100" i="54"/>
  <c r="E76" i="67"/>
  <c r="I100" i="54"/>
  <c r="E77" i="67"/>
  <c r="E20" i="67"/>
  <c r="L86" i="54"/>
  <c r="E17" i="67"/>
  <c r="I86" i="54"/>
  <c r="J86" i="54"/>
  <c r="E18" i="67"/>
  <c r="E45" i="67"/>
  <c r="L93" i="54"/>
  <c r="K162" i="54"/>
  <c r="H89" i="67"/>
  <c r="F89" i="44" s="1"/>
  <c r="K89" i="44" s="1"/>
  <c r="H152" i="54"/>
  <c r="H36" i="67"/>
  <c r="F36" i="44" s="1"/>
  <c r="K36" i="44" s="1"/>
  <c r="H90" i="67"/>
  <c r="L162" i="54"/>
  <c r="H73" i="67"/>
  <c r="F73" i="44" s="1"/>
  <c r="K73" i="44" s="1"/>
  <c r="J159" i="54"/>
  <c r="L152" i="54"/>
  <c r="H40" i="67"/>
  <c r="F40" i="44" s="1"/>
  <c r="K40" i="44" s="1"/>
  <c r="H29" i="67"/>
  <c r="K150" i="54"/>
  <c r="H62" i="67"/>
  <c r="F62" i="44" s="1"/>
  <c r="K62" i="44" s="1"/>
  <c r="I157" i="54"/>
  <c r="H150" i="54"/>
  <c r="H26" i="67"/>
  <c r="F26" i="44" s="1"/>
  <c r="L150" i="54"/>
  <c r="H30" i="67"/>
  <c r="F87" i="67"/>
  <c r="I122" i="54"/>
  <c r="F76" i="67"/>
  <c r="H120" i="54"/>
  <c r="F32" i="67"/>
  <c r="I111" i="54"/>
  <c r="F31" i="67"/>
  <c r="H111" i="54"/>
  <c r="G28" i="67"/>
  <c r="J130" i="54"/>
  <c r="I149" i="54"/>
  <c r="H92" i="67"/>
  <c r="L149" i="54"/>
  <c r="H95" i="67"/>
  <c r="I141" i="54"/>
  <c r="G82" i="67"/>
  <c r="G83" i="67"/>
  <c r="J141" i="54"/>
  <c r="I135" i="54"/>
  <c r="G52" i="67"/>
  <c r="G73" i="67"/>
  <c r="J139" i="54"/>
  <c r="K138" i="54"/>
  <c r="G69" i="67"/>
  <c r="H8" i="67"/>
  <c r="J143" i="54"/>
  <c r="I103" i="54"/>
  <c r="F7" i="67"/>
  <c r="F8" i="67"/>
  <c r="J103" i="54"/>
  <c r="J126" i="54"/>
  <c r="G18" i="67"/>
  <c r="L129" i="54"/>
  <c r="G95" i="67"/>
  <c r="I129" i="54"/>
  <c r="G92" i="67"/>
  <c r="J91" i="54"/>
  <c r="E33" i="67"/>
  <c r="E83" i="67"/>
  <c r="F83" i="44" s="1"/>
  <c r="K83" i="44" s="1"/>
  <c r="J101" i="54"/>
  <c r="L97" i="54"/>
  <c r="E65" i="67"/>
  <c r="E63" i="67"/>
  <c r="J97" i="54"/>
  <c r="E8" i="67"/>
  <c r="F8" i="44" s="1"/>
  <c r="K8" i="44" s="1"/>
  <c r="J83" i="54"/>
  <c r="I83" i="54"/>
  <c r="E7" i="67"/>
  <c r="J102" i="54"/>
  <c r="E88" i="67"/>
  <c r="F88" i="44" s="1"/>
  <c r="K88" i="44" s="1"/>
  <c r="I102" i="54"/>
  <c r="E87" i="67"/>
  <c r="J98" i="54"/>
  <c r="E68" i="67"/>
  <c r="F68" i="44" s="1"/>
  <c r="K68" i="44" s="1"/>
  <c r="E54" i="67"/>
  <c r="F54" i="44" s="1"/>
  <c r="K54" i="44" s="1"/>
  <c r="K95" i="54"/>
  <c r="H160" i="54"/>
  <c r="H76" i="67"/>
  <c r="H77" i="67"/>
  <c r="I160" i="54"/>
  <c r="L153" i="54"/>
  <c r="H45" i="67"/>
  <c r="L89" i="54"/>
  <c r="E95" i="67"/>
  <c r="H89" i="54"/>
  <c r="E91" i="67"/>
  <c r="H55" i="67"/>
  <c r="F55" i="44" s="1"/>
  <c r="K55" i="44" s="1"/>
  <c r="L155" i="54"/>
  <c r="H37" i="67"/>
  <c r="I152" i="54"/>
  <c r="I159" i="54"/>
  <c r="H72" i="67"/>
  <c r="J152" i="54"/>
  <c r="H38" i="67"/>
  <c r="H59" i="67"/>
  <c r="F59" i="44" s="1"/>
  <c r="K59" i="44" s="1"/>
  <c r="K156" i="54"/>
  <c r="H51" i="67"/>
  <c r="F51" i="44" s="1"/>
  <c r="K51" i="44" s="1"/>
  <c r="H155" i="54"/>
  <c r="I150" i="54"/>
  <c r="H27" i="67"/>
  <c r="F88" i="67"/>
  <c r="J122" i="54"/>
  <c r="F90" i="67"/>
  <c r="L122" i="54"/>
  <c r="I120" i="54"/>
  <c r="F77" i="67"/>
  <c r="F30" i="44"/>
  <c r="L111" i="54"/>
  <c r="F35" i="67"/>
  <c r="F34" i="67"/>
  <c r="K111" i="54"/>
  <c r="L109" i="54"/>
  <c r="F95" i="67"/>
  <c r="K109" i="54"/>
  <c r="F94" i="67"/>
  <c r="H35" i="67"/>
  <c r="L151" i="54"/>
  <c r="G26" i="67"/>
  <c r="H130" i="54"/>
  <c r="K149" i="54"/>
  <c r="H94" i="67"/>
  <c r="H141" i="54"/>
  <c r="G81" i="67"/>
  <c r="K125" i="54"/>
  <c r="G14" i="67"/>
  <c r="G72" i="67"/>
  <c r="I139" i="54"/>
  <c r="J138" i="54"/>
  <c r="G68" i="67"/>
  <c r="H7" i="67"/>
  <c r="I143" i="54"/>
  <c r="L103" i="54"/>
  <c r="F10" i="67"/>
  <c r="G49" i="67"/>
  <c r="K134" i="54"/>
  <c r="G42" i="67"/>
  <c r="I133" i="54"/>
  <c r="H127" i="54"/>
  <c r="G21" i="67"/>
  <c r="H132" i="54"/>
  <c r="G36" i="67"/>
  <c r="E34" i="67"/>
  <c r="K91" i="54"/>
  <c r="H91" i="54"/>
  <c r="E31" i="67"/>
  <c r="L157" i="54"/>
  <c r="H65" i="67"/>
  <c r="J157" i="54"/>
  <c r="H63" i="67"/>
  <c r="H102" i="54"/>
  <c r="E86" i="67"/>
  <c r="H158" i="54"/>
  <c r="H66" i="67"/>
  <c r="H52" i="67"/>
  <c r="I155" i="54"/>
  <c r="E74" i="67"/>
  <c r="K99" i="54"/>
  <c r="H71" i="67"/>
  <c r="H159" i="54"/>
  <c r="E78" i="67"/>
  <c r="J100" i="54"/>
  <c r="H79" i="67"/>
  <c r="K160" i="54"/>
  <c r="K86" i="54"/>
  <c r="E19" i="67"/>
  <c r="H86" i="54"/>
  <c r="E16" i="67"/>
  <c r="E43" i="67"/>
  <c r="J93" i="54"/>
  <c r="K93" i="54"/>
  <c r="E44" i="67"/>
  <c r="H80" i="67"/>
  <c r="L160" i="54"/>
  <c r="H67" i="67"/>
  <c r="F67" i="44" s="1"/>
  <c r="K67" i="44" s="1"/>
  <c r="I158" i="54"/>
  <c r="I153" i="54"/>
  <c r="H42" i="67"/>
  <c r="F42" i="44" s="1"/>
  <c r="K42" i="44" s="1"/>
  <c r="J156" i="54"/>
  <c r="H58" i="67"/>
  <c r="H75" i="67"/>
  <c r="L159" i="54"/>
  <c r="L158" i="54"/>
  <c r="H70" i="67"/>
  <c r="F70" i="44" s="1"/>
  <c r="K70" i="44" s="1"/>
  <c r="H57" i="67"/>
  <c r="F57" i="44" s="1"/>
  <c r="K57" i="44" s="1"/>
  <c r="I156" i="54"/>
  <c r="K161" i="54"/>
  <c r="H84" i="67"/>
  <c r="H81" i="67"/>
  <c r="F81" i="44" s="1"/>
  <c r="K81" i="44" s="1"/>
  <c r="H161" i="54"/>
  <c r="K120" i="54"/>
  <c r="F79" i="67"/>
  <c r="F12" i="67"/>
  <c r="I105" i="54"/>
  <c r="F72" i="44"/>
  <c r="K72" i="44" s="1"/>
  <c r="F38" i="44"/>
  <c r="K38" i="44" s="1"/>
  <c r="F80" i="44"/>
  <c r="K80" i="44" s="1"/>
  <c r="L132" i="54"/>
  <c r="G40" i="67"/>
  <c r="H109" i="54"/>
  <c r="F91" i="67"/>
  <c r="I151" i="54"/>
  <c r="H32" i="67"/>
  <c r="H33" i="67"/>
  <c r="J151" i="54"/>
  <c r="K130" i="54"/>
  <c r="G29" i="67"/>
  <c r="L130" i="54"/>
  <c r="G30" i="67"/>
  <c r="J149" i="54"/>
  <c r="H93" i="67"/>
  <c r="H149" i="54"/>
  <c r="H91" i="67"/>
  <c r="K141" i="54"/>
  <c r="G84" i="67"/>
  <c r="G85" i="67"/>
  <c r="L141" i="54"/>
  <c r="G53" i="67"/>
  <c r="J135" i="54"/>
  <c r="L135" i="54"/>
  <c r="G55" i="67"/>
  <c r="G67" i="67"/>
  <c r="I138" i="54"/>
  <c r="H143" i="54"/>
  <c r="H6" i="67"/>
  <c r="F6" i="44" s="1"/>
  <c r="K6" i="44" s="1"/>
  <c r="F9" i="67"/>
  <c r="K103" i="54"/>
  <c r="H103" i="54"/>
  <c r="F6" i="67"/>
  <c r="G76" i="67"/>
  <c r="H140" i="54"/>
  <c r="H136" i="54"/>
  <c r="G56" i="67"/>
  <c r="J129" i="54"/>
  <c r="G93" i="67"/>
  <c r="K129" i="54"/>
  <c r="G94" i="67"/>
  <c r="G74" i="67"/>
  <c r="K139" i="54"/>
  <c r="I91" i="54"/>
  <c r="E32" i="67"/>
  <c r="E85" i="67"/>
  <c r="F85" i="44" s="1"/>
  <c r="K85" i="44" s="1"/>
  <c r="L101" i="54"/>
  <c r="K97" i="54"/>
  <c r="E64" i="67"/>
  <c r="F64" i="44" s="1"/>
  <c r="K64" i="44" s="1"/>
  <c r="H86" i="67"/>
  <c r="H162" i="54"/>
  <c r="E66" i="67"/>
  <c r="H98" i="54"/>
  <c r="E52" i="67"/>
  <c r="F52" i="44" s="1"/>
  <c r="K52" i="44" s="1"/>
  <c r="I95" i="54"/>
  <c r="H74" i="67"/>
  <c r="K159" i="54"/>
  <c r="H99" i="54"/>
  <c r="E71" i="67"/>
  <c r="J160" i="54"/>
  <c r="H78" i="67"/>
  <c r="K100" i="54"/>
  <c r="E79" i="67"/>
  <c r="H43" i="67"/>
  <c r="J153" i="54"/>
  <c r="H44" i="67"/>
  <c r="K153" i="54"/>
  <c r="J89" i="54"/>
  <c r="E93" i="67"/>
  <c r="H61" i="67"/>
  <c r="F61" i="44" s="1"/>
  <c r="K61" i="44" s="1"/>
  <c r="H157" i="54"/>
  <c r="H153" i="54"/>
  <c r="H41" i="67"/>
  <c r="F41" i="44" s="1"/>
  <c r="K41" i="44" s="1"/>
  <c r="L156" i="54"/>
  <c r="H60" i="67"/>
  <c r="F60" i="44" s="1"/>
  <c r="K60" i="44" s="1"/>
  <c r="H53" i="67"/>
  <c r="F53" i="44" s="1"/>
  <c r="K53" i="44" s="1"/>
  <c r="J155" i="54"/>
  <c r="K158" i="54"/>
  <c r="H69" i="67"/>
  <c r="F69" i="44" s="1"/>
  <c r="K69" i="44" s="1"/>
  <c r="J150" i="54"/>
  <c r="H28" i="67"/>
  <c r="F28" i="44" s="1"/>
  <c r="I161" i="54"/>
  <c r="H82" i="67"/>
  <c r="F82" i="44" s="1"/>
  <c r="K82" i="44" s="1"/>
  <c r="F46" i="67"/>
  <c r="H114" i="54"/>
  <c r="J120" i="54"/>
  <c r="F78" i="67"/>
  <c r="H122" i="54"/>
  <c r="F86" i="67"/>
  <c r="F84" i="44"/>
  <c r="K84" i="44" s="1"/>
  <c r="F27" i="44"/>
  <c r="F58" i="44"/>
  <c r="K58" i="44" s="1"/>
  <c r="F75" i="44"/>
  <c r="K75" i="44" s="1"/>
  <c r="F37" i="44"/>
  <c r="K37" i="44" s="1"/>
  <c r="F90" i="44"/>
  <c r="K90" i="44" s="1"/>
  <c r="F29" i="44"/>
  <c r="F9" i="44" l="1"/>
  <c r="K9" i="44" s="1"/>
  <c r="F32" i="44"/>
  <c r="K32" i="44" s="1"/>
  <c r="F79" i="44"/>
  <c r="K79" i="44" s="1"/>
  <c r="F71" i="44"/>
  <c r="K71" i="44" s="1"/>
  <c r="F87" i="44"/>
  <c r="K87" i="44" s="1"/>
  <c r="F66" i="44"/>
  <c r="K66" i="44" s="1"/>
  <c r="F10" i="44"/>
  <c r="K10" i="44" s="1"/>
  <c r="F91" i="44"/>
  <c r="K91" i="44" s="1"/>
  <c r="K26" i="44"/>
  <c r="F93" i="44"/>
  <c r="K93" i="44" s="1"/>
  <c r="K28" i="44"/>
  <c r="H131" i="54"/>
  <c r="G31" i="67"/>
  <c r="G65" i="67"/>
  <c r="L137" i="54"/>
  <c r="G35" i="67"/>
  <c r="L131" i="54"/>
  <c r="L126" i="54"/>
  <c r="G20" i="67"/>
  <c r="G80" i="67"/>
  <c r="L140" i="54"/>
  <c r="H139" i="54"/>
  <c r="G71" i="67"/>
  <c r="G86" i="67"/>
  <c r="H142" i="54"/>
  <c r="G89" i="67"/>
  <c r="K142" i="54"/>
  <c r="J125" i="54"/>
  <c r="G13" i="67"/>
  <c r="L125" i="54"/>
  <c r="G15" i="67"/>
  <c r="G39" i="67"/>
  <c r="K132" i="54"/>
  <c r="G33" i="67"/>
  <c r="J131" i="54"/>
  <c r="J147" i="54"/>
  <c r="H23" i="67"/>
  <c r="F23" i="44" s="1"/>
  <c r="K23" i="44" s="1"/>
  <c r="I146" i="54"/>
  <c r="H17" i="67"/>
  <c r="H147" i="54"/>
  <c r="H21" i="67"/>
  <c r="F21" i="44" s="1"/>
  <c r="K21" i="44" s="1"/>
  <c r="K29" i="44"/>
  <c r="F94" i="44"/>
  <c r="K94" i="44" s="1"/>
  <c r="K27" i="44"/>
  <c r="F92" i="44"/>
  <c r="K92" i="44" s="1"/>
  <c r="F95" i="44"/>
  <c r="K95" i="44" s="1"/>
  <c r="K30" i="44"/>
  <c r="F63" i="44"/>
  <c r="K63" i="44" s="1"/>
  <c r="F77" i="44"/>
  <c r="K77" i="44" s="1"/>
  <c r="F35" i="44"/>
  <c r="K35" i="44" s="1"/>
  <c r="G63" i="67"/>
  <c r="J137" i="54"/>
  <c r="G19" i="67"/>
  <c r="K126" i="54"/>
  <c r="G79" i="67"/>
  <c r="K140" i="54"/>
  <c r="G17" i="67"/>
  <c r="I126" i="54"/>
  <c r="L142" i="54"/>
  <c r="G90" i="67"/>
  <c r="L127" i="54"/>
  <c r="G25" i="67"/>
  <c r="G46" i="67"/>
  <c r="H134" i="54"/>
  <c r="G47" i="67"/>
  <c r="I134" i="54"/>
  <c r="L133" i="54"/>
  <c r="G45" i="67"/>
  <c r="K151" i="54"/>
  <c r="H34" i="67"/>
  <c r="F34" i="44" s="1"/>
  <c r="K34" i="44" s="1"/>
  <c r="G88" i="67"/>
  <c r="J142" i="54"/>
  <c r="H125" i="54"/>
  <c r="G11" i="67"/>
  <c r="H123" i="54"/>
  <c r="G6" i="67"/>
  <c r="G44" i="67"/>
  <c r="K133" i="54"/>
  <c r="H146" i="54"/>
  <c r="H16" i="67"/>
  <c r="F16" i="44" s="1"/>
  <c r="K16" i="44" s="1"/>
  <c r="H20" i="67"/>
  <c r="L146" i="54"/>
  <c r="K147" i="54"/>
  <c r="H24" i="67"/>
  <c r="F24" i="44" s="1"/>
  <c r="K24" i="44" s="1"/>
  <c r="F43" i="44"/>
  <c r="K43" i="44" s="1"/>
  <c r="F78" i="44"/>
  <c r="K78" i="44" s="1"/>
  <c r="F74" i="44"/>
  <c r="K74" i="44" s="1"/>
  <c r="F65" i="44"/>
  <c r="K65" i="44" s="1"/>
  <c r="F33" i="44"/>
  <c r="K33" i="44" s="1"/>
  <c r="F45" i="44"/>
  <c r="K45" i="44" s="1"/>
  <c r="F17" i="44"/>
  <c r="K17" i="44" s="1"/>
  <c r="J123" i="54"/>
  <c r="G8" i="67"/>
  <c r="I137" i="54"/>
  <c r="G62" i="67"/>
  <c r="K123" i="54"/>
  <c r="G9" i="67"/>
  <c r="K137" i="54"/>
  <c r="G64" i="67"/>
  <c r="H137" i="54"/>
  <c r="G61" i="67"/>
  <c r="G58" i="67"/>
  <c r="J136" i="54"/>
  <c r="G16" i="67"/>
  <c r="H126" i="54"/>
  <c r="I127" i="54"/>
  <c r="G22" i="67"/>
  <c r="L123" i="54"/>
  <c r="G10" i="67"/>
  <c r="G37" i="67"/>
  <c r="I132" i="54"/>
  <c r="J132" i="54"/>
  <c r="G38" i="67"/>
  <c r="G77" i="67"/>
  <c r="I140" i="54"/>
  <c r="G60" i="67"/>
  <c r="L136" i="54"/>
  <c r="K146" i="54"/>
  <c r="H19" i="67"/>
  <c r="F19" i="44" s="1"/>
  <c r="K19" i="44" s="1"/>
  <c r="L147" i="54"/>
  <c r="H25" i="67"/>
  <c r="F25" i="44" s="1"/>
  <c r="K25" i="44" s="1"/>
  <c r="I125" i="54"/>
  <c r="G12" i="67"/>
  <c r="F44" i="44"/>
  <c r="K44" i="44" s="1"/>
  <c r="F86" i="44"/>
  <c r="K86" i="44" s="1"/>
  <c r="F76" i="44"/>
  <c r="K76" i="44" s="1"/>
  <c r="I109" i="54"/>
  <c r="F92" i="67"/>
  <c r="I131" i="54"/>
  <c r="G32" i="67"/>
  <c r="G75" i="67"/>
  <c r="L139" i="54"/>
  <c r="G78" i="67"/>
  <c r="J140" i="54"/>
  <c r="G57" i="67"/>
  <c r="I136" i="54"/>
  <c r="G59" i="67"/>
  <c r="K136" i="54"/>
  <c r="G23" i="67"/>
  <c r="J127" i="54"/>
  <c r="K127" i="54"/>
  <c r="G24" i="67"/>
  <c r="G87" i="67"/>
  <c r="I142" i="54"/>
  <c r="H133" i="54"/>
  <c r="G41" i="67"/>
  <c r="I123" i="54"/>
  <c r="G7" i="67"/>
  <c r="G50" i="67"/>
  <c r="L134" i="54"/>
  <c r="H151" i="54"/>
  <c r="H31" i="67"/>
  <c r="F31" i="44" s="1"/>
  <c r="K31" i="44" s="1"/>
  <c r="G34" i="67"/>
  <c r="K131" i="54"/>
  <c r="G48" i="67"/>
  <c r="J134" i="54"/>
  <c r="I147" i="54"/>
  <c r="H22" i="67"/>
  <c r="F22" i="44" s="1"/>
  <c r="K22" i="44" s="1"/>
  <c r="H18" i="67"/>
  <c r="F18" i="44" s="1"/>
  <c r="K18" i="44" s="1"/>
  <c r="J146" i="54"/>
  <c r="J133" i="54"/>
  <c r="G43" i="67"/>
  <c r="F7" i="44"/>
  <c r="K7" i="44" s="1"/>
  <c r="F20" i="44"/>
  <c r="K20" i="44" s="1"/>
  <c r="H81" i="54"/>
  <c r="D81" i="67"/>
  <c r="D46" i="67"/>
  <c r="H74" i="54"/>
  <c r="D66" i="67"/>
  <c r="H78" i="54"/>
  <c r="D91" i="67"/>
  <c r="H69" i="54"/>
  <c r="D41" i="67"/>
  <c r="H73" i="54"/>
  <c r="D76" i="67"/>
  <c r="H80" i="54"/>
  <c r="H76" i="54"/>
  <c r="D56" i="67"/>
  <c r="D31" i="67"/>
  <c r="H71" i="54"/>
  <c r="H72" i="54"/>
  <c r="D36" i="67"/>
  <c r="D26" i="67"/>
  <c r="H70" i="54"/>
  <c r="H75" i="54"/>
  <c r="D51" i="67"/>
  <c r="H77" i="54"/>
  <c r="D61" i="67"/>
  <c r="D71" i="67"/>
  <c r="H79" i="54"/>
  <c r="K99" i="44" l="1"/>
  <c r="K104" i="44"/>
  <c r="K98" i="44"/>
  <c r="K103" i="44"/>
  <c r="K97" i="44"/>
  <c r="K102" i="44"/>
  <c r="K100" i="44"/>
  <c r="K105" i="44"/>
  <c r="K96" i="44"/>
  <c r="K101" i="44"/>
  <c r="I78" i="54"/>
  <c r="D67" i="67"/>
  <c r="D37" i="67"/>
  <c r="I72" i="54"/>
  <c r="D77" i="67"/>
  <c r="I80" i="54"/>
  <c r="H61" i="44"/>
  <c r="E61" i="44"/>
  <c r="G61" i="44"/>
  <c r="D61" i="44"/>
  <c r="D21" i="67"/>
  <c r="H67" i="54"/>
  <c r="D16" i="67"/>
  <c r="H66" i="54"/>
  <c r="D52" i="67"/>
  <c r="I75" i="54"/>
  <c r="I69" i="54"/>
  <c r="D92" i="67"/>
  <c r="I79" i="54"/>
  <c r="D72" i="67"/>
  <c r="D42" i="67"/>
  <c r="I73" i="54"/>
  <c r="E26" i="44"/>
  <c r="G26" i="44"/>
  <c r="H26" i="44"/>
  <c r="D26" i="44"/>
  <c r="G31" i="44"/>
  <c r="E31" i="44"/>
  <c r="H31" i="44"/>
  <c r="D31" i="44"/>
  <c r="G76" i="44"/>
  <c r="H76" i="44"/>
  <c r="E76" i="44"/>
  <c r="D76" i="44"/>
  <c r="E46" i="44"/>
  <c r="D46" i="44"/>
  <c r="H82" i="54"/>
  <c r="D86" i="67"/>
  <c r="I74" i="54"/>
  <c r="D47" i="67"/>
  <c r="I77" i="54"/>
  <c r="D62" i="67"/>
  <c r="I81" i="54"/>
  <c r="D82" i="67"/>
  <c r="E51" i="44"/>
  <c r="H51" i="44"/>
  <c r="G51" i="44"/>
  <c r="D51" i="44"/>
  <c r="H36" i="44"/>
  <c r="E36" i="44"/>
  <c r="G36" i="44"/>
  <c r="D36" i="44"/>
  <c r="G56" i="44"/>
  <c r="H56" i="44"/>
  <c r="E56" i="44"/>
  <c r="D56" i="44"/>
  <c r="G81" i="44"/>
  <c r="H81" i="44"/>
  <c r="E81" i="44"/>
  <c r="D81" i="44"/>
  <c r="H65" i="54"/>
  <c r="D11" i="67"/>
  <c r="I70" i="54"/>
  <c r="D27" i="67"/>
  <c r="D57" i="67"/>
  <c r="I76" i="54"/>
  <c r="D32" i="67"/>
  <c r="I71" i="54"/>
  <c r="G71" i="44"/>
  <c r="E71" i="44"/>
  <c r="H71" i="44"/>
  <c r="D71" i="44"/>
  <c r="H41" i="44"/>
  <c r="G41" i="44"/>
  <c r="E41" i="44"/>
  <c r="D41" i="44"/>
  <c r="H66" i="44"/>
  <c r="G66" i="44"/>
  <c r="E66" i="44"/>
  <c r="D66" i="44"/>
  <c r="J76" i="44" l="1"/>
  <c r="L76" i="44" s="1"/>
  <c r="M81" i="44"/>
  <c r="M56" i="44"/>
  <c r="M36" i="44"/>
  <c r="M51" i="44"/>
  <c r="J31" i="44"/>
  <c r="L31" i="44" s="1"/>
  <c r="J61" i="44"/>
  <c r="L61" i="44" s="1"/>
  <c r="J71" i="44"/>
  <c r="L71" i="44" s="1"/>
  <c r="J36" i="44"/>
  <c r="L36" i="44" s="1"/>
  <c r="J51" i="44"/>
  <c r="L51" i="44" s="1"/>
  <c r="J46" i="44"/>
  <c r="M61" i="44"/>
  <c r="H94" i="54"/>
  <c r="E46" i="67"/>
  <c r="H46" i="67"/>
  <c r="H154" i="54"/>
  <c r="E11" i="67"/>
  <c r="H85" i="54"/>
  <c r="J80" i="54"/>
  <c r="D78" i="67"/>
  <c r="D58" i="67"/>
  <c r="J76" i="54"/>
  <c r="J72" i="54"/>
  <c r="D38" i="67"/>
  <c r="J70" i="54"/>
  <c r="D28" i="67"/>
  <c r="D17" i="67"/>
  <c r="I66" i="54"/>
  <c r="H63" i="54"/>
  <c r="D6" i="67"/>
  <c r="M66" i="44"/>
  <c r="M41" i="44"/>
  <c r="E11" i="44"/>
  <c r="D11" i="44"/>
  <c r="E62" i="44"/>
  <c r="G62" i="44"/>
  <c r="H62" i="44"/>
  <c r="D62" i="44"/>
  <c r="E86" i="44"/>
  <c r="H86" i="44"/>
  <c r="G86" i="44"/>
  <c r="D86" i="44"/>
  <c r="M26" i="44"/>
  <c r="G91" i="44"/>
  <c r="E72" i="44"/>
  <c r="H72" i="44"/>
  <c r="G72" i="44"/>
  <c r="D72" i="44"/>
  <c r="D83" i="67"/>
  <c r="J81" i="54"/>
  <c r="J75" i="54"/>
  <c r="D53" i="67"/>
  <c r="D33" i="67"/>
  <c r="J71" i="54"/>
  <c r="D22" i="67"/>
  <c r="I67" i="54"/>
  <c r="D87" i="67"/>
  <c r="I82" i="54"/>
  <c r="M71" i="44"/>
  <c r="E57" i="44"/>
  <c r="G57" i="44"/>
  <c r="H57" i="44"/>
  <c r="D57" i="44"/>
  <c r="M76" i="44"/>
  <c r="N76" i="44" s="1"/>
  <c r="M31" i="44"/>
  <c r="E91" i="44"/>
  <c r="G52" i="44"/>
  <c r="E52" i="44"/>
  <c r="H52" i="44"/>
  <c r="D52" i="44"/>
  <c r="G21" i="44"/>
  <c r="E21" i="44"/>
  <c r="H21" i="44"/>
  <c r="D21" i="44"/>
  <c r="H37" i="44"/>
  <c r="G37" i="44"/>
  <c r="E37" i="44"/>
  <c r="D37" i="44"/>
  <c r="J77" i="54"/>
  <c r="D63" i="67"/>
  <c r="D73" i="67"/>
  <c r="J79" i="54"/>
  <c r="D48" i="67"/>
  <c r="J74" i="54"/>
  <c r="D12" i="67"/>
  <c r="I65" i="54"/>
  <c r="J66" i="44"/>
  <c r="L66" i="44" s="1"/>
  <c r="N66" i="44" s="1"/>
  <c r="P66" i="44" s="1"/>
  <c r="Q66" i="44" s="1"/>
  <c r="R66" i="44" s="1"/>
  <c r="J41" i="44"/>
  <c r="L41" i="44" s="1"/>
  <c r="N41" i="44" s="1"/>
  <c r="H27" i="44"/>
  <c r="G27" i="44"/>
  <c r="E27" i="44"/>
  <c r="D27" i="44"/>
  <c r="J81" i="44"/>
  <c r="L81" i="44" s="1"/>
  <c r="N81" i="44" s="1"/>
  <c r="J56" i="44"/>
  <c r="L56" i="44" s="1"/>
  <c r="E82" i="44"/>
  <c r="G82" i="44"/>
  <c r="H82" i="44"/>
  <c r="D82" i="44"/>
  <c r="E47" i="44"/>
  <c r="D47" i="44"/>
  <c r="J26" i="44"/>
  <c r="L26" i="44" s="1"/>
  <c r="D91" i="44"/>
  <c r="E67" i="44"/>
  <c r="H67" i="44"/>
  <c r="G67" i="44"/>
  <c r="D67" i="44"/>
  <c r="D43" i="67"/>
  <c r="J73" i="54"/>
  <c r="D68" i="67"/>
  <c r="J78" i="54"/>
  <c r="J69" i="54"/>
  <c r="D93" i="67"/>
  <c r="H32" i="44"/>
  <c r="G32" i="44"/>
  <c r="E32" i="44"/>
  <c r="D32" i="44"/>
  <c r="H91" i="44"/>
  <c r="H42" i="44"/>
  <c r="E42" i="44"/>
  <c r="G42" i="44"/>
  <c r="D42" i="44"/>
  <c r="G16" i="44"/>
  <c r="H16" i="44"/>
  <c r="E16" i="44"/>
  <c r="D16" i="44"/>
  <c r="H77" i="44"/>
  <c r="G77" i="44"/>
  <c r="E77" i="44"/>
  <c r="D77" i="44"/>
  <c r="J21" i="44" l="1"/>
  <c r="L21" i="44" s="1"/>
  <c r="J52" i="44"/>
  <c r="L52" i="44" s="1"/>
  <c r="N31" i="44"/>
  <c r="M86" i="44"/>
  <c r="N36" i="44"/>
  <c r="N51" i="44"/>
  <c r="P51" i="44" s="1"/>
  <c r="Q51" i="44" s="1"/>
  <c r="R51" i="44" s="1"/>
  <c r="M21" i="44"/>
  <c r="N21" i="44" s="1"/>
  <c r="P21" i="44" s="1"/>
  <c r="Q21" i="44" s="1"/>
  <c r="R21" i="44" s="1"/>
  <c r="M52" i="44"/>
  <c r="N52" i="44" s="1"/>
  <c r="P52" i="44" s="1"/>
  <c r="Q52" i="44" s="1"/>
  <c r="R52" i="44" s="1"/>
  <c r="N71" i="44"/>
  <c r="N56" i="44"/>
  <c r="P56" i="44" s="1"/>
  <c r="Q56" i="44" s="1"/>
  <c r="R56" i="44" s="1"/>
  <c r="J37" i="44"/>
  <c r="L37" i="44" s="1"/>
  <c r="N26" i="44"/>
  <c r="P26" i="44" s="1"/>
  <c r="Q26" i="44" s="1"/>
  <c r="R26" i="44" s="1"/>
  <c r="M37" i="44"/>
  <c r="N61" i="44"/>
  <c r="P61" i="44" s="1"/>
  <c r="Q61" i="44" s="1"/>
  <c r="R61" i="44" s="1"/>
  <c r="J32" i="44"/>
  <c r="L32" i="44" s="1"/>
  <c r="J72" i="44"/>
  <c r="L72" i="44" s="1"/>
  <c r="H11" i="67"/>
  <c r="H145" i="54"/>
  <c r="M42" i="44"/>
  <c r="E12" i="67"/>
  <c r="I85" i="54"/>
  <c r="H47" i="67"/>
  <c r="I154" i="54"/>
  <c r="M77" i="44"/>
  <c r="H46" i="44"/>
  <c r="G46" i="44"/>
  <c r="E47" i="67"/>
  <c r="I94" i="54"/>
  <c r="F11" i="44"/>
  <c r="K11" i="44" s="1"/>
  <c r="F46" i="44"/>
  <c r="K46" i="44" s="1"/>
  <c r="L46" i="44" s="1"/>
  <c r="M67" i="44"/>
  <c r="J91" i="44"/>
  <c r="J96" i="44" s="1"/>
  <c r="L96" i="44" s="1"/>
  <c r="H92" i="44"/>
  <c r="P71" i="44"/>
  <c r="Q71" i="44" s="1"/>
  <c r="R71" i="44" s="1"/>
  <c r="P76" i="44"/>
  <c r="Q76" i="44" s="1"/>
  <c r="R76" i="44" s="1"/>
  <c r="M82" i="44"/>
  <c r="G92" i="44"/>
  <c r="M27" i="44"/>
  <c r="E48" i="44"/>
  <c r="D48" i="44"/>
  <c r="J57" i="44"/>
  <c r="L57" i="44" s="1"/>
  <c r="H22" i="44"/>
  <c r="G22" i="44"/>
  <c r="E22" i="44"/>
  <c r="D22" i="44"/>
  <c r="M72" i="44"/>
  <c r="M62" i="44"/>
  <c r="G6" i="44"/>
  <c r="H6" i="44"/>
  <c r="E6" i="44"/>
  <c r="D6" i="44"/>
  <c r="G28" i="44"/>
  <c r="H28" i="44"/>
  <c r="E28" i="44"/>
  <c r="D28" i="44"/>
  <c r="J82" i="54"/>
  <c r="D88" i="67"/>
  <c r="D94" i="67"/>
  <c r="K69" i="54"/>
  <c r="K74" i="54"/>
  <c r="D49" i="67"/>
  <c r="D45" i="67"/>
  <c r="L73" i="54"/>
  <c r="D30" i="67"/>
  <c r="L70" i="54"/>
  <c r="D59" i="67"/>
  <c r="K76" i="54"/>
  <c r="K71" i="54"/>
  <c r="D34" i="67"/>
  <c r="D55" i="67"/>
  <c r="L75" i="54"/>
  <c r="D80" i="67"/>
  <c r="L80" i="54"/>
  <c r="G43" i="44"/>
  <c r="H43" i="44"/>
  <c r="E43" i="44"/>
  <c r="D43" i="44"/>
  <c r="P81" i="44"/>
  <c r="Q81" i="44" s="1"/>
  <c r="R81" i="44" s="1"/>
  <c r="E58" i="44"/>
  <c r="G58" i="44"/>
  <c r="H58" i="44"/>
  <c r="D58" i="44"/>
  <c r="D70" i="67"/>
  <c r="L78" i="54"/>
  <c r="D85" i="67"/>
  <c r="L81" i="54"/>
  <c r="K72" i="54"/>
  <c r="D39" i="67"/>
  <c r="D18" i="67"/>
  <c r="J66" i="54"/>
  <c r="D23" i="67"/>
  <c r="J67" i="54"/>
  <c r="D29" i="67"/>
  <c r="K70" i="54"/>
  <c r="L72" i="54"/>
  <c r="D40" i="67"/>
  <c r="L76" i="54"/>
  <c r="D60" i="67"/>
  <c r="L71" i="54"/>
  <c r="D35" i="67"/>
  <c r="K75" i="54"/>
  <c r="D54" i="67"/>
  <c r="K80" i="54"/>
  <c r="D79" i="67"/>
  <c r="M16" i="44"/>
  <c r="M32" i="44"/>
  <c r="J67" i="44"/>
  <c r="L67" i="44" s="1"/>
  <c r="J47" i="44"/>
  <c r="J82" i="44"/>
  <c r="L82" i="44" s="1"/>
  <c r="J27" i="44"/>
  <c r="L27" i="44" s="1"/>
  <c r="D92" i="44"/>
  <c r="E12" i="44"/>
  <c r="D12" i="44"/>
  <c r="H73" i="44"/>
  <c r="G73" i="44"/>
  <c r="E73" i="44"/>
  <c r="D73" i="44"/>
  <c r="M57" i="44"/>
  <c r="G87" i="44"/>
  <c r="H87" i="44"/>
  <c r="E87" i="44"/>
  <c r="D87" i="44"/>
  <c r="H33" i="44"/>
  <c r="E33" i="44"/>
  <c r="G33" i="44"/>
  <c r="D33" i="44"/>
  <c r="E83" i="44"/>
  <c r="H83" i="44"/>
  <c r="G83" i="44"/>
  <c r="D83" i="44"/>
  <c r="J86" i="44"/>
  <c r="L86" i="44" s="1"/>
  <c r="J62" i="44"/>
  <c r="L62" i="44" s="1"/>
  <c r="J11" i="44"/>
  <c r="H38" i="44"/>
  <c r="E38" i="44"/>
  <c r="G38" i="44"/>
  <c r="D38" i="44"/>
  <c r="G78" i="44"/>
  <c r="H78" i="44"/>
  <c r="E78" i="44"/>
  <c r="D78" i="44"/>
  <c r="J65" i="54"/>
  <c r="D13" i="67"/>
  <c r="L79" i="54"/>
  <c r="D75" i="67"/>
  <c r="K77" i="54"/>
  <c r="D64" i="67"/>
  <c r="I63" i="54"/>
  <c r="D7" i="67"/>
  <c r="L69" i="54"/>
  <c r="D95" i="67"/>
  <c r="D69" i="67"/>
  <c r="K78" i="54"/>
  <c r="L74" i="54"/>
  <c r="D50" i="67"/>
  <c r="K79" i="54"/>
  <c r="D74" i="67"/>
  <c r="K73" i="54"/>
  <c r="D44" i="67"/>
  <c r="L77" i="54"/>
  <c r="D65" i="67"/>
  <c r="K81" i="54"/>
  <c r="D84" i="67"/>
  <c r="J77" i="44"/>
  <c r="L77" i="44" s="1"/>
  <c r="J16" i="44"/>
  <c r="L16" i="44" s="1"/>
  <c r="J42" i="44"/>
  <c r="L42" i="44" s="1"/>
  <c r="N42" i="44" s="1"/>
  <c r="P42" i="44" s="1"/>
  <c r="Q42" i="44" s="1"/>
  <c r="R42" i="44" s="1"/>
  <c r="H68" i="44"/>
  <c r="G68" i="44"/>
  <c r="E68" i="44"/>
  <c r="D68" i="44"/>
  <c r="P31" i="44"/>
  <c r="Q31" i="44" s="1"/>
  <c r="R31" i="44" s="1"/>
  <c r="P36" i="44"/>
  <c r="Q36" i="44" s="1"/>
  <c r="R36" i="44" s="1"/>
  <c r="E92" i="44"/>
  <c r="P41" i="44"/>
  <c r="Q41" i="44" s="1"/>
  <c r="R41" i="44" s="1"/>
  <c r="G63" i="44"/>
  <c r="E63" i="44"/>
  <c r="H63" i="44"/>
  <c r="D63" i="44"/>
  <c r="H53" i="44"/>
  <c r="E53" i="44"/>
  <c r="G53" i="44"/>
  <c r="D53" i="44"/>
  <c r="M91" i="44"/>
  <c r="G17" i="44"/>
  <c r="H17" i="44"/>
  <c r="E17" i="44"/>
  <c r="D17" i="44"/>
  <c r="N86" i="44" l="1"/>
  <c r="N37" i="44"/>
  <c r="P37" i="44" s="1"/>
  <c r="Q37" i="44" s="1"/>
  <c r="R37" i="44" s="1"/>
  <c r="N32" i="44"/>
  <c r="J101" i="44"/>
  <c r="L101" i="44" s="1"/>
  <c r="M68" i="44"/>
  <c r="N62" i="44"/>
  <c r="P62" i="44" s="1"/>
  <c r="Q62" i="44" s="1"/>
  <c r="R62" i="44" s="1"/>
  <c r="N82" i="44"/>
  <c r="P82" i="44" s="1"/>
  <c r="Q82" i="44" s="1"/>
  <c r="R82" i="44" s="1"/>
  <c r="L91" i="44"/>
  <c r="N91" i="44" s="1"/>
  <c r="N72" i="44"/>
  <c r="P72" i="44" s="1"/>
  <c r="Q72" i="44" s="1"/>
  <c r="R72" i="44" s="1"/>
  <c r="M87" i="44"/>
  <c r="N77" i="44"/>
  <c r="P77" i="44" s="1"/>
  <c r="Q77" i="44" s="1"/>
  <c r="R77" i="44" s="1"/>
  <c r="J48" i="44"/>
  <c r="N27" i="44"/>
  <c r="P27" i="44" s="1"/>
  <c r="Q27" i="44" s="1"/>
  <c r="R27" i="44" s="1"/>
  <c r="N67" i="44"/>
  <c r="P67" i="44" s="1"/>
  <c r="Q67" i="44" s="1"/>
  <c r="R67" i="44" s="1"/>
  <c r="L11" i="44"/>
  <c r="J58" i="44"/>
  <c r="L58" i="44" s="1"/>
  <c r="N58" i="44" s="1"/>
  <c r="P58" i="44" s="1"/>
  <c r="Q58" i="44" s="1"/>
  <c r="R58" i="44" s="1"/>
  <c r="M38" i="44"/>
  <c r="F47" i="44"/>
  <c r="K47" i="44" s="1"/>
  <c r="L47" i="44" s="1"/>
  <c r="M63" i="44"/>
  <c r="M73" i="44"/>
  <c r="J53" i="44"/>
  <c r="L53" i="44" s="1"/>
  <c r="J63" i="44"/>
  <c r="L63" i="44" s="1"/>
  <c r="M92" i="44"/>
  <c r="M102" i="44" s="1"/>
  <c r="M46" i="44"/>
  <c r="N46" i="44" s="1"/>
  <c r="P46" i="44" s="1"/>
  <c r="Q46" i="44" s="1"/>
  <c r="R46" i="44" s="1"/>
  <c r="H48" i="67"/>
  <c r="J154" i="54"/>
  <c r="J94" i="54"/>
  <c r="E48" i="67"/>
  <c r="N16" i="44"/>
  <c r="P16" i="44" s="1"/>
  <c r="Q16" i="44" s="1"/>
  <c r="R16" i="44" s="1"/>
  <c r="J78" i="44"/>
  <c r="L78" i="44" s="1"/>
  <c r="J38" i="44"/>
  <c r="L38" i="44" s="1"/>
  <c r="M83" i="44"/>
  <c r="J73" i="44"/>
  <c r="L73" i="44" s="1"/>
  <c r="M58" i="44"/>
  <c r="G47" i="44"/>
  <c r="H47" i="44"/>
  <c r="I145" i="54"/>
  <c r="H12" i="67"/>
  <c r="J85" i="54"/>
  <c r="E13" i="67"/>
  <c r="M6" i="44"/>
  <c r="G11" i="44"/>
  <c r="H11" i="44"/>
  <c r="P32" i="44"/>
  <c r="Q32" i="44" s="1"/>
  <c r="R32" i="44" s="1"/>
  <c r="G69" i="44"/>
  <c r="H69" i="44"/>
  <c r="E69" i="44"/>
  <c r="D69" i="44"/>
  <c r="G54" i="44"/>
  <c r="H54" i="44"/>
  <c r="E54" i="44"/>
  <c r="D54" i="44"/>
  <c r="H60" i="44"/>
  <c r="G60" i="44"/>
  <c r="E60" i="44"/>
  <c r="D60" i="44"/>
  <c r="H70" i="44"/>
  <c r="G70" i="44"/>
  <c r="E70" i="44"/>
  <c r="D70" i="44"/>
  <c r="G80" i="44"/>
  <c r="H80" i="44"/>
  <c r="E80" i="44"/>
  <c r="D80" i="44"/>
  <c r="G30" i="44"/>
  <c r="H30" i="44"/>
  <c r="E30" i="44"/>
  <c r="E95" i="44" s="1"/>
  <c r="D30" i="44"/>
  <c r="G93" i="44"/>
  <c r="M28" i="44"/>
  <c r="K67" i="54"/>
  <c r="D24" i="67"/>
  <c r="D20" i="67"/>
  <c r="L66" i="54"/>
  <c r="D89" i="67"/>
  <c r="K82" i="54"/>
  <c r="M17" i="44"/>
  <c r="M53" i="44"/>
  <c r="G84" i="44"/>
  <c r="H84" i="44"/>
  <c r="E84" i="44"/>
  <c r="D84" i="44"/>
  <c r="H44" i="44"/>
  <c r="G44" i="44"/>
  <c r="E44" i="44"/>
  <c r="D44" i="44"/>
  <c r="E50" i="44"/>
  <c r="D50" i="44"/>
  <c r="H64" i="44"/>
  <c r="G64" i="44"/>
  <c r="E64" i="44"/>
  <c r="D64" i="44"/>
  <c r="E13" i="44"/>
  <c r="D13" i="44"/>
  <c r="P86" i="44"/>
  <c r="Q86" i="44" s="1"/>
  <c r="R86" i="44" s="1"/>
  <c r="H29" i="44"/>
  <c r="G29" i="44"/>
  <c r="E29" i="44"/>
  <c r="D29" i="44"/>
  <c r="H18" i="44"/>
  <c r="G18" i="44"/>
  <c r="E18" i="44"/>
  <c r="D18" i="44"/>
  <c r="J28" i="44"/>
  <c r="L28" i="44" s="1"/>
  <c r="D93" i="44"/>
  <c r="J6" i="44"/>
  <c r="L6" i="44" s="1"/>
  <c r="M22" i="44"/>
  <c r="K66" i="54"/>
  <c r="D19" i="67"/>
  <c r="K65" i="54"/>
  <c r="D14" i="67"/>
  <c r="D90" i="67"/>
  <c r="L82" i="54"/>
  <c r="J17" i="44"/>
  <c r="L17" i="44" s="1"/>
  <c r="M96" i="44"/>
  <c r="M101" i="44"/>
  <c r="J68" i="44"/>
  <c r="L68" i="44" s="1"/>
  <c r="M78" i="44"/>
  <c r="J83" i="44"/>
  <c r="L83" i="44" s="1"/>
  <c r="J33" i="44"/>
  <c r="L33" i="44" s="1"/>
  <c r="J87" i="44"/>
  <c r="L87" i="44" s="1"/>
  <c r="N87" i="44" s="1"/>
  <c r="P87" i="44" s="1"/>
  <c r="Q87" i="44" s="1"/>
  <c r="R87" i="44" s="1"/>
  <c r="G79" i="44"/>
  <c r="H79" i="44"/>
  <c r="E79" i="44"/>
  <c r="D79" i="44"/>
  <c r="H35" i="44"/>
  <c r="G35" i="44"/>
  <c r="E35" i="44"/>
  <c r="D35" i="44"/>
  <c r="G40" i="44"/>
  <c r="H40" i="44"/>
  <c r="E40" i="44"/>
  <c r="D40" i="44"/>
  <c r="G39" i="44"/>
  <c r="H39" i="44"/>
  <c r="E39" i="44"/>
  <c r="D39" i="44"/>
  <c r="H85" i="44"/>
  <c r="G85" i="44"/>
  <c r="E85" i="44"/>
  <c r="D85" i="44"/>
  <c r="M43" i="44"/>
  <c r="H55" i="44"/>
  <c r="G55" i="44"/>
  <c r="E55" i="44"/>
  <c r="D55" i="44"/>
  <c r="G59" i="44"/>
  <c r="H59" i="44"/>
  <c r="E59" i="44"/>
  <c r="D59" i="44"/>
  <c r="H45" i="44"/>
  <c r="G45" i="44"/>
  <c r="E45" i="44"/>
  <c r="D45" i="44"/>
  <c r="E93" i="44"/>
  <c r="D25" i="67"/>
  <c r="L67" i="54"/>
  <c r="J63" i="54"/>
  <c r="D8" i="67"/>
  <c r="D15" i="67"/>
  <c r="L65" i="54"/>
  <c r="G65" i="44"/>
  <c r="H65" i="44"/>
  <c r="E65" i="44"/>
  <c r="D65" i="44"/>
  <c r="H74" i="44"/>
  <c r="G74" i="44"/>
  <c r="E74" i="44"/>
  <c r="D74" i="44"/>
  <c r="H7" i="44"/>
  <c r="G7" i="44"/>
  <c r="E7" i="44"/>
  <c r="D7" i="44"/>
  <c r="G75" i="44"/>
  <c r="H75" i="44"/>
  <c r="E75" i="44"/>
  <c r="D75" i="44"/>
  <c r="M33" i="44"/>
  <c r="J12" i="44"/>
  <c r="J92" i="44"/>
  <c r="G23" i="44"/>
  <c r="H23" i="44"/>
  <c r="E23" i="44"/>
  <c r="D23" i="44"/>
  <c r="J43" i="44"/>
  <c r="L43" i="44" s="1"/>
  <c r="N43" i="44" s="1"/>
  <c r="G34" i="44"/>
  <c r="H34" i="44"/>
  <c r="E34" i="44"/>
  <c r="D34" i="44"/>
  <c r="E49" i="44"/>
  <c r="D49" i="44"/>
  <c r="G88" i="44"/>
  <c r="H88" i="44"/>
  <c r="E88" i="44"/>
  <c r="D88" i="44"/>
  <c r="H93" i="44"/>
  <c r="J22" i="44"/>
  <c r="L22" i="44" s="1"/>
  <c r="N57" i="44"/>
  <c r="N17" i="44" l="1"/>
  <c r="P17" i="44" s="1"/>
  <c r="Q17" i="44" s="1"/>
  <c r="R17" i="44" s="1"/>
  <c r="J13" i="44"/>
  <c r="J44" i="44"/>
  <c r="L44" i="44" s="1"/>
  <c r="E94" i="44"/>
  <c r="N68" i="44"/>
  <c r="P68" i="44" s="1"/>
  <c r="Q68" i="44" s="1"/>
  <c r="R68" i="44" s="1"/>
  <c r="N73" i="44"/>
  <c r="P73" i="44" s="1"/>
  <c r="Q73" i="44" s="1"/>
  <c r="R73" i="44" s="1"/>
  <c r="J84" i="44"/>
  <c r="L84" i="44" s="1"/>
  <c r="N53" i="44"/>
  <c r="N83" i="44"/>
  <c r="P83" i="44" s="1"/>
  <c r="Q83" i="44" s="1"/>
  <c r="R83" i="44" s="1"/>
  <c r="H94" i="44"/>
  <c r="N38" i="44"/>
  <c r="P38" i="44" s="1"/>
  <c r="Q38" i="44" s="1"/>
  <c r="R38" i="44" s="1"/>
  <c r="N6" i="44"/>
  <c r="N63" i="44"/>
  <c r="P63" i="44" s="1"/>
  <c r="Q63" i="44" s="1"/>
  <c r="R63" i="44" s="1"/>
  <c r="N22" i="44"/>
  <c r="P22" i="44" s="1"/>
  <c r="Q22" i="44" s="1"/>
  <c r="R22" i="44" s="1"/>
  <c r="M97" i="44"/>
  <c r="N78" i="44"/>
  <c r="P78" i="44" s="1"/>
  <c r="Q78" i="44" s="1"/>
  <c r="R78" i="44" s="1"/>
  <c r="J85" i="44"/>
  <c r="L85" i="44" s="1"/>
  <c r="J39" i="44"/>
  <c r="L39" i="44" s="1"/>
  <c r="J40" i="44"/>
  <c r="L40" i="44" s="1"/>
  <c r="J35" i="44"/>
  <c r="L35" i="44" s="1"/>
  <c r="J79" i="44"/>
  <c r="L79" i="44" s="1"/>
  <c r="F48" i="44"/>
  <c r="K48" i="44" s="1"/>
  <c r="L48" i="44" s="1"/>
  <c r="J64" i="44"/>
  <c r="L64" i="44" s="1"/>
  <c r="J50" i="44"/>
  <c r="J80" i="44"/>
  <c r="L80" i="44" s="1"/>
  <c r="J70" i="44"/>
  <c r="L70" i="44" s="1"/>
  <c r="J60" i="44"/>
  <c r="L60" i="44" s="1"/>
  <c r="J54" i="44"/>
  <c r="L54" i="44" s="1"/>
  <c r="M69" i="44"/>
  <c r="M23" i="44"/>
  <c r="J18" i="44"/>
  <c r="L18" i="44" s="1"/>
  <c r="J69" i="44"/>
  <c r="L69" i="44" s="1"/>
  <c r="N28" i="44"/>
  <c r="P28" i="44" s="1"/>
  <c r="Q28" i="44" s="1"/>
  <c r="R28" i="44" s="1"/>
  <c r="K85" i="54"/>
  <c r="E14" i="67"/>
  <c r="H13" i="67"/>
  <c r="F13" i="44" s="1"/>
  <c r="K13" i="44" s="1"/>
  <c r="L13" i="44" s="1"/>
  <c r="J145" i="54"/>
  <c r="K154" i="54"/>
  <c r="H49" i="67"/>
  <c r="M84" i="44"/>
  <c r="N84" i="44" s="1"/>
  <c r="P84" i="44" s="1"/>
  <c r="Q84" i="44" s="1"/>
  <c r="R84" i="44" s="1"/>
  <c r="G12" i="44"/>
  <c r="H12" i="44"/>
  <c r="E49" i="67"/>
  <c r="F49" i="44" s="1"/>
  <c r="K49" i="44" s="1"/>
  <c r="K94" i="54"/>
  <c r="M75" i="44"/>
  <c r="M65" i="44"/>
  <c r="M59" i="44"/>
  <c r="M47" i="44"/>
  <c r="N47" i="44" s="1"/>
  <c r="P47" i="44" s="1"/>
  <c r="Q47" i="44" s="1"/>
  <c r="R47" i="44" s="1"/>
  <c r="G48" i="44"/>
  <c r="H48" i="44"/>
  <c r="E50" i="67"/>
  <c r="L94" i="54"/>
  <c r="M88" i="44"/>
  <c r="M34" i="44"/>
  <c r="M39" i="44"/>
  <c r="M40" i="44"/>
  <c r="M79" i="44"/>
  <c r="M80" i="44"/>
  <c r="N80" i="44" s="1"/>
  <c r="P80" i="44" s="1"/>
  <c r="Q80" i="44" s="1"/>
  <c r="R80" i="44" s="1"/>
  <c r="M54" i="44"/>
  <c r="M11" i="44"/>
  <c r="N11" i="44" s="1"/>
  <c r="P11" i="44" s="1"/>
  <c r="Q11" i="44" s="1"/>
  <c r="R11" i="44" s="1"/>
  <c r="F12" i="44"/>
  <c r="K12" i="44" s="1"/>
  <c r="L12" i="44" s="1"/>
  <c r="P53" i="44"/>
  <c r="Q53" i="44" s="1"/>
  <c r="R53" i="44" s="1"/>
  <c r="D9" i="67"/>
  <c r="K63" i="54"/>
  <c r="M85" i="44"/>
  <c r="N85" i="44" s="1"/>
  <c r="M35" i="44"/>
  <c r="N35" i="44" s="1"/>
  <c r="P35" i="44" s="1"/>
  <c r="Q35" i="44" s="1"/>
  <c r="R35" i="44" s="1"/>
  <c r="E14" i="44"/>
  <c r="D14" i="44"/>
  <c r="P6" i="44"/>
  <c r="Q6" i="44" s="1"/>
  <c r="R6" i="44" s="1"/>
  <c r="M18" i="44"/>
  <c r="G94" i="44"/>
  <c r="M29" i="44"/>
  <c r="M64" i="44"/>
  <c r="M44" i="44"/>
  <c r="N44" i="44" s="1"/>
  <c r="P44" i="44" s="1"/>
  <c r="Q44" i="44" s="1"/>
  <c r="R44" i="44" s="1"/>
  <c r="G24" i="44"/>
  <c r="H24" i="44"/>
  <c r="E24" i="44"/>
  <c r="D24" i="44"/>
  <c r="H95" i="44"/>
  <c r="J88" i="44"/>
  <c r="L88" i="44" s="1"/>
  <c r="J49" i="44"/>
  <c r="J34" i="44"/>
  <c r="L34" i="44" s="1"/>
  <c r="N34" i="44" s="1"/>
  <c r="P34" i="44" s="1"/>
  <c r="Q34" i="44" s="1"/>
  <c r="R34" i="44" s="1"/>
  <c r="P43" i="44"/>
  <c r="Q43" i="44" s="1"/>
  <c r="R43" i="44" s="1"/>
  <c r="J23" i="44"/>
  <c r="L23" i="44" s="1"/>
  <c r="J102" i="44"/>
  <c r="L102" i="44" s="1"/>
  <c r="J97" i="44"/>
  <c r="L97" i="44" s="1"/>
  <c r="L92" i="44"/>
  <c r="N92" i="44" s="1"/>
  <c r="J75" i="44"/>
  <c r="L75" i="44" s="1"/>
  <c r="J7" i="44"/>
  <c r="L7" i="44" s="1"/>
  <c r="J74" i="44"/>
  <c r="L74" i="44" s="1"/>
  <c r="J65" i="44"/>
  <c r="L65" i="44" s="1"/>
  <c r="M45" i="44"/>
  <c r="M55" i="44"/>
  <c r="J93" i="44"/>
  <c r="H89" i="44"/>
  <c r="G89" i="44"/>
  <c r="E89" i="44"/>
  <c r="D89" i="44"/>
  <c r="M93" i="44"/>
  <c r="M30" i="44"/>
  <c r="G95" i="44"/>
  <c r="M70" i="44"/>
  <c r="N70" i="44" s="1"/>
  <c r="P70" i="44" s="1"/>
  <c r="Q70" i="44" s="1"/>
  <c r="R70" i="44" s="1"/>
  <c r="M60" i="44"/>
  <c r="N60" i="44" s="1"/>
  <c r="P60" i="44" s="1"/>
  <c r="Q60" i="44" s="1"/>
  <c r="R60" i="44" s="1"/>
  <c r="P57" i="44"/>
  <c r="Q57" i="44" s="1"/>
  <c r="R57" i="44" s="1"/>
  <c r="E15" i="44"/>
  <c r="D15" i="44"/>
  <c r="H19" i="44"/>
  <c r="G19" i="44"/>
  <c r="E19" i="44"/>
  <c r="D19" i="44"/>
  <c r="D94" i="44"/>
  <c r="J29" i="44"/>
  <c r="L29" i="44" s="1"/>
  <c r="J30" i="44"/>
  <c r="L30" i="44" s="1"/>
  <c r="D95" i="44"/>
  <c r="J95" i="44" s="1"/>
  <c r="G25" i="44"/>
  <c r="H25" i="44"/>
  <c r="E25" i="44"/>
  <c r="D25" i="44"/>
  <c r="M7" i="44"/>
  <c r="M74" i="44"/>
  <c r="G8" i="44"/>
  <c r="H8" i="44"/>
  <c r="E8" i="44"/>
  <c r="D8" i="44"/>
  <c r="J45" i="44"/>
  <c r="L45" i="44" s="1"/>
  <c r="J59" i="44"/>
  <c r="L59" i="44" s="1"/>
  <c r="J55" i="44"/>
  <c r="L55" i="44" s="1"/>
  <c r="N33" i="44"/>
  <c r="G90" i="44"/>
  <c r="H90" i="44"/>
  <c r="E90" i="44"/>
  <c r="D90" i="44"/>
  <c r="N101" i="44"/>
  <c r="N96" i="44"/>
  <c r="P91" i="44"/>
  <c r="Q91" i="44" s="1"/>
  <c r="R91" i="44" s="1"/>
  <c r="G20" i="44"/>
  <c r="H20" i="44"/>
  <c r="E20" i="44"/>
  <c r="D20" i="44"/>
  <c r="J94" i="44" l="1"/>
  <c r="N59" i="44"/>
  <c r="P59" i="44" s="1"/>
  <c r="Q59" i="44" s="1"/>
  <c r="R59" i="44" s="1"/>
  <c r="N40" i="44"/>
  <c r="M94" i="44"/>
  <c r="N69" i="44"/>
  <c r="P69" i="44" s="1"/>
  <c r="Q69" i="44" s="1"/>
  <c r="R69" i="44" s="1"/>
  <c r="N65" i="44"/>
  <c r="P65" i="44" s="1"/>
  <c r="Q65" i="44" s="1"/>
  <c r="R65" i="44" s="1"/>
  <c r="N39" i="44"/>
  <c r="L49" i="44"/>
  <c r="N64" i="44"/>
  <c r="N45" i="44"/>
  <c r="P45" i="44" s="1"/>
  <c r="Q45" i="44" s="1"/>
  <c r="R45" i="44" s="1"/>
  <c r="N18" i="44"/>
  <c r="N54" i="44"/>
  <c r="P54" i="44" s="1"/>
  <c r="Q54" i="44" s="1"/>
  <c r="R54" i="44" s="1"/>
  <c r="F109" i="84"/>
  <c r="N79" i="44"/>
  <c r="P79" i="44" s="1"/>
  <c r="Q79" i="44" s="1"/>
  <c r="R79" i="44" s="1"/>
  <c r="J25" i="44"/>
  <c r="L25" i="44" s="1"/>
  <c r="J89" i="44"/>
  <c r="L89" i="44" s="1"/>
  <c r="M12" i="44"/>
  <c r="N12" i="44" s="1"/>
  <c r="P12" i="44" s="1"/>
  <c r="Q12" i="44" s="1"/>
  <c r="R12" i="44" s="1"/>
  <c r="N30" i="44"/>
  <c r="P30" i="44" s="1"/>
  <c r="Q30" i="44" s="1"/>
  <c r="R30" i="44" s="1"/>
  <c r="M25" i="44"/>
  <c r="N25" i="44" s="1"/>
  <c r="P25" i="44" s="1"/>
  <c r="Q25" i="44" s="1"/>
  <c r="R25" i="44" s="1"/>
  <c r="N29" i="44"/>
  <c r="P29" i="44" s="1"/>
  <c r="Q29" i="44" s="1"/>
  <c r="R29" i="44" s="1"/>
  <c r="M95" i="44"/>
  <c r="M105" i="44" s="1"/>
  <c r="F101" i="84"/>
  <c r="N55" i="44"/>
  <c r="P55" i="44" s="1"/>
  <c r="Q55" i="44" s="1"/>
  <c r="R55" i="44" s="1"/>
  <c r="P39" i="44"/>
  <c r="Q39" i="44" s="1"/>
  <c r="R39" i="44" s="1"/>
  <c r="N75" i="44"/>
  <c r="P75" i="44" s="1"/>
  <c r="Q75" i="44" s="1"/>
  <c r="R75" i="44" s="1"/>
  <c r="N23" i="44"/>
  <c r="P23" i="44" s="1"/>
  <c r="Q23" i="44" s="1"/>
  <c r="R23" i="44" s="1"/>
  <c r="M48" i="44"/>
  <c r="N48" i="44" s="1"/>
  <c r="P48" i="44" s="1"/>
  <c r="Q48" i="44" s="1"/>
  <c r="R48" i="44" s="1"/>
  <c r="P40" i="44"/>
  <c r="Q40" i="44" s="1"/>
  <c r="R40" i="44" s="1"/>
  <c r="V12" i="44"/>
  <c r="W12" i="44" s="1"/>
  <c r="H14" i="67"/>
  <c r="K145" i="54"/>
  <c r="M90" i="44"/>
  <c r="F105" i="84"/>
  <c r="N7" i="44"/>
  <c r="P7" i="44" s="1"/>
  <c r="Q7" i="44" s="1"/>
  <c r="R7" i="44" s="1"/>
  <c r="E15" i="67"/>
  <c r="L85" i="54"/>
  <c r="L154" i="54"/>
  <c r="H50" i="67"/>
  <c r="M20" i="44"/>
  <c r="J90" i="44"/>
  <c r="L90" i="44" s="1"/>
  <c r="N88" i="44"/>
  <c r="P88" i="44" s="1"/>
  <c r="Q88" i="44" s="1"/>
  <c r="R88" i="44" s="1"/>
  <c r="H13" i="44"/>
  <c r="G13" i="44"/>
  <c r="J20" i="44"/>
  <c r="L20" i="44" s="1"/>
  <c r="M19" i="44"/>
  <c r="J14" i="44"/>
  <c r="G49" i="44"/>
  <c r="H49" i="44"/>
  <c r="F14" i="44"/>
  <c r="K14" i="44" s="1"/>
  <c r="P64" i="44"/>
  <c r="Q64" i="44" s="1"/>
  <c r="R64" i="44" s="1"/>
  <c r="P18" i="44"/>
  <c r="Q18" i="44" s="1"/>
  <c r="R18" i="44" s="1"/>
  <c r="F102" i="84"/>
  <c r="P33" i="44"/>
  <c r="Q33" i="44" s="1"/>
  <c r="R33" i="44" s="1"/>
  <c r="V11" i="44"/>
  <c r="F100" i="84"/>
  <c r="L95" i="44"/>
  <c r="J100" i="44"/>
  <c r="L100" i="44" s="1"/>
  <c r="J105" i="44"/>
  <c r="L105" i="44" s="1"/>
  <c r="M100" i="44"/>
  <c r="M24" i="44"/>
  <c r="G9" i="44"/>
  <c r="H9" i="44"/>
  <c r="E9" i="44"/>
  <c r="D9" i="44"/>
  <c r="F104" i="84"/>
  <c r="M8" i="44"/>
  <c r="P96" i="44"/>
  <c r="Q96" i="44" s="1"/>
  <c r="R96" i="44" s="1"/>
  <c r="J8" i="44"/>
  <c r="L8" i="44" s="1"/>
  <c r="J19" i="44"/>
  <c r="L19" i="44" s="1"/>
  <c r="P85" i="44"/>
  <c r="Q85" i="44" s="1"/>
  <c r="R85" i="44" s="1"/>
  <c r="V20" i="44"/>
  <c r="M89" i="44"/>
  <c r="L93" i="44"/>
  <c r="N93" i="44" s="1"/>
  <c r="J98" i="44"/>
  <c r="L98" i="44" s="1"/>
  <c r="J103" i="44"/>
  <c r="L103" i="44" s="1"/>
  <c r="J24" i="44"/>
  <c r="L24" i="44" s="1"/>
  <c r="N24" i="44" s="1"/>
  <c r="V15" i="44"/>
  <c r="L63" i="54"/>
  <c r="D10" i="67"/>
  <c r="L94" i="44"/>
  <c r="N94" i="44" s="1"/>
  <c r="J104" i="44"/>
  <c r="L104" i="44" s="1"/>
  <c r="J99" i="44"/>
  <c r="L99" i="44" s="1"/>
  <c r="P101" i="44"/>
  <c r="Q101" i="44" s="1"/>
  <c r="R101" i="44" s="1"/>
  <c r="J15" i="44"/>
  <c r="V16" i="44"/>
  <c r="M103" i="44"/>
  <c r="M98" i="44"/>
  <c r="N74" i="44"/>
  <c r="N97" i="44"/>
  <c r="P97" i="44" s="1"/>
  <c r="Q97" i="44" s="1"/>
  <c r="R97" i="44" s="1"/>
  <c r="N102" i="44"/>
  <c r="P102" i="44" s="1"/>
  <c r="Q102" i="44" s="1"/>
  <c r="R102" i="44" s="1"/>
  <c r="P92" i="44"/>
  <c r="Q92" i="44" s="1"/>
  <c r="R92" i="44" s="1"/>
  <c r="V13" i="44"/>
  <c r="M104" i="44"/>
  <c r="M99" i="44"/>
  <c r="F108" i="84" l="1"/>
  <c r="V19" i="44"/>
  <c r="F106" i="84"/>
  <c r="N20" i="44"/>
  <c r="P20" i="44" s="1"/>
  <c r="Q20" i="44" s="1"/>
  <c r="R20" i="44" s="1"/>
  <c r="N90" i="44"/>
  <c r="P90" i="44" s="1"/>
  <c r="Q90" i="44" s="1"/>
  <c r="R90" i="44" s="1"/>
  <c r="V17" i="44"/>
  <c r="W17" i="44" s="1"/>
  <c r="N95" i="44"/>
  <c r="V10" i="44" s="1"/>
  <c r="N89" i="44"/>
  <c r="P89" i="44" s="1"/>
  <c r="Q89" i="44" s="1"/>
  <c r="R89" i="44" s="1"/>
  <c r="N19" i="44"/>
  <c r="P19" i="44" s="1"/>
  <c r="Q19" i="44" s="1"/>
  <c r="R19" i="44" s="1"/>
  <c r="M49" i="44"/>
  <c r="N49" i="44" s="1"/>
  <c r="P49" i="44" s="1"/>
  <c r="Q49" i="44" s="1"/>
  <c r="R49" i="44" s="1"/>
  <c r="N8" i="44"/>
  <c r="P8" i="44" s="1"/>
  <c r="Q8" i="44" s="1"/>
  <c r="R8" i="44" s="1"/>
  <c r="L14" i="44"/>
  <c r="M13" i="44"/>
  <c r="N13" i="44" s="1"/>
  <c r="P13" i="44" s="1"/>
  <c r="Q13" i="44" s="1"/>
  <c r="R13" i="44" s="1"/>
  <c r="H14" i="44"/>
  <c r="G14" i="44"/>
  <c r="W19" i="44"/>
  <c r="G50" i="44"/>
  <c r="H50" i="44"/>
  <c r="F50" i="44"/>
  <c r="K50" i="44" s="1"/>
  <c r="L50" i="44" s="1"/>
  <c r="H15" i="67"/>
  <c r="L145" i="54"/>
  <c r="V21" i="44"/>
  <c r="W13" i="44"/>
  <c r="P74" i="44"/>
  <c r="Q74" i="44" s="1"/>
  <c r="R74" i="44" s="1"/>
  <c r="F107" i="84"/>
  <c r="V18" i="44"/>
  <c r="N104" i="44"/>
  <c r="P104" i="44" s="1"/>
  <c r="Q104" i="44" s="1"/>
  <c r="R104" i="44" s="1"/>
  <c r="N99" i="44"/>
  <c r="P99" i="44" s="1"/>
  <c r="Q99" i="44" s="1"/>
  <c r="R99" i="44" s="1"/>
  <c r="P94" i="44"/>
  <c r="Q94" i="44" s="1"/>
  <c r="R94" i="44" s="1"/>
  <c r="N103" i="44"/>
  <c r="N98" i="44"/>
  <c r="P98" i="44" s="1"/>
  <c r="Q98" i="44" s="1"/>
  <c r="R98" i="44" s="1"/>
  <c r="P93" i="44"/>
  <c r="Q93" i="44" s="1"/>
  <c r="R93" i="44" s="1"/>
  <c r="J9" i="44"/>
  <c r="L9" i="44" s="1"/>
  <c r="W11" i="44"/>
  <c r="W15" i="44"/>
  <c r="P24" i="44"/>
  <c r="Q24" i="44" s="1"/>
  <c r="R24" i="44" s="1"/>
  <c r="V9" i="44"/>
  <c r="F98" i="84"/>
  <c r="H10" i="44"/>
  <c r="G10" i="44"/>
  <c r="E10" i="44"/>
  <c r="D10" i="44"/>
  <c r="W20" i="44"/>
  <c r="N100" i="44"/>
  <c r="P100" i="44" s="1"/>
  <c r="Q100" i="44" s="1"/>
  <c r="R100" i="44" s="1"/>
  <c r="N105" i="44"/>
  <c r="P105" i="44" s="1"/>
  <c r="Q105" i="44" s="1"/>
  <c r="R105" i="44" s="1"/>
  <c r="F97" i="84"/>
  <c r="W16" i="44"/>
  <c r="M9" i="44"/>
  <c r="F110" i="84" l="1"/>
  <c r="V8" i="44"/>
  <c r="P95" i="44"/>
  <c r="Q95" i="44" s="1"/>
  <c r="R95" i="44" s="1"/>
  <c r="M14" i="44"/>
  <c r="N14" i="44" s="1"/>
  <c r="P14" i="44" s="1"/>
  <c r="Q14" i="44" s="1"/>
  <c r="R14" i="44" s="1"/>
  <c r="F99" i="84"/>
  <c r="J10" i="44"/>
  <c r="L10" i="44" s="1"/>
  <c r="M50" i="44"/>
  <c r="N50" i="44" s="1"/>
  <c r="H15" i="44"/>
  <c r="G15" i="44"/>
  <c r="F15" i="44"/>
  <c r="K15" i="44" s="1"/>
  <c r="L15" i="44" s="1"/>
  <c r="W10" i="44"/>
  <c r="W18" i="44"/>
  <c r="W21" i="44"/>
  <c r="W8" i="44"/>
  <c r="M10" i="44"/>
  <c r="N9" i="44"/>
  <c r="W9" i="44"/>
  <c r="P103" i="44"/>
  <c r="Q103" i="44" s="1"/>
  <c r="R103" i="44" s="1"/>
  <c r="F95" i="84"/>
  <c r="N10" i="44" l="1"/>
  <c r="P10" i="44" s="1"/>
  <c r="Q10" i="44" s="1"/>
  <c r="R10" i="44" s="1"/>
  <c r="P50" i="44"/>
  <c r="Q50" i="44" s="1"/>
  <c r="R50" i="44" s="1"/>
  <c r="F103" i="84"/>
  <c r="V14" i="44"/>
  <c r="M15" i="44"/>
  <c r="N15" i="44" s="1"/>
  <c r="P9" i="44"/>
  <c r="Q9" i="44" s="1"/>
  <c r="R9" i="44" s="1"/>
  <c r="V6" i="44"/>
  <c r="F94" i="84"/>
  <c r="P15" i="44" l="1"/>
  <c r="Q15" i="44" s="1"/>
  <c r="R15" i="44" s="1"/>
  <c r="V7" i="44"/>
  <c r="V22" i="44" s="1"/>
  <c r="W22" i="44" s="1"/>
  <c r="F96" i="84"/>
  <c r="W14" i="44"/>
  <c r="W6" i="44"/>
  <c r="W7" i="44" l="1"/>
  <c r="U68" i="84" l="1"/>
  <c r="W25" i="44"/>
  <c r="F6" i="66" s="1"/>
  <c r="I46" i="84" l="1"/>
  <c r="L56" i="84" l="1"/>
  <c r="M68" i="84"/>
  <c r="O51" i="84"/>
  <c r="L52" i="84" l="1"/>
  <c r="O58" i="84"/>
  <c r="O65" i="84"/>
  <c r="L55" i="84"/>
  <c r="L53" i="84"/>
  <c r="L60" i="84"/>
  <c r="L58" i="84"/>
  <c r="L54" i="84"/>
  <c r="N68" i="84"/>
  <c r="E31" i="84"/>
  <c r="O56" i="84"/>
  <c r="O59" i="84"/>
  <c r="L63" i="84"/>
  <c r="L65" i="84"/>
  <c r="L59" i="84"/>
  <c r="O62" i="84"/>
  <c r="L66" i="84"/>
  <c r="O55" i="84"/>
  <c r="O60" i="84"/>
  <c r="O61" i="84"/>
  <c r="E38" i="84"/>
  <c r="E30" i="84"/>
  <c r="E41" i="84"/>
  <c r="E33" i="84"/>
  <c r="E43" i="84"/>
  <c r="E37" i="84"/>
  <c r="E36" i="84"/>
  <c r="O63" i="84"/>
  <c r="O53" i="84"/>
  <c r="J68" i="84"/>
  <c r="O54" i="84"/>
  <c r="E44" i="84"/>
  <c r="E34" i="84"/>
  <c r="E32" i="84"/>
  <c r="L62" i="84"/>
  <c r="L61" i="84"/>
  <c r="L57" i="84"/>
  <c r="O66" i="84"/>
  <c r="L64" i="84"/>
  <c r="O57" i="84"/>
  <c r="O52" i="84"/>
  <c r="L67" i="84"/>
  <c r="O64" i="84"/>
  <c r="O67" i="84"/>
  <c r="E40" i="84"/>
  <c r="E39" i="84"/>
  <c r="E35" i="84"/>
  <c r="E42" i="84"/>
  <c r="E45" i="84"/>
  <c r="L51" i="84"/>
  <c r="L68" i="84" l="1"/>
  <c r="F39" i="84"/>
  <c r="H39" i="84" s="1"/>
  <c r="F37" i="84"/>
  <c r="H37" i="84" s="1"/>
  <c r="F40" i="84"/>
  <c r="G40" i="84" s="1"/>
  <c r="O68" i="84"/>
  <c r="F32" i="84"/>
  <c r="G32" i="84" s="1"/>
  <c r="F33" i="84"/>
  <c r="G33" i="84" s="1"/>
  <c r="F31" i="84"/>
  <c r="H31" i="84" s="1"/>
  <c r="F30" i="84"/>
  <c r="G30" i="84" s="1"/>
  <c r="F45" i="84"/>
  <c r="F42" i="84"/>
  <c r="F35" i="84"/>
  <c r="F44" i="84"/>
  <c r="F36" i="84"/>
  <c r="F41" i="84"/>
  <c r="F34" i="84"/>
  <c r="K68" i="84"/>
  <c r="C46" i="84"/>
  <c r="F43" i="84"/>
  <c r="F38" i="84"/>
  <c r="G39" i="84"/>
  <c r="H32" i="84" l="1"/>
  <c r="H30" i="84"/>
  <c r="G31" i="84"/>
  <c r="H33" i="84"/>
  <c r="G37" i="84"/>
  <c r="E29" i="84"/>
  <c r="F29" i="84" s="1"/>
  <c r="H29" i="84" s="1"/>
  <c r="H40" i="84"/>
  <c r="H38" i="84"/>
  <c r="G38" i="84"/>
  <c r="D46" i="84"/>
  <c r="G34" i="84"/>
  <c r="H34" i="84"/>
  <c r="G42" i="84"/>
  <c r="H42" i="84"/>
  <c r="H43" i="84"/>
  <c r="G43" i="84"/>
  <c r="G44" i="84"/>
  <c r="H44" i="84"/>
  <c r="G45" i="84"/>
  <c r="H45" i="84"/>
  <c r="H41" i="84"/>
  <c r="G41" i="84"/>
  <c r="G36" i="84"/>
  <c r="H36" i="84"/>
  <c r="G35" i="84"/>
  <c r="H35" i="84"/>
  <c r="E46" i="84" l="1"/>
  <c r="F46" i="84" s="1"/>
  <c r="G29" i="84"/>
  <c r="H46" i="84"/>
  <c r="G46" i="84" l="1"/>
  <c r="P88" i="84" l="1"/>
  <c r="K88" i="84" l="1"/>
  <c r="Q88" i="84" s="1"/>
  <c r="O88" i="84"/>
  <c r="I496" i="54"/>
  <c r="K496" i="54"/>
  <c r="H496" i="54"/>
  <c r="L496" i="54"/>
  <c r="J496" i="54"/>
  <c r="L495" i="54" l="1"/>
  <c r="I495" i="54"/>
  <c r="H495" i="54"/>
  <c r="J495" i="54"/>
  <c r="K495" i="54"/>
  <c r="S40" i="84" l="1"/>
  <c r="S35" i="84"/>
  <c r="S42" i="84"/>
  <c r="S37" i="84"/>
  <c r="S41" i="84" l="1"/>
  <c r="J38" i="85"/>
  <c r="K293" i="54" s="1"/>
  <c r="J39" i="85"/>
  <c r="L293" i="54" s="1"/>
  <c r="J36" i="85"/>
  <c r="I293" i="54" s="1"/>
  <c r="K36" i="85"/>
  <c r="K35" i="85"/>
  <c r="J35" i="85"/>
  <c r="H293" i="54" s="1"/>
  <c r="K38" i="85"/>
  <c r="K39" i="85"/>
  <c r="K37" i="85"/>
  <c r="J37" i="85"/>
  <c r="J293" i="54" s="1"/>
  <c r="J26" i="85"/>
  <c r="I291" i="54" s="1"/>
  <c r="J28" i="85"/>
  <c r="K291" i="54" s="1"/>
  <c r="J29" i="85"/>
  <c r="L291" i="54" s="1"/>
  <c r="J27" i="85"/>
  <c r="J291" i="54" s="1"/>
  <c r="J25" i="85"/>
  <c r="H291" i="54" s="1"/>
  <c r="K28" i="85"/>
  <c r="K27" i="85"/>
  <c r="K29" i="85"/>
  <c r="K25" i="85"/>
  <c r="K26" i="85"/>
  <c r="S44" i="84"/>
  <c r="S32" i="84"/>
  <c r="S30" i="84"/>
  <c r="S36" i="84"/>
  <c r="S39" i="84"/>
  <c r="S33" i="84"/>
  <c r="S34" i="84"/>
  <c r="J73" i="85"/>
  <c r="K299" i="54" s="1"/>
  <c r="K70" i="85"/>
  <c r="K72" i="85"/>
  <c r="J70" i="85"/>
  <c r="H299" i="54" s="1"/>
  <c r="J72" i="85"/>
  <c r="J299" i="54" s="1"/>
  <c r="K71" i="85"/>
  <c r="J71" i="85"/>
  <c r="I299" i="54" s="1"/>
  <c r="K73" i="85"/>
  <c r="J74" i="85"/>
  <c r="L299" i="54" s="1"/>
  <c r="K74" i="85"/>
  <c r="J64" i="85"/>
  <c r="L296" i="54" s="1"/>
  <c r="K61" i="85"/>
  <c r="K62" i="85"/>
  <c r="K63" i="85"/>
  <c r="K64" i="85"/>
  <c r="J62" i="85"/>
  <c r="J296" i="54" s="1"/>
  <c r="K60" i="85"/>
  <c r="J61" i="85"/>
  <c r="I296" i="54" s="1"/>
  <c r="J60" i="85"/>
  <c r="H296" i="54" s="1"/>
  <c r="J63" i="85"/>
  <c r="K296" i="54" s="1"/>
  <c r="S43" i="84"/>
  <c r="S38" i="84"/>
  <c r="S31" i="84"/>
  <c r="S29" i="84"/>
  <c r="J50" i="85" l="1"/>
  <c r="H288" i="54" s="1"/>
  <c r="J52" i="85"/>
  <c r="J288" i="54" s="1"/>
  <c r="J53" i="85"/>
  <c r="K288" i="54" s="1"/>
  <c r="K50" i="85"/>
  <c r="K52" i="85"/>
  <c r="J54" i="85"/>
  <c r="L288" i="54" s="1"/>
  <c r="K54" i="85"/>
  <c r="K53" i="85"/>
  <c r="J51" i="85"/>
  <c r="I288" i="54" s="1"/>
  <c r="K51" i="85"/>
  <c r="J47" i="85"/>
  <c r="J295" i="54" s="1"/>
  <c r="J49" i="85"/>
  <c r="L295" i="54" s="1"/>
  <c r="K45" i="85"/>
  <c r="J48" i="85"/>
  <c r="K295" i="54" s="1"/>
  <c r="K47" i="85"/>
  <c r="K49" i="85"/>
  <c r="J45" i="85"/>
  <c r="H295" i="54" s="1"/>
  <c r="J46" i="85"/>
  <c r="I295" i="54" s="1"/>
  <c r="K48" i="85"/>
  <c r="K46" i="85"/>
  <c r="K55" i="85"/>
  <c r="J59" i="85"/>
  <c r="L284" i="54" s="1"/>
  <c r="J57" i="85"/>
  <c r="J284" i="54" s="1"/>
  <c r="K59" i="85"/>
  <c r="K57" i="85"/>
  <c r="J58" i="85"/>
  <c r="K284" i="54" s="1"/>
  <c r="J56" i="85"/>
  <c r="I284" i="54" s="1"/>
  <c r="J55" i="85"/>
  <c r="H284" i="54" s="1"/>
  <c r="K56" i="85"/>
  <c r="K58" i="85"/>
  <c r="K80" i="85"/>
  <c r="J83" i="85"/>
  <c r="K301" i="54" s="1"/>
  <c r="K82" i="85"/>
  <c r="J81" i="85"/>
  <c r="I301" i="54" s="1"/>
  <c r="J84" i="85"/>
  <c r="L301" i="54" s="1"/>
  <c r="J82" i="85"/>
  <c r="J301" i="54" s="1"/>
  <c r="K81" i="85"/>
  <c r="K84" i="85"/>
  <c r="J80" i="85"/>
  <c r="H301" i="54" s="1"/>
  <c r="K83" i="85"/>
  <c r="S45" i="84"/>
  <c r="M46" i="84"/>
  <c r="J10" i="85"/>
  <c r="H285" i="54" s="1"/>
  <c r="J12" i="85"/>
  <c r="J285" i="54" s="1"/>
  <c r="K12" i="85"/>
  <c r="K10" i="85"/>
  <c r="J13" i="85"/>
  <c r="K285" i="54" s="1"/>
  <c r="J11" i="85"/>
  <c r="I285" i="54" s="1"/>
  <c r="K13" i="85"/>
  <c r="J14" i="85"/>
  <c r="L285" i="54" s="1"/>
  <c r="K11" i="85"/>
  <c r="K14" i="85"/>
  <c r="J75" i="85"/>
  <c r="H300" i="54" s="1"/>
  <c r="K78" i="85"/>
  <c r="J78" i="85"/>
  <c r="K300" i="54" s="1"/>
  <c r="J76" i="85"/>
  <c r="I300" i="54" s="1"/>
  <c r="J79" i="85"/>
  <c r="L300" i="54" s="1"/>
  <c r="K76" i="85"/>
  <c r="K77" i="85"/>
  <c r="J77" i="85"/>
  <c r="J300" i="54" s="1"/>
  <c r="K79" i="85"/>
  <c r="K75" i="85"/>
  <c r="J20" i="85"/>
  <c r="H287" i="54" s="1"/>
  <c r="K24" i="85"/>
  <c r="K22" i="85"/>
  <c r="K23" i="85"/>
  <c r="K21" i="85"/>
  <c r="J23" i="85"/>
  <c r="K287" i="54" s="1"/>
  <c r="J24" i="85"/>
  <c r="L287" i="54" s="1"/>
  <c r="J21" i="85"/>
  <c r="I287" i="54" s="1"/>
  <c r="J22" i="85"/>
  <c r="J287" i="54" s="1"/>
  <c r="K20" i="85"/>
  <c r="K33" i="85"/>
  <c r="J31" i="85"/>
  <c r="I292" i="54" s="1"/>
  <c r="J33" i="85"/>
  <c r="K292" i="54" s="1"/>
  <c r="K31" i="85"/>
  <c r="J32" i="85"/>
  <c r="J292" i="54" s="1"/>
  <c r="J34" i="85"/>
  <c r="L292" i="54" s="1"/>
  <c r="J30" i="85"/>
  <c r="H292" i="54" s="1"/>
  <c r="K30" i="85"/>
  <c r="K34" i="85"/>
  <c r="K32" i="85"/>
  <c r="J18" i="85"/>
  <c r="K286" i="54" s="1"/>
  <c r="J15" i="85"/>
  <c r="H286" i="54" s="1"/>
  <c r="K19" i="85"/>
  <c r="J17" i="85"/>
  <c r="J286" i="54" s="1"/>
  <c r="K15" i="85"/>
  <c r="K16" i="85"/>
  <c r="K17" i="85"/>
  <c r="J16" i="85"/>
  <c r="I286" i="54" s="1"/>
  <c r="K18" i="85"/>
  <c r="J19" i="85"/>
  <c r="L286" i="54" s="1"/>
  <c r="J66" i="85"/>
  <c r="I297" i="54" s="1"/>
  <c r="K65" i="85"/>
  <c r="J68" i="85"/>
  <c r="K297" i="54" s="1"/>
  <c r="J69" i="85"/>
  <c r="L297" i="54" s="1"/>
  <c r="K67" i="85"/>
  <c r="J65" i="85"/>
  <c r="H297" i="54" s="1"/>
  <c r="K68" i="85"/>
  <c r="K69" i="85"/>
  <c r="K66" i="85"/>
  <c r="J67" i="85"/>
  <c r="J297" i="54" s="1"/>
  <c r="J40" i="85"/>
  <c r="H294" i="54" s="1"/>
  <c r="K40" i="85"/>
  <c r="J42" i="85"/>
  <c r="J294" i="54" s="1"/>
  <c r="K43" i="85"/>
  <c r="J41" i="85"/>
  <c r="I294" i="54" s="1"/>
  <c r="K42" i="85"/>
  <c r="K44" i="85"/>
  <c r="J43" i="85"/>
  <c r="K294" i="54" s="1"/>
  <c r="J44" i="85"/>
  <c r="L294" i="54" s="1"/>
  <c r="K41" i="85"/>
  <c r="K6" i="85"/>
  <c r="K5" i="85"/>
  <c r="J7" i="85"/>
  <c r="J283" i="54" s="1"/>
  <c r="J6" i="85"/>
  <c r="I283" i="54" s="1"/>
  <c r="J9" i="85"/>
  <c r="L283" i="54" s="1"/>
  <c r="J5" i="85"/>
  <c r="K8" i="85"/>
  <c r="K7" i="85"/>
  <c r="J8" i="85"/>
  <c r="K283" i="54" s="1"/>
  <c r="K9" i="85"/>
  <c r="H283" i="54" l="1"/>
  <c r="J88" i="85"/>
  <c r="K302" i="54" s="1"/>
  <c r="J86" i="85"/>
  <c r="I302" i="54" s="1"/>
  <c r="K85" i="85"/>
  <c r="K89" i="85"/>
  <c r="K88" i="85"/>
  <c r="J89" i="85"/>
  <c r="L302" i="54" s="1"/>
  <c r="J87" i="85"/>
  <c r="J302" i="54" s="1"/>
  <c r="J85" i="85"/>
  <c r="H302" i="54" s="1"/>
  <c r="K86" i="85"/>
  <c r="K87" i="85"/>
  <c r="S46" i="84"/>
  <c r="P40" i="84" l="1"/>
  <c r="P38" i="84"/>
  <c r="P37" i="84"/>
  <c r="P30" i="84"/>
  <c r="P43" i="84"/>
  <c r="P32" i="84"/>
  <c r="P44" i="84"/>
  <c r="P31" i="84"/>
  <c r="P35" i="84"/>
  <c r="P36" i="84"/>
  <c r="P41" i="84"/>
  <c r="P34" i="84"/>
  <c r="J46" i="84"/>
  <c r="P29" i="84"/>
  <c r="P42" i="84"/>
  <c r="P45" i="84"/>
  <c r="P39" i="84"/>
  <c r="P33" i="84"/>
  <c r="P46" i="84" l="1"/>
  <c r="Q36" i="84" l="1"/>
  <c r="L36" i="84"/>
  <c r="R36" i="84" s="1"/>
  <c r="Q32" i="84"/>
  <c r="L32" i="84"/>
  <c r="R32" i="84" s="1"/>
  <c r="Q44" i="84"/>
  <c r="L44" i="84"/>
  <c r="R44" i="84" s="1"/>
  <c r="Q41" i="84"/>
  <c r="L41" i="84"/>
  <c r="R41" i="84" s="1"/>
  <c r="Q30" i="84"/>
  <c r="L30" i="84"/>
  <c r="R30" i="84" s="1"/>
  <c r="Q45" i="84"/>
  <c r="L45" i="84"/>
  <c r="R45" i="84" s="1"/>
  <c r="Q34" i="84"/>
  <c r="L34" i="84"/>
  <c r="R34" i="84" s="1"/>
  <c r="Q35" i="84"/>
  <c r="L35" i="84"/>
  <c r="R35" i="84" s="1"/>
  <c r="Q40" i="84"/>
  <c r="L40" i="84"/>
  <c r="R40" i="84" s="1"/>
  <c r="Q42" i="84"/>
  <c r="L42" i="84"/>
  <c r="R42" i="84" s="1"/>
  <c r="Q33" i="84"/>
  <c r="L33" i="84"/>
  <c r="R33" i="84" s="1"/>
  <c r="Q31" i="84"/>
  <c r="L31" i="84"/>
  <c r="R31" i="84" s="1"/>
  <c r="Q39" i="84"/>
  <c r="L39" i="84"/>
  <c r="R39" i="84" s="1"/>
  <c r="Q43" i="84"/>
  <c r="L43" i="84"/>
  <c r="R43" i="84" s="1"/>
  <c r="Q37" i="84"/>
  <c r="L37" i="84"/>
  <c r="R37" i="84" s="1"/>
  <c r="Q38" i="84"/>
  <c r="L38" i="84"/>
  <c r="R38" i="84" s="1"/>
  <c r="T44" i="84" l="1"/>
  <c r="O44" i="84"/>
  <c r="U44" i="84" s="1"/>
  <c r="T40" i="84"/>
  <c r="O40" i="84"/>
  <c r="U40" i="84" s="1"/>
  <c r="T42" i="84"/>
  <c r="O42" i="84"/>
  <c r="U42" i="84" s="1"/>
  <c r="T36" i="84"/>
  <c r="O36" i="84"/>
  <c r="U36" i="84" s="1"/>
  <c r="T32" i="84"/>
  <c r="O32" i="84"/>
  <c r="U32" i="84" s="1"/>
  <c r="N46" i="84"/>
  <c r="T29" i="84"/>
  <c r="O29" i="84"/>
  <c r="T30" i="84"/>
  <c r="O30" i="84"/>
  <c r="U30" i="84" s="1"/>
  <c r="T31" i="84"/>
  <c r="O31" i="84"/>
  <c r="U31" i="84" s="1"/>
  <c r="T39" i="84"/>
  <c r="O39" i="84"/>
  <c r="U39" i="84" s="1"/>
  <c r="T38" i="84"/>
  <c r="O38" i="84"/>
  <c r="U38" i="84" s="1"/>
  <c r="T45" i="84"/>
  <c r="O45" i="84"/>
  <c r="U45" i="84" s="1"/>
  <c r="T33" i="84"/>
  <c r="O33" i="84"/>
  <c r="U33" i="84" s="1"/>
  <c r="T43" i="84"/>
  <c r="O43" i="84"/>
  <c r="U43" i="84" s="1"/>
  <c r="T34" i="84"/>
  <c r="O34" i="84"/>
  <c r="U34" i="84" s="1"/>
  <c r="T41" i="84"/>
  <c r="O41" i="84"/>
  <c r="U41" i="84" s="1"/>
  <c r="T35" i="84"/>
  <c r="O35" i="84"/>
  <c r="U35" i="84" s="1"/>
  <c r="T37" i="84"/>
  <c r="O37" i="84"/>
  <c r="U37" i="84" s="1"/>
  <c r="V37" i="85" l="1"/>
  <c r="J353" i="54" s="1"/>
  <c r="V39" i="85"/>
  <c r="L353" i="54" s="1"/>
  <c r="V36" i="85"/>
  <c r="I353" i="54" s="1"/>
  <c r="W39" i="85"/>
  <c r="W37" i="85"/>
  <c r="W38" i="85"/>
  <c r="W36" i="85"/>
  <c r="V35" i="85"/>
  <c r="H353" i="54" s="1"/>
  <c r="W35" i="85"/>
  <c r="V38" i="85"/>
  <c r="K353" i="54" s="1"/>
  <c r="V29" i="85"/>
  <c r="L351" i="54" s="1"/>
  <c r="W28" i="85"/>
  <c r="V27" i="85"/>
  <c r="J351" i="54" s="1"/>
  <c r="V25" i="85"/>
  <c r="H351" i="54" s="1"/>
  <c r="W29" i="85"/>
  <c r="W25" i="85"/>
  <c r="W26" i="85"/>
  <c r="V26" i="85"/>
  <c r="I351" i="54" s="1"/>
  <c r="W27" i="85"/>
  <c r="V28" i="85"/>
  <c r="K351" i="54" s="1"/>
  <c r="V51" i="85"/>
  <c r="I348" i="54" s="1"/>
  <c r="W53" i="85"/>
  <c r="V53" i="85"/>
  <c r="K348" i="54" s="1"/>
  <c r="V50" i="85"/>
  <c r="H348" i="54" s="1"/>
  <c r="W52" i="85"/>
  <c r="W50" i="85"/>
  <c r="W51" i="85"/>
  <c r="V54" i="85"/>
  <c r="L348" i="54" s="1"/>
  <c r="V52" i="85"/>
  <c r="J348" i="54" s="1"/>
  <c r="W54" i="85"/>
  <c r="V34" i="85"/>
  <c r="L352" i="54" s="1"/>
  <c r="V31" i="85"/>
  <c r="I352" i="54" s="1"/>
  <c r="W32" i="85"/>
  <c r="W33" i="85"/>
  <c r="W34" i="85"/>
  <c r="V30" i="85"/>
  <c r="H352" i="54" s="1"/>
  <c r="V33" i="85"/>
  <c r="K352" i="54" s="1"/>
  <c r="W31" i="85"/>
  <c r="W30" i="85"/>
  <c r="V32" i="85"/>
  <c r="J352" i="54" s="1"/>
  <c r="W87" i="85"/>
  <c r="W89" i="85"/>
  <c r="W88" i="85"/>
  <c r="W85" i="85"/>
  <c r="V87" i="85"/>
  <c r="J362" i="54" s="1"/>
  <c r="V85" i="85"/>
  <c r="H362" i="54" s="1"/>
  <c r="V89" i="85"/>
  <c r="L362" i="54" s="1"/>
  <c r="W86" i="85"/>
  <c r="V86" i="85"/>
  <c r="I362" i="54" s="1"/>
  <c r="V88" i="85"/>
  <c r="K362" i="54" s="1"/>
  <c r="W48" i="85"/>
  <c r="W46" i="85"/>
  <c r="W45" i="85"/>
  <c r="V47" i="85"/>
  <c r="J355" i="54" s="1"/>
  <c r="W47" i="85"/>
  <c r="V48" i="85"/>
  <c r="K355" i="54" s="1"/>
  <c r="V49" i="85"/>
  <c r="L355" i="54" s="1"/>
  <c r="V45" i="85"/>
  <c r="H355" i="54" s="1"/>
  <c r="W49" i="85"/>
  <c r="V46" i="85"/>
  <c r="I355" i="54" s="1"/>
  <c r="V59" i="85"/>
  <c r="L344" i="54" s="1"/>
  <c r="W56" i="85"/>
  <c r="V56" i="85"/>
  <c r="I344" i="54" s="1"/>
  <c r="W55" i="85"/>
  <c r="V55" i="85"/>
  <c r="H344" i="54" s="1"/>
  <c r="W59" i="85"/>
  <c r="W57" i="85"/>
  <c r="W58" i="85"/>
  <c r="V57" i="85"/>
  <c r="J344" i="54" s="1"/>
  <c r="V58" i="85"/>
  <c r="K344" i="54" s="1"/>
  <c r="W83" i="85"/>
  <c r="V84" i="85"/>
  <c r="L361" i="54" s="1"/>
  <c r="V83" i="85"/>
  <c r="K361" i="54" s="1"/>
  <c r="V82" i="85"/>
  <c r="J361" i="54" s="1"/>
  <c r="V80" i="85"/>
  <c r="H361" i="54" s="1"/>
  <c r="V81" i="85"/>
  <c r="I361" i="54" s="1"/>
  <c r="W84" i="85"/>
  <c r="W81" i="85"/>
  <c r="W80" i="85"/>
  <c r="W82" i="85"/>
  <c r="W68" i="85"/>
  <c r="V65" i="85"/>
  <c r="H357" i="54" s="1"/>
  <c r="V67" i="85"/>
  <c r="J357" i="54" s="1"/>
  <c r="V66" i="85"/>
  <c r="I357" i="54" s="1"/>
  <c r="W67" i="85"/>
  <c r="V68" i="85"/>
  <c r="K357" i="54" s="1"/>
  <c r="W65" i="85"/>
  <c r="W66" i="85"/>
  <c r="V69" i="85"/>
  <c r="L357" i="54" s="1"/>
  <c r="W69" i="85"/>
  <c r="V77" i="85"/>
  <c r="J360" i="54" s="1"/>
  <c r="W78" i="85"/>
  <c r="V78" i="85"/>
  <c r="K360" i="54" s="1"/>
  <c r="W75" i="85"/>
  <c r="V75" i="85"/>
  <c r="H360" i="54" s="1"/>
  <c r="W76" i="85"/>
  <c r="V79" i="85"/>
  <c r="L360" i="54" s="1"/>
  <c r="V76" i="85"/>
  <c r="I360" i="54" s="1"/>
  <c r="W79" i="85"/>
  <c r="W77" i="85"/>
  <c r="O46" i="84"/>
  <c r="U29" i="84"/>
  <c r="V19" i="85"/>
  <c r="L346" i="54" s="1"/>
  <c r="V16" i="85"/>
  <c r="I346" i="54" s="1"/>
  <c r="V17" i="85"/>
  <c r="J346" i="54" s="1"/>
  <c r="W17" i="85"/>
  <c r="V18" i="85"/>
  <c r="K346" i="54" s="1"/>
  <c r="W16" i="85"/>
  <c r="W19" i="85"/>
  <c r="W18" i="85"/>
  <c r="W15" i="85"/>
  <c r="V15" i="85"/>
  <c r="H346" i="54" s="1"/>
  <c r="W73" i="85"/>
  <c r="W72" i="85"/>
  <c r="W74" i="85"/>
  <c r="V71" i="85"/>
  <c r="I359" i="54" s="1"/>
  <c r="V70" i="85"/>
  <c r="H359" i="54" s="1"/>
  <c r="W70" i="85"/>
  <c r="V74" i="85"/>
  <c r="L359" i="54" s="1"/>
  <c r="V73" i="85"/>
  <c r="K359" i="54" s="1"/>
  <c r="V72" i="85"/>
  <c r="J359" i="54" s="1"/>
  <c r="W71" i="85"/>
  <c r="W21" i="85"/>
  <c r="V24" i="85"/>
  <c r="L347" i="54" s="1"/>
  <c r="W22" i="85"/>
  <c r="V21" i="85"/>
  <c r="I347" i="54" s="1"/>
  <c r="W20" i="85"/>
  <c r="V22" i="85"/>
  <c r="J347" i="54" s="1"/>
  <c r="W23" i="85"/>
  <c r="W24" i="85"/>
  <c r="V23" i="85"/>
  <c r="K347" i="54" s="1"/>
  <c r="V20" i="85"/>
  <c r="H347" i="54" s="1"/>
  <c r="V41" i="85"/>
  <c r="I354" i="54" s="1"/>
  <c r="V42" i="85"/>
  <c r="J354" i="54" s="1"/>
  <c r="V44" i="85"/>
  <c r="L354" i="54" s="1"/>
  <c r="W44" i="85"/>
  <c r="V43" i="85"/>
  <c r="K354" i="54" s="1"/>
  <c r="W41" i="85"/>
  <c r="W42" i="85"/>
  <c r="W43" i="85"/>
  <c r="W40" i="85"/>
  <c r="V40" i="85"/>
  <c r="H354" i="54" s="1"/>
  <c r="W13" i="85"/>
  <c r="V11" i="85"/>
  <c r="I345" i="54" s="1"/>
  <c r="W12" i="85"/>
  <c r="W11" i="85"/>
  <c r="V13" i="85"/>
  <c r="K345" i="54" s="1"/>
  <c r="V12" i="85"/>
  <c r="J345" i="54" s="1"/>
  <c r="W14" i="85"/>
  <c r="V10" i="85"/>
  <c r="H345" i="54" s="1"/>
  <c r="W10" i="85"/>
  <c r="V14" i="85"/>
  <c r="L345" i="54" s="1"/>
  <c r="V6" i="85"/>
  <c r="I343" i="54" s="1"/>
  <c r="V8" i="85"/>
  <c r="K343" i="54" s="1"/>
  <c r="T46" i="84"/>
  <c r="W9" i="85"/>
  <c r="V5" i="85"/>
  <c r="V7" i="85"/>
  <c r="J343" i="54" s="1"/>
  <c r="W7" i="85"/>
  <c r="W6" i="85"/>
  <c r="W5" i="85"/>
  <c r="V9" i="85"/>
  <c r="L343" i="54" s="1"/>
  <c r="W8" i="85"/>
  <c r="V64" i="85"/>
  <c r="L356" i="54" s="1"/>
  <c r="W64" i="85"/>
  <c r="V62" i="85"/>
  <c r="J356" i="54" s="1"/>
  <c r="W61" i="85"/>
  <c r="V63" i="85"/>
  <c r="K356" i="54" s="1"/>
  <c r="W63" i="85"/>
  <c r="V61" i="85"/>
  <c r="I356" i="54" s="1"/>
  <c r="W60" i="85"/>
  <c r="V60" i="85"/>
  <c r="H356" i="54" s="1"/>
  <c r="W62" i="85"/>
  <c r="H343" i="54" l="1"/>
  <c r="U46" i="84"/>
  <c r="K46" i="84" l="1"/>
  <c r="Q29" i="84"/>
  <c r="L29" i="84"/>
  <c r="Q46" i="84" l="1"/>
  <c r="L46" i="84"/>
  <c r="R29" i="84"/>
  <c r="R46" i="84" s="1"/>
  <c r="P87" i="84" l="1"/>
  <c r="P86" i="84"/>
  <c r="P78" i="84"/>
  <c r="P75" i="84"/>
  <c r="P76" i="84"/>
  <c r="P85" i="84"/>
  <c r="P81" i="84"/>
  <c r="P79" i="84"/>
  <c r="P82" i="84"/>
  <c r="P77" i="84"/>
  <c r="P84" i="84"/>
  <c r="P83" i="84"/>
  <c r="P80" i="84"/>
  <c r="J508" i="54" l="1"/>
  <c r="L508" i="54"/>
  <c r="H508" i="54"/>
  <c r="K508" i="54"/>
  <c r="I508" i="54"/>
  <c r="L516" i="54"/>
  <c r="I516" i="54"/>
  <c r="J516" i="54"/>
  <c r="H516" i="54"/>
  <c r="K516" i="54"/>
  <c r="I514" i="54"/>
  <c r="H514" i="54"/>
  <c r="K514" i="54"/>
  <c r="L514" i="54"/>
  <c r="J514" i="54"/>
  <c r="K518" i="54"/>
  <c r="L518" i="54"/>
  <c r="I518" i="54"/>
  <c r="J518" i="54"/>
  <c r="H518" i="54"/>
  <c r="H486" i="54"/>
  <c r="L486" i="54"/>
  <c r="J486" i="54"/>
  <c r="I486" i="54"/>
  <c r="K486" i="54"/>
  <c r="L522" i="54"/>
  <c r="J522" i="54"/>
  <c r="H522" i="54"/>
  <c r="K522" i="54"/>
  <c r="I522" i="54"/>
  <c r="H506" i="54"/>
  <c r="L506" i="54"/>
  <c r="I506" i="54"/>
  <c r="K506" i="54"/>
  <c r="J506" i="54"/>
  <c r="J494" i="54"/>
  <c r="H494" i="54"/>
  <c r="L494" i="54"/>
  <c r="K494" i="54"/>
  <c r="I494" i="54"/>
  <c r="L484" i="54"/>
  <c r="I484" i="54"/>
  <c r="H484" i="54"/>
  <c r="J484" i="54"/>
  <c r="K484" i="54"/>
  <c r="K520" i="54"/>
  <c r="L520" i="54"/>
  <c r="I520" i="54"/>
  <c r="H520" i="54"/>
  <c r="J520" i="54"/>
  <c r="H492" i="54"/>
  <c r="K492" i="54"/>
  <c r="I492" i="54"/>
  <c r="J492" i="54"/>
  <c r="L492" i="54"/>
  <c r="P74" i="84"/>
  <c r="I490" i="54"/>
  <c r="K490" i="54"/>
  <c r="H490" i="54"/>
  <c r="L490" i="54"/>
  <c r="J490" i="54"/>
  <c r="K504" i="54"/>
  <c r="H504" i="54"/>
  <c r="I504" i="54"/>
  <c r="J504" i="54"/>
  <c r="L504" i="54"/>
  <c r="P73" i="84"/>
  <c r="P72" i="84"/>
  <c r="P89" i="84" l="1"/>
  <c r="L500" i="54"/>
  <c r="H500" i="54"/>
  <c r="J500" i="54"/>
  <c r="I500" i="54"/>
  <c r="K500" i="54"/>
  <c r="K502" i="54"/>
  <c r="L502" i="54"/>
  <c r="I502" i="54"/>
  <c r="H502" i="54"/>
  <c r="J502" i="54"/>
  <c r="L498" i="54"/>
  <c r="H498" i="54"/>
  <c r="K498" i="54"/>
  <c r="I498" i="54"/>
  <c r="J498" i="54"/>
  <c r="K72" i="84" l="1"/>
  <c r="O72" i="84"/>
  <c r="K82" i="84"/>
  <c r="Q82" i="84" s="1"/>
  <c r="O82" i="84"/>
  <c r="K85" i="84"/>
  <c r="Q85" i="84" s="1"/>
  <c r="O85" i="84"/>
  <c r="K79" i="84"/>
  <c r="Q79" i="84" s="1"/>
  <c r="O79" i="84"/>
  <c r="K77" i="84"/>
  <c r="Q77" i="84" s="1"/>
  <c r="O77" i="84"/>
  <c r="K87" i="84"/>
  <c r="Q87" i="84" s="1"/>
  <c r="O87" i="84"/>
  <c r="K78" i="84"/>
  <c r="Q78" i="84" s="1"/>
  <c r="O78" i="84"/>
  <c r="K75" i="84"/>
  <c r="Q75" i="84" s="1"/>
  <c r="O75" i="84"/>
  <c r="K80" i="84"/>
  <c r="Q80" i="84" s="1"/>
  <c r="O80" i="84"/>
  <c r="K86" i="84"/>
  <c r="Q86" i="84" s="1"/>
  <c r="O86" i="84"/>
  <c r="O76" i="84"/>
  <c r="K76" i="84"/>
  <c r="Q76" i="84" s="1"/>
  <c r="K84" i="84"/>
  <c r="Q84" i="84" s="1"/>
  <c r="O84" i="84"/>
  <c r="O81" i="84"/>
  <c r="K81" i="84"/>
  <c r="Q81" i="84" s="1"/>
  <c r="K73" i="84"/>
  <c r="Q73" i="84" s="1"/>
  <c r="O73" i="84"/>
  <c r="K83" i="84"/>
  <c r="Q83" i="84" s="1"/>
  <c r="O83" i="84"/>
  <c r="Q72" i="84" l="1"/>
  <c r="I499" i="54"/>
  <c r="L499" i="54"/>
  <c r="H499" i="54"/>
  <c r="K499" i="54"/>
  <c r="J499" i="54"/>
  <c r="L485" i="54"/>
  <c r="K485" i="54"/>
  <c r="I485" i="54"/>
  <c r="H485" i="54"/>
  <c r="J485" i="54"/>
  <c r="L491" i="54"/>
  <c r="J491" i="54"/>
  <c r="K491" i="54"/>
  <c r="H491" i="54"/>
  <c r="I491" i="54"/>
  <c r="H503" i="54"/>
  <c r="J503" i="54"/>
  <c r="L503" i="54"/>
  <c r="K503" i="54"/>
  <c r="I503" i="54"/>
  <c r="H493" i="54"/>
  <c r="J493" i="54"/>
  <c r="I493" i="54"/>
  <c r="L493" i="54"/>
  <c r="K493" i="54"/>
  <c r="I519" i="54"/>
  <c r="K519" i="54"/>
  <c r="J519" i="54"/>
  <c r="L519" i="54"/>
  <c r="H519" i="54"/>
  <c r="J505" i="54"/>
  <c r="L505" i="54"/>
  <c r="K505" i="54"/>
  <c r="H505" i="54"/>
  <c r="I505" i="54"/>
  <c r="J515" i="54"/>
  <c r="L515" i="54"/>
  <c r="H515" i="54"/>
  <c r="I515" i="54"/>
  <c r="K515" i="54"/>
  <c r="J521" i="54"/>
  <c r="L521" i="54"/>
  <c r="H521" i="54"/>
  <c r="K521" i="54"/>
  <c r="I521" i="54"/>
  <c r="H507" i="54"/>
  <c r="K507" i="54"/>
  <c r="L507" i="54"/>
  <c r="I507" i="54"/>
  <c r="J507" i="54"/>
  <c r="K74" i="84"/>
  <c r="Q74" i="84" s="1"/>
  <c r="O74" i="84"/>
  <c r="O89" i="84" s="1"/>
  <c r="K489" i="54"/>
  <c r="I489" i="54"/>
  <c r="L489" i="54"/>
  <c r="J489" i="54"/>
  <c r="H489" i="54"/>
  <c r="K497" i="54"/>
  <c r="L497" i="54"/>
  <c r="J497" i="54"/>
  <c r="I497" i="54"/>
  <c r="H497" i="54"/>
  <c r="J483" i="54"/>
  <c r="L483" i="54"/>
  <c r="I483" i="54"/>
  <c r="K483" i="54"/>
  <c r="H483" i="54"/>
  <c r="I517" i="54"/>
  <c r="K517" i="54"/>
  <c r="L517" i="54"/>
  <c r="J517" i="54"/>
  <c r="H517" i="54"/>
  <c r="H513" i="54"/>
  <c r="I513" i="54"/>
  <c r="K513" i="54"/>
  <c r="L513" i="54"/>
  <c r="J513" i="54"/>
  <c r="K89" i="84" l="1"/>
  <c r="Q89" i="84"/>
  <c r="J501" i="54"/>
  <c r="L501" i="54"/>
  <c r="K501" i="54"/>
  <c r="I501" i="54"/>
  <c r="H501" i="54"/>
  <c r="E56" i="84" l="1"/>
  <c r="E53" i="84"/>
  <c r="E55" i="84"/>
  <c r="E60" i="84" l="1"/>
  <c r="E59" i="84"/>
  <c r="E66" i="84"/>
  <c r="E64" i="84"/>
  <c r="E52" i="84"/>
  <c r="E67" i="84"/>
  <c r="E65" i="84"/>
  <c r="E62" i="84"/>
  <c r="E63" i="84"/>
  <c r="E58" i="84"/>
  <c r="E61" i="84"/>
  <c r="E57" i="84"/>
  <c r="E54" i="84"/>
  <c r="D68" i="84" l="1"/>
  <c r="E51" i="84" l="1"/>
  <c r="E68" i="84" s="1"/>
  <c r="C68" i="84"/>
  <c r="Q62" i="84" l="1"/>
  <c r="Q66" i="84"/>
  <c r="Q57" i="84"/>
  <c r="Q58" i="84"/>
  <c r="Q55" i="84"/>
  <c r="Q59" i="84"/>
  <c r="Q56" i="84"/>
  <c r="Q64" i="84"/>
  <c r="Q53" i="84"/>
  <c r="Q54" i="84"/>
  <c r="Q52" i="84"/>
  <c r="Q67" i="84"/>
  <c r="Q65" i="84"/>
  <c r="Q60" i="84"/>
  <c r="Q63" i="84"/>
  <c r="Q61" i="84"/>
  <c r="X49" i="85" l="1"/>
  <c r="Z49" i="85" s="1"/>
  <c r="L375" i="54" s="1"/>
  <c r="X47" i="85"/>
  <c r="Z47" i="85" s="1"/>
  <c r="J375" i="54" s="1"/>
  <c r="X45" i="85"/>
  <c r="Z45" i="85" s="1"/>
  <c r="H375" i="54" s="1"/>
  <c r="G16" i="84"/>
  <c r="X46" i="85"/>
  <c r="Z46" i="85" s="1"/>
  <c r="I375" i="54" s="1"/>
  <c r="X48" i="85"/>
  <c r="Z48" i="85" s="1"/>
  <c r="K375" i="54" s="1"/>
  <c r="H63" i="84"/>
  <c r="R63" i="84" s="1"/>
  <c r="H18" i="84" s="1"/>
  <c r="P63" i="84"/>
  <c r="X76" i="85"/>
  <c r="Z76" i="85" s="1"/>
  <c r="I380" i="54" s="1"/>
  <c r="X77" i="85"/>
  <c r="Z77" i="85" s="1"/>
  <c r="J380" i="54" s="1"/>
  <c r="X79" i="85"/>
  <c r="Z79" i="85" s="1"/>
  <c r="L380" i="54" s="1"/>
  <c r="G20" i="84"/>
  <c r="X75" i="85"/>
  <c r="Z75" i="85" s="1"/>
  <c r="H380" i="54" s="1"/>
  <c r="X78" i="85"/>
  <c r="Z78" i="85" s="1"/>
  <c r="K380" i="54" s="1"/>
  <c r="X56" i="85"/>
  <c r="Z56" i="85" s="1"/>
  <c r="I364" i="54" s="1"/>
  <c r="X58" i="85"/>
  <c r="Z58" i="85" s="1"/>
  <c r="K364" i="54" s="1"/>
  <c r="X57" i="85"/>
  <c r="Z57" i="85" s="1"/>
  <c r="J364" i="54" s="1"/>
  <c r="G7" i="84"/>
  <c r="X55" i="85"/>
  <c r="Z55" i="85" s="1"/>
  <c r="H364" i="54" s="1"/>
  <c r="X59" i="85"/>
  <c r="Z59" i="85" s="1"/>
  <c r="L364" i="54" s="1"/>
  <c r="X10" i="85"/>
  <c r="Z10" i="85" s="1"/>
  <c r="H365" i="54" s="1"/>
  <c r="X14" i="85"/>
  <c r="Z14" i="85" s="1"/>
  <c r="L365" i="54" s="1"/>
  <c r="X11" i="85"/>
  <c r="Z11" i="85" s="1"/>
  <c r="I365" i="54" s="1"/>
  <c r="X13" i="85"/>
  <c r="Z13" i="85" s="1"/>
  <c r="K365" i="54" s="1"/>
  <c r="X12" i="85"/>
  <c r="Z12" i="85" s="1"/>
  <c r="J365" i="54" s="1"/>
  <c r="G8" i="84"/>
  <c r="H59" i="84"/>
  <c r="R59" i="84" s="1"/>
  <c r="H14" i="84" s="1"/>
  <c r="P59" i="84"/>
  <c r="H58" i="84"/>
  <c r="R58" i="84" s="1"/>
  <c r="H13" i="84" s="1"/>
  <c r="P58" i="84"/>
  <c r="P66" i="84"/>
  <c r="H66" i="84"/>
  <c r="R66" i="84" s="1"/>
  <c r="H21" i="84" s="1"/>
  <c r="X42" i="85"/>
  <c r="Z42" i="85" s="1"/>
  <c r="J374" i="54" s="1"/>
  <c r="X43" i="85"/>
  <c r="Z43" i="85" s="1"/>
  <c r="K374" i="54" s="1"/>
  <c r="X44" i="85"/>
  <c r="Z44" i="85" s="1"/>
  <c r="L374" i="54" s="1"/>
  <c r="G15" i="84"/>
  <c r="X40" i="85"/>
  <c r="Z40" i="85" s="1"/>
  <c r="H374" i="54" s="1"/>
  <c r="X41" i="85"/>
  <c r="Z41" i="85" s="1"/>
  <c r="I374" i="54" s="1"/>
  <c r="X67" i="85"/>
  <c r="Z67" i="85" s="1"/>
  <c r="J377" i="54" s="1"/>
  <c r="X69" i="85"/>
  <c r="Z69" i="85" s="1"/>
  <c r="L377" i="54" s="1"/>
  <c r="X65" i="85"/>
  <c r="Z65" i="85" s="1"/>
  <c r="H377" i="54" s="1"/>
  <c r="X66" i="85"/>
  <c r="Z66" i="85" s="1"/>
  <c r="I377" i="54" s="1"/>
  <c r="X68" i="85"/>
  <c r="Z68" i="85" s="1"/>
  <c r="K377" i="54" s="1"/>
  <c r="G18" i="84"/>
  <c r="H65" i="84"/>
  <c r="R65" i="84" s="1"/>
  <c r="H20" i="84" s="1"/>
  <c r="P65" i="84"/>
  <c r="H52" i="84"/>
  <c r="R52" i="84" s="1"/>
  <c r="H7" i="84" s="1"/>
  <c r="P52" i="84"/>
  <c r="H53" i="84"/>
  <c r="R53" i="84" s="1"/>
  <c r="H8" i="84" s="1"/>
  <c r="P53" i="84"/>
  <c r="X35" i="85"/>
  <c r="Z35" i="85" s="1"/>
  <c r="H373" i="54" s="1"/>
  <c r="X38" i="85"/>
  <c r="Z38" i="85" s="1"/>
  <c r="K373" i="54" s="1"/>
  <c r="X37" i="85"/>
  <c r="Z37" i="85" s="1"/>
  <c r="J373" i="54" s="1"/>
  <c r="X36" i="85"/>
  <c r="Z36" i="85" s="1"/>
  <c r="I373" i="54" s="1"/>
  <c r="X39" i="85"/>
  <c r="Z39" i="85" s="1"/>
  <c r="L373" i="54" s="1"/>
  <c r="G14" i="84"/>
  <c r="X33" i="85"/>
  <c r="Z33" i="85" s="1"/>
  <c r="K372" i="54" s="1"/>
  <c r="X32" i="85"/>
  <c r="Z32" i="85" s="1"/>
  <c r="J372" i="54" s="1"/>
  <c r="X31" i="85"/>
  <c r="Z31" i="85" s="1"/>
  <c r="I372" i="54" s="1"/>
  <c r="X30" i="85"/>
  <c r="Z30" i="85" s="1"/>
  <c r="H372" i="54" s="1"/>
  <c r="X34" i="85"/>
  <c r="Z34" i="85" s="1"/>
  <c r="L372" i="54" s="1"/>
  <c r="G13" i="84"/>
  <c r="X83" i="85"/>
  <c r="Z83" i="85" s="1"/>
  <c r="K381" i="54" s="1"/>
  <c r="X80" i="85"/>
  <c r="Z80" i="85" s="1"/>
  <c r="H381" i="54" s="1"/>
  <c r="X84" i="85"/>
  <c r="Z84" i="85" s="1"/>
  <c r="L381" i="54" s="1"/>
  <c r="X82" i="85"/>
  <c r="Z82" i="85" s="1"/>
  <c r="J381" i="54" s="1"/>
  <c r="X81" i="85"/>
  <c r="Z81" i="85" s="1"/>
  <c r="I381" i="54" s="1"/>
  <c r="G21" i="84"/>
  <c r="H60" i="84"/>
  <c r="R60" i="84" s="1"/>
  <c r="H15" i="84" s="1"/>
  <c r="P60" i="84"/>
  <c r="P67" i="84"/>
  <c r="H67" i="84"/>
  <c r="R67" i="84" s="1"/>
  <c r="H22" i="84" s="1"/>
  <c r="X18" i="85"/>
  <c r="Z18" i="85" s="1"/>
  <c r="K366" i="54" s="1"/>
  <c r="X17" i="85"/>
  <c r="Z17" i="85" s="1"/>
  <c r="J366" i="54" s="1"/>
  <c r="X16" i="85"/>
  <c r="Z16" i="85" s="1"/>
  <c r="I366" i="54" s="1"/>
  <c r="X15" i="85"/>
  <c r="Z15" i="85" s="1"/>
  <c r="H366" i="54" s="1"/>
  <c r="X19" i="85"/>
  <c r="Z19" i="85" s="1"/>
  <c r="L366" i="54" s="1"/>
  <c r="G9" i="84"/>
  <c r="H64" i="84"/>
  <c r="R64" i="84" s="1"/>
  <c r="H19" i="84" s="1"/>
  <c r="P64" i="84"/>
  <c r="H56" i="84"/>
  <c r="R56" i="84" s="1"/>
  <c r="H11" i="84" s="1"/>
  <c r="P56" i="84"/>
  <c r="H55" i="84"/>
  <c r="R55" i="84" s="1"/>
  <c r="H10" i="84" s="1"/>
  <c r="P55" i="84"/>
  <c r="X27" i="85"/>
  <c r="Z27" i="85" s="1"/>
  <c r="J371" i="54" s="1"/>
  <c r="X29" i="85"/>
  <c r="Z29" i="85" s="1"/>
  <c r="L371" i="54" s="1"/>
  <c r="G12" i="84"/>
  <c r="X26" i="85"/>
  <c r="Z26" i="85" s="1"/>
  <c r="I371" i="54" s="1"/>
  <c r="X28" i="85"/>
  <c r="Z28" i="85" s="1"/>
  <c r="K371" i="54" s="1"/>
  <c r="X25" i="85"/>
  <c r="Z25" i="85" s="1"/>
  <c r="H371" i="54" s="1"/>
  <c r="H62" i="84"/>
  <c r="R62" i="84" s="1"/>
  <c r="H17" i="84" s="1"/>
  <c r="P62" i="84"/>
  <c r="H61" i="84"/>
  <c r="R61" i="84" s="1"/>
  <c r="H16" i="84" s="1"/>
  <c r="P61" i="84"/>
  <c r="X87" i="85"/>
  <c r="Z87" i="85" s="1"/>
  <c r="J382" i="54" s="1"/>
  <c r="X89" i="85"/>
  <c r="Z89" i="85" s="1"/>
  <c r="L382" i="54" s="1"/>
  <c r="X86" i="85"/>
  <c r="Z86" i="85" s="1"/>
  <c r="I382" i="54" s="1"/>
  <c r="X88" i="85"/>
  <c r="Z88" i="85" s="1"/>
  <c r="K382" i="54" s="1"/>
  <c r="G22" i="84"/>
  <c r="X85" i="85"/>
  <c r="Z85" i="85" s="1"/>
  <c r="H382" i="54" s="1"/>
  <c r="P54" i="84"/>
  <c r="H54" i="84"/>
  <c r="R54" i="84" s="1"/>
  <c r="H9" i="84" s="1"/>
  <c r="X71" i="85"/>
  <c r="Z71" i="85" s="1"/>
  <c r="I379" i="54" s="1"/>
  <c r="X74" i="85"/>
  <c r="Z74" i="85" s="1"/>
  <c r="L379" i="54" s="1"/>
  <c r="X72" i="85"/>
  <c r="Z72" i="85" s="1"/>
  <c r="J379" i="54" s="1"/>
  <c r="X70" i="85"/>
  <c r="Z70" i="85" s="1"/>
  <c r="H379" i="54" s="1"/>
  <c r="X73" i="85"/>
  <c r="Z73" i="85" s="1"/>
  <c r="K379" i="54" s="1"/>
  <c r="G19" i="84"/>
  <c r="X54" i="85"/>
  <c r="Z54" i="85" s="1"/>
  <c r="L368" i="54" s="1"/>
  <c r="X53" i="85"/>
  <c r="Z53" i="85" s="1"/>
  <c r="K368" i="54" s="1"/>
  <c r="X52" i="85"/>
  <c r="Z52" i="85" s="1"/>
  <c r="J368" i="54" s="1"/>
  <c r="X51" i="85"/>
  <c r="Z51" i="85" s="1"/>
  <c r="I368" i="54" s="1"/>
  <c r="X50" i="85"/>
  <c r="Z50" i="85" s="1"/>
  <c r="H368" i="54" s="1"/>
  <c r="G11" i="84"/>
  <c r="X21" i="85"/>
  <c r="Z21" i="85" s="1"/>
  <c r="I367" i="54" s="1"/>
  <c r="G10" i="84"/>
  <c r="X20" i="85"/>
  <c r="Z20" i="85" s="1"/>
  <c r="H367" i="54" s="1"/>
  <c r="X23" i="85"/>
  <c r="Z23" i="85" s="1"/>
  <c r="K367" i="54" s="1"/>
  <c r="X22" i="85"/>
  <c r="Z22" i="85" s="1"/>
  <c r="J367" i="54" s="1"/>
  <c r="X24" i="85"/>
  <c r="Z24" i="85" s="1"/>
  <c r="L367" i="54" s="1"/>
  <c r="H57" i="84"/>
  <c r="R57" i="84" s="1"/>
  <c r="H12" i="84" s="1"/>
  <c r="P57" i="84"/>
  <c r="X62" i="85"/>
  <c r="Z62" i="85" s="1"/>
  <c r="J376" i="54" s="1"/>
  <c r="X60" i="85"/>
  <c r="Z60" i="85" s="1"/>
  <c r="H376" i="54" s="1"/>
  <c r="X63" i="85"/>
  <c r="Z63" i="85" s="1"/>
  <c r="K376" i="54" s="1"/>
  <c r="X61" i="85"/>
  <c r="Z61" i="85" s="1"/>
  <c r="I376" i="54" s="1"/>
  <c r="X64" i="85"/>
  <c r="Z64" i="85" s="1"/>
  <c r="L376" i="54" s="1"/>
  <c r="G17" i="84"/>
  <c r="H36" i="54" l="1"/>
  <c r="AB60" i="85"/>
  <c r="H444" i="54" s="1"/>
  <c r="AB64" i="85"/>
  <c r="L444" i="54" s="1"/>
  <c r="AB63" i="85"/>
  <c r="K444" i="54" s="1"/>
  <c r="AB62" i="85"/>
  <c r="J444" i="54" s="1"/>
  <c r="J17" i="84"/>
  <c r="AB61" i="85"/>
  <c r="I444" i="54" s="1"/>
  <c r="K36" i="54"/>
  <c r="L36" i="54"/>
  <c r="J36" i="54"/>
  <c r="I36" i="54"/>
  <c r="L28" i="85"/>
  <c r="N28" i="85" s="1"/>
  <c r="K311" i="54" s="1"/>
  <c r="F12" i="84"/>
  <c r="L25" i="85"/>
  <c r="N25" i="85" s="1"/>
  <c r="H311" i="54" s="1"/>
  <c r="L26" i="85"/>
  <c r="N26" i="85" s="1"/>
  <c r="I311" i="54" s="1"/>
  <c r="L27" i="85"/>
  <c r="N27" i="85" s="1"/>
  <c r="J311" i="54" s="1"/>
  <c r="L29" i="85"/>
  <c r="N29" i="85" s="1"/>
  <c r="L311" i="54" s="1"/>
  <c r="L47" i="85"/>
  <c r="N47" i="85" s="1"/>
  <c r="J315" i="54" s="1"/>
  <c r="L45" i="85"/>
  <c r="N45" i="85" s="1"/>
  <c r="H315" i="54" s="1"/>
  <c r="L48" i="85"/>
  <c r="N48" i="85" s="1"/>
  <c r="K315" i="54" s="1"/>
  <c r="F16" i="84"/>
  <c r="L49" i="85"/>
  <c r="N49" i="85" s="1"/>
  <c r="L315" i="54" s="1"/>
  <c r="L46" i="85"/>
  <c r="N46" i="85" s="1"/>
  <c r="I315" i="54" s="1"/>
  <c r="L22" i="85"/>
  <c r="N22" i="85" s="1"/>
  <c r="J307" i="54" s="1"/>
  <c r="L20" i="85"/>
  <c r="N20" i="85" s="1"/>
  <c r="H307" i="54" s="1"/>
  <c r="L23" i="85"/>
  <c r="N23" i="85" s="1"/>
  <c r="K307" i="54" s="1"/>
  <c r="L24" i="85"/>
  <c r="N24" i="85" s="1"/>
  <c r="L307" i="54" s="1"/>
  <c r="F10" i="84"/>
  <c r="L21" i="85"/>
  <c r="N21" i="85" s="1"/>
  <c r="I307" i="54" s="1"/>
  <c r="L74" i="85"/>
  <c r="N74" i="85" s="1"/>
  <c r="L319" i="54" s="1"/>
  <c r="L71" i="85"/>
  <c r="N71" i="85" s="1"/>
  <c r="I319" i="54" s="1"/>
  <c r="L72" i="85"/>
  <c r="N72" i="85" s="1"/>
  <c r="J319" i="54" s="1"/>
  <c r="L73" i="85"/>
  <c r="N73" i="85" s="1"/>
  <c r="K319" i="54" s="1"/>
  <c r="L70" i="85"/>
  <c r="N70" i="85" s="1"/>
  <c r="H319" i="54" s="1"/>
  <c r="F19" i="84"/>
  <c r="L43" i="85"/>
  <c r="N43" i="85" s="1"/>
  <c r="K314" i="54" s="1"/>
  <c r="L41" i="85"/>
  <c r="N41" i="85" s="1"/>
  <c r="I314" i="54" s="1"/>
  <c r="L42" i="85"/>
  <c r="N42" i="85" s="1"/>
  <c r="J314" i="54" s="1"/>
  <c r="F15" i="84"/>
  <c r="L40" i="85"/>
  <c r="N40" i="85" s="1"/>
  <c r="H314" i="54" s="1"/>
  <c r="L44" i="85"/>
  <c r="N44" i="85" s="1"/>
  <c r="L314" i="54" s="1"/>
  <c r="L57" i="85"/>
  <c r="N57" i="85" s="1"/>
  <c r="J304" i="54" s="1"/>
  <c r="L56" i="85"/>
  <c r="N56" i="85" s="1"/>
  <c r="I304" i="54" s="1"/>
  <c r="L59" i="85"/>
  <c r="N59" i="85" s="1"/>
  <c r="L304" i="54" s="1"/>
  <c r="F7" i="84"/>
  <c r="L55" i="85"/>
  <c r="N55" i="85" s="1"/>
  <c r="H304" i="54" s="1"/>
  <c r="L58" i="85"/>
  <c r="N58" i="85" s="1"/>
  <c r="K304" i="54" s="1"/>
  <c r="L37" i="54"/>
  <c r="AB65" i="85"/>
  <c r="H446" i="54" s="1"/>
  <c r="AB69" i="85"/>
  <c r="L446" i="54" s="1"/>
  <c r="K37" i="54"/>
  <c r="J37" i="54"/>
  <c r="J18" i="84"/>
  <c r="AB68" i="85"/>
  <c r="K446" i="54" s="1"/>
  <c r="AB66" i="85"/>
  <c r="I446" i="54" s="1"/>
  <c r="AB67" i="85"/>
  <c r="J446" i="54" s="1"/>
  <c r="H37" i="54"/>
  <c r="I37" i="54"/>
  <c r="K61" i="54"/>
  <c r="I61" i="54"/>
  <c r="H61" i="54"/>
  <c r="K21" i="84"/>
  <c r="L61" i="54"/>
  <c r="J61" i="54"/>
  <c r="L37" i="85"/>
  <c r="N37" i="85" s="1"/>
  <c r="J313" i="54" s="1"/>
  <c r="L39" i="85"/>
  <c r="N39" i="85" s="1"/>
  <c r="L313" i="54" s="1"/>
  <c r="L38" i="85"/>
  <c r="N38" i="85" s="1"/>
  <c r="K313" i="54" s="1"/>
  <c r="F14" i="84"/>
  <c r="L36" i="85"/>
  <c r="N36" i="85" s="1"/>
  <c r="I313" i="54" s="1"/>
  <c r="L35" i="85"/>
  <c r="N35" i="85" s="1"/>
  <c r="H313" i="54" s="1"/>
  <c r="H24" i="54"/>
  <c r="AB56" i="85"/>
  <c r="I460" i="54" s="1"/>
  <c r="AB58" i="85"/>
  <c r="K460" i="54" s="1"/>
  <c r="AB55" i="85"/>
  <c r="H460" i="54" s="1"/>
  <c r="I24" i="54"/>
  <c r="J24" i="54"/>
  <c r="L24" i="54"/>
  <c r="K24" i="54"/>
  <c r="AB59" i="85"/>
  <c r="L460" i="54" s="1"/>
  <c r="AB57" i="85"/>
  <c r="J460" i="54" s="1"/>
  <c r="J7" i="84"/>
  <c r="AB78" i="85"/>
  <c r="K452" i="54" s="1"/>
  <c r="H40" i="54"/>
  <c r="J20" i="84"/>
  <c r="K40" i="54"/>
  <c r="AB79" i="85"/>
  <c r="L452" i="54" s="1"/>
  <c r="AB76" i="85"/>
  <c r="I452" i="54" s="1"/>
  <c r="J40" i="54"/>
  <c r="AB75" i="85"/>
  <c r="H452" i="54" s="1"/>
  <c r="I40" i="54"/>
  <c r="L40" i="54"/>
  <c r="AB77" i="85"/>
  <c r="J452" i="54" s="1"/>
  <c r="AB87" i="85"/>
  <c r="J456" i="54" s="1"/>
  <c r="AB85" i="85"/>
  <c r="H456" i="54" s="1"/>
  <c r="H42" i="54"/>
  <c r="L42" i="54"/>
  <c r="J22" i="84"/>
  <c r="AB88" i="85"/>
  <c r="K456" i="54" s="1"/>
  <c r="AB86" i="85"/>
  <c r="I456" i="54" s="1"/>
  <c r="J42" i="54"/>
  <c r="K42" i="54"/>
  <c r="I42" i="54"/>
  <c r="AB89" i="85"/>
  <c r="L456" i="54" s="1"/>
  <c r="J55" i="54"/>
  <c r="K16" i="84"/>
  <c r="L55" i="54"/>
  <c r="H55" i="54"/>
  <c r="I55" i="54"/>
  <c r="K55" i="54"/>
  <c r="J47" i="54"/>
  <c r="I47" i="54"/>
  <c r="K47" i="54"/>
  <c r="L47" i="54"/>
  <c r="H47" i="54"/>
  <c r="K10" i="84"/>
  <c r="J59" i="54"/>
  <c r="I59" i="54"/>
  <c r="L59" i="54"/>
  <c r="H59" i="54"/>
  <c r="K59" i="54"/>
  <c r="K19" i="84"/>
  <c r="L54" i="54"/>
  <c r="I54" i="54"/>
  <c r="K54" i="54"/>
  <c r="H54" i="54"/>
  <c r="K15" i="84"/>
  <c r="J54" i="54"/>
  <c r="K44" i="54"/>
  <c r="L44" i="54"/>
  <c r="H44" i="54"/>
  <c r="J44" i="54"/>
  <c r="I44" i="54"/>
  <c r="K7" i="84"/>
  <c r="L84" i="85"/>
  <c r="N84" i="85" s="1"/>
  <c r="L321" i="54" s="1"/>
  <c r="F21" i="84"/>
  <c r="L82" i="85"/>
  <c r="N82" i="85" s="1"/>
  <c r="J321" i="54" s="1"/>
  <c r="L80" i="85"/>
  <c r="N80" i="85" s="1"/>
  <c r="H321" i="54" s="1"/>
  <c r="L83" i="85"/>
  <c r="N83" i="85" s="1"/>
  <c r="K321" i="54" s="1"/>
  <c r="L81" i="85"/>
  <c r="N81" i="85" s="1"/>
  <c r="I321" i="54" s="1"/>
  <c r="J53" i="54"/>
  <c r="K14" i="84"/>
  <c r="I53" i="54"/>
  <c r="K53" i="54"/>
  <c r="L53" i="54"/>
  <c r="H53" i="54"/>
  <c r="K51" i="54"/>
  <c r="H51" i="54"/>
  <c r="I51" i="54"/>
  <c r="J51" i="54"/>
  <c r="K12" i="84"/>
  <c r="L51" i="54"/>
  <c r="J27" i="54"/>
  <c r="I27" i="54"/>
  <c r="J10" i="84"/>
  <c r="AB23" i="85"/>
  <c r="K466" i="54" s="1"/>
  <c r="AB22" i="85"/>
  <c r="J466" i="54" s="1"/>
  <c r="H27" i="54"/>
  <c r="K27" i="54"/>
  <c r="AB24" i="85"/>
  <c r="L466" i="54" s="1"/>
  <c r="AB20" i="85"/>
  <c r="H466" i="54" s="1"/>
  <c r="AB21" i="85"/>
  <c r="I466" i="54" s="1"/>
  <c r="L27" i="54"/>
  <c r="AB53" i="85"/>
  <c r="K468" i="54" s="1"/>
  <c r="K28" i="54"/>
  <c r="AB51" i="85"/>
  <c r="I468" i="54" s="1"/>
  <c r="L28" i="54"/>
  <c r="AB54" i="85"/>
  <c r="L468" i="54" s="1"/>
  <c r="I28" i="54"/>
  <c r="AB50" i="85"/>
  <c r="H468" i="54" s="1"/>
  <c r="AB52" i="85"/>
  <c r="J468" i="54" s="1"/>
  <c r="J28" i="54"/>
  <c r="H28" i="54"/>
  <c r="J11" i="84"/>
  <c r="AB72" i="85"/>
  <c r="J450" i="54" s="1"/>
  <c r="I39" i="54"/>
  <c r="AB74" i="85"/>
  <c r="L450" i="54" s="1"/>
  <c r="J19" i="84"/>
  <c r="J39" i="54"/>
  <c r="H39" i="54"/>
  <c r="AB71" i="85"/>
  <c r="I450" i="54" s="1"/>
  <c r="AB70" i="85"/>
  <c r="H450" i="54" s="1"/>
  <c r="K39" i="54"/>
  <c r="L39" i="54"/>
  <c r="AB73" i="85"/>
  <c r="K450" i="54" s="1"/>
  <c r="L46" i="54"/>
  <c r="K46" i="54"/>
  <c r="I46" i="54"/>
  <c r="H46" i="54"/>
  <c r="J46" i="54"/>
  <c r="K9" i="84"/>
  <c r="L64" i="85"/>
  <c r="N64" i="85" s="1"/>
  <c r="L316" i="54" s="1"/>
  <c r="L61" i="85"/>
  <c r="N61" i="85" s="1"/>
  <c r="I316" i="54" s="1"/>
  <c r="L62" i="85"/>
  <c r="N62" i="85" s="1"/>
  <c r="J316" i="54" s="1"/>
  <c r="L60" i="85"/>
  <c r="N60" i="85" s="1"/>
  <c r="H316" i="54" s="1"/>
  <c r="F17" i="84"/>
  <c r="L63" i="85"/>
  <c r="N63" i="85" s="1"/>
  <c r="K316" i="54" s="1"/>
  <c r="L50" i="85"/>
  <c r="N50" i="85" s="1"/>
  <c r="H308" i="54" s="1"/>
  <c r="F11" i="84"/>
  <c r="L54" i="85"/>
  <c r="N54" i="85" s="1"/>
  <c r="L308" i="54" s="1"/>
  <c r="L53" i="85"/>
  <c r="N53" i="85" s="1"/>
  <c r="K308" i="54" s="1"/>
  <c r="L51" i="85"/>
  <c r="N51" i="85" s="1"/>
  <c r="I308" i="54" s="1"/>
  <c r="L52" i="85"/>
  <c r="N52" i="85" s="1"/>
  <c r="J308" i="54" s="1"/>
  <c r="AB19" i="85"/>
  <c r="L464" i="54" s="1"/>
  <c r="AB17" i="85"/>
  <c r="J464" i="54" s="1"/>
  <c r="K26" i="54"/>
  <c r="I26" i="54"/>
  <c r="AB15" i="85"/>
  <c r="H464" i="54" s="1"/>
  <c r="AB18" i="85"/>
  <c r="K464" i="54" s="1"/>
  <c r="AB16" i="85"/>
  <c r="I464" i="54" s="1"/>
  <c r="J26" i="54"/>
  <c r="L26" i="54"/>
  <c r="H26" i="54"/>
  <c r="J9" i="84"/>
  <c r="J62" i="54"/>
  <c r="H62" i="54"/>
  <c r="I62" i="54"/>
  <c r="L62" i="54"/>
  <c r="K22" i="84"/>
  <c r="K62" i="54"/>
  <c r="L41" i="54"/>
  <c r="H41" i="54"/>
  <c r="J41" i="54"/>
  <c r="AB83" i="85"/>
  <c r="K454" i="54" s="1"/>
  <c r="AB81" i="85"/>
  <c r="I454" i="54" s="1"/>
  <c r="AB82" i="85"/>
  <c r="J454" i="54" s="1"/>
  <c r="I41" i="54"/>
  <c r="K41" i="54"/>
  <c r="J21" i="84"/>
  <c r="AB80" i="85"/>
  <c r="H454" i="54" s="1"/>
  <c r="AB84" i="85"/>
  <c r="L454" i="54" s="1"/>
  <c r="H32" i="54"/>
  <c r="AB34" i="85"/>
  <c r="L476" i="54" s="1"/>
  <c r="I32" i="54"/>
  <c r="J32" i="54"/>
  <c r="K32" i="54"/>
  <c r="AB30" i="85"/>
  <c r="H476" i="54" s="1"/>
  <c r="AB32" i="85"/>
  <c r="J476" i="54" s="1"/>
  <c r="AB33" i="85"/>
  <c r="K476" i="54" s="1"/>
  <c r="AB31" i="85"/>
  <c r="I476" i="54" s="1"/>
  <c r="L32" i="54"/>
  <c r="J13" i="84"/>
  <c r="J33" i="54"/>
  <c r="I33" i="54"/>
  <c r="L33" i="54"/>
  <c r="AB36" i="85"/>
  <c r="I478" i="54" s="1"/>
  <c r="H33" i="54"/>
  <c r="AB38" i="85"/>
  <c r="K478" i="54" s="1"/>
  <c r="AB37" i="85"/>
  <c r="J478" i="54" s="1"/>
  <c r="K33" i="54"/>
  <c r="J14" i="84"/>
  <c r="AB35" i="85"/>
  <c r="H478" i="54" s="1"/>
  <c r="AB39" i="85"/>
  <c r="L478" i="54" s="1"/>
  <c r="L13" i="85"/>
  <c r="N13" i="85" s="1"/>
  <c r="K305" i="54" s="1"/>
  <c r="F8" i="84"/>
  <c r="L12" i="85"/>
  <c r="N12" i="85" s="1"/>
  <c r="J305" i="54" s="1"/>
  <c r="L10" i="85"/>
  <c r="N10" i="85" s="1"/>
  <c r="H305" i="54" s="1"/>
  <c r="L14" i="85"/>
  <c r="N14" i="85" s="1"/>
  <c r="L305" i="54" s="1"/>
  <c r="L11" i="85"/>
  <c r="N11" i="85" s="1"/>
  <c r="I305" i="54" s="1"/>
  <c r="L76" i="85"/>
  <c r="N76" i="85" s="1"/>
  <c r="I320" i="54" s="1"/>
  <c r="L79" i="85"/>
  <c r="N79" i="85" s="1"/>
  <c r="L320" i="54" s="1"/>
  <c r="L78" i="85"/>
  <c r="N78" i="85" s="1"/>
  <c r="K320" i="54" s="1"/>
  <c r="F20" i="84"/>
  <c r="L75" i="85"/>
  <c r="N75" i="85" s="1"/>
  <c r="H320" i="54" s="1"/>
  <c r="L77" i="85"/>
  <c r="N77" i="85" s="1"/>
  <c r="J320" i="54" s="1"/>
  <c r="I34" i="54"/>
  <c r="H34" i="54"/>
  <c r="J15" i="84"/>
  <c r="AB44" i="85"/>
  <c r="L480" i="54" s="1"/>
  <c r="AB41" i="85"/>
  <c r="I480" i="54" s="1"/>
  <c r="J34" i="54"/>
  <c r="L34" i="54"/>
  <c r="K34" i="54"/>
  <c r="AB42" i="85"/>
  <c r="J480" i="54" s="1"/>
  <c r="AB40" i="85"/>
  <c r="H480" i="54" s="1"/>
  <c r="AB43" i="85"/>
  <c r="K480" i="54" s="1"/>
  <c r="L34" i="85"/>
  <c r="N34" i="85" s="1"/>
  <c r="L312" i="54" s="1"/>
  <c r="L32" i="85"/>
  <c r="N32" i="85" s="1"/>
  <c r="J312" i="54" s="1"/>
  <c r="L30" i="85"/>
  <c r="N30" i="85" s="1"/>
  <c r="H312" i="54" s="1"/>
  <c r="F13" i="84"/>
  <c r="L31" i="85"/>
  <c r="N31" i="85" s="1"/>
  <c r="I312" i="54" s="1"/>
  <c r="L33" i="85"/>
  <c r="N33" i="85" s="1"/>
  <c r="K312" i="54" s="1"/>
  <c r="L25" i="54"/>
  <c r="AB14" i="85"/>
  <c r="L462" i="54" s="1"/>
  <c r="J8" i="84"/>
  <c r="AB13" i="85"/>
  <c r="K462" i="54" s="1"/>
  <c r="I25" i="54"/>
  <c r="H25" i="54"/>
  <c r="AB10" i="85"/>
  <c r="H462" i="54" s="1"/>
  <c r="J25" i="54"/>
  <c r="K25" i="54"/>
  <c r="AB11" i="85"/>
  <c r="I462" i="54" s="1"/>
  <c r="AB12" i="85"/>
  <c r="J462" i="54" s="1"/>
  <c r="L68" i="85"/>
  <c r="N68" i="85" s="1"/>
  <c r="K317" i="54" s="1"/>
  <c r="F18" i="84"/>
  <c r="L67" i="85"/>
  <c r="N67" i="85" s="1"/>
  <c r="J317" i="54" s="1"/>
  <c r="L69" i="85"/>
  <c r="N69" i="85" s="1"/>
  <c r="L317" i="54" s="1"/>
  <c r="L66" i="85"/>
  <c r="N66" i="85" s="1"/>
  <c r="I317" i="54" s="1"/>
  <c r="L65" i="85"/>
  <c r="N65" i="85" s="1"/>
  <c r="H317" i="54" s="1"/>
  <c r="L35" i="54"/>
  <c r="I35" i="54"/>
  <c r="AB47" i="85"/>
  <c r="J482" i="54" s="1"/>
  <c r="AB48" i="85"/>
  <c r="K482" i="54" s="1"/>
  <c r="J35" i="54"/>
  <c r="AB49" i="85"/>
  <c r="L482" i="54" s="1"/>
  <c r="AB46" i="85"/>
  <c r="I482" i="54" s="1"/>
  <c r="K35" i="54"/>
  <c r="J16" i="84"/>
  <c r="H35" i="54"/>
  <c r="AB45" i="85"/>
  <c r="H482" i="54" s="1"/>
  <c r="L18" i="85"/>
  <c r="N18" i="85" s="1"/>
  <c r="K306" i="54" s="1"/>
  <c r="F9" i="84"/>
  <c r="L17" i="85"/>
  <c r="N17" i="85" s="1"/>
  <c r="J306" i="54" s="1"/>
  <c r="L19" i="85"/>
  <c r="N19" i="85" s="1"/>
  <c r="L306" i="54" s="1"/>
  <c r="L16" i="85"/>
  <c r="N16" i="85" s="1"/>
  <c r="I306" i="54" s="1"/>
  <c r="L15" i="85"/>
  <c r="N15" i="85" s="1"/>
  <c r="H306" i="54" s="1"/>
  <c r="H56" i="54"/>
  <c r="J56" i="54"/>
  <c r="I56" i="54"/>
  <c r="K56" i="54"/>
  <c r="L56" i="54"/>
  <c r="K17" i="84"/>
  <c r="I31" i="54"/>
  <c r="AB29" i="85"/>
  <c r="L474" i="54" s="1"/>
  <c r="AB27" i="85"/>
  <c r="J474" i="54" s="1"/>
  <c r="AB26" i="85"/>
  <c r="I474" i="54" s="1"/>
  <c r="L31" i="54"/>
  <c r="K31" i="54"/>
  <c r="AB25" i="85"/>
  <c r="H474" i="54" s="1"/>
  <c r="J31" i="54"/>
  <c r="J12" i="84"/>
  <c r="H31" i="54"/>
  <c r="AB28" i="85"/>
  <c r="K474" i="54" s="1"/>
  <c r="I48" i="54"/>
  <c r="H48" i="54"/>
  <c r="L48" i="54"/>
  <c r="J48" i="54"/>
  <c r="K48" i="54"/>
  <c r="K11" i="84"/>
  <c r="L86" i="85"/>
  <c r="N86" i="85" s="1"/>
  <c r="I322" i="54" s="1"/>
  <c r="L85" i="85"/>
  <c r="N85" i="85" s="1"/>
  <c r="H322" i="54" s="1"/>
  <c r="L89" i="85"/>
  <c r="N89" i="85" s="1"/>
  <c r="L322" i="54" s="1"/>
  <c r="L88" i="85"/>
  <c r="N88" i="85" s="1"/>
  <c r="K322" i="54" s="1"/>
  <c r="F22" i="84"/>
  <c r="L87" i="85"/>
  <c r="N87" i="85" s="1"/>
  <c r="J322" i="54" s="1"/>
  <c r="H45" i="54"/>
  <c r="J45" i="54"/>
  <c r="K45" i="54"/>
  <c r="K8" i="84"/>
  <c r="L45" i="54"/>
  <c r="I45" i="54"/>
  <c r="K60" i="54"/>
  <c r="J60" i="54"/>
  <c r="I60" i="54"/>
  <c r="K20" i="84"/>
  <c r="L60" i="54"/>
  <c r="H60" i="54"/>
  <c r="J52" i="54"/>
  <c r="K52" i="54"/>
  <c r="I52" i="54"/>
  <c r="H52" i="54"/>
  <c r="K13" i="84"/>
  <c r="L52" i="54"/>
  <c r="I57" i="54"/>
  <c r="K18" i="84"/>
  <c r="K57" i="54"/>
  <c r="H57" i="54"/>
  <c r="L57" i="54"/>
  <c r="J57" i="54"/>
  <c r="P67" i="85" l="1"/>
  <c r="J445" i="54" s="1"/>
  <c r="H17" i="54"/>
  <c r="I18" i="84"/>
  <c r="L17" i="54"/>
  <c r="P66" i="85"/>
  <c r="I445" i="54" s="1"/>
  <c r="P69" i="85"/>
  <c r="L445" i="54" s="1"/>
  <c r="K17" i="54"/>
  <c r="P65" i="85"/>
  <c r="H445" i="54" s="1"/>
  <c r="P68" i="85"/>
  <c r="K445" i="54" s="1"/>
  <c r="I17" i="54"/>
  <c r="J17" i="54"/>
  <c r="AA13" i="85"/>
  <c r="K385" i="54" s="1"/>
  <c r="AA10" i="85"/>
  <c r="H385" i="54" s="1"/>
  <c r="AA11" i="85"/>
  <c r="I385" i="54" s="1"/>
  <c r="AA12" i="85"/>
  <c r="J385" i="54" s="1"/>
  <c r="AA14" i="85"/>
  <c r="L385" i="54" s="1"/>
  <c r="I20" i="54"/>
  <c r="H20" i="54"/>
  <c r="K20" i="54"/>
  <c r="P78" i="85"/>
  <c r="K451" i="54" s="1"/>
  <c r="P77" i="85"/>
  <c r="J451" i="54" s="1"/>
  <c r="P75" i="85"/>
  <c r="H451" i="54" s="1"/>
  <c r="P79" i="85"/>
  <c r="L451" i="54" s="1"/>
  <c r="L20" i="54"/>
  <c r="J20" i="54"/>
  <c r="P76" i="85"/>
  <c r="I451" i="54" s="1"/>
  <c r="I20" i="84"/>
  <c r="AA38" i="85"/>
  <c r="K393" i="54" s="1"/>
  <c r="AA37" i="85"/>
  <c r="J393" i="54" s="1"/>
  <c r="AA36" i="85"/>
  <c r="I393" i="54" s="1"/>
  <c r="AA39" i="85"/>
  <c r="L393" i="54" s="1"/>
  <c r="AA35" i="85"/>
  <c r="H393" i="54" s="1"/>
  <c r="P52" i="85"/>
  <c r="J467" i="54" s="1"/>
  <c r="I8" i="54"/>
  <c r="L8" i="54"/>
  <c r="P54" i="85"/>
  <c r="L467" i="54" s="1"/>
  <c r="K8" i="54"/>
  <c r="I11" i="84"/>
  <c r="J8" i="54"/>
  <c r="P50" i="85"/>
  <c r="H467" i="54" s="1"/>
  <c r="P51" i="85"/>
  <c r="I467" i="54" s="1"/>
  <c r="P53" i="85"/>
  <c r="K467" i="54" s="1"/>
  <c r="H8" i="54"/>
  <c r="AA22" i="85"/>
  <c r="J387" i="54" s="1"/>
  <c r="AA24" i="85"/>
  <c r="L387" i="54" s="1"/>
  <c r="AA21" i="85"/>
  <c r="I387" i="54" s="1"/>
  <c r="AA20" i="85"/>
  <c r="H387" i="54" s="1"/>
  <c r="AA23" i="85"/>
  <c r="K387" i="54" s="1"/>
  <c r="H21" i="54"/>
  <c r="I21" i="54"/>
  <c r="K21" i="54"/>
  <c r="P82" i="85"/>
  <c r="J453" i="54" s="1"/>
  <c r="P81" i="85"/>
  <c r="I453" i="54" s="1"/>
  <c r="P80" i="85"/>
  <c r="H453" i="54" s="1"/>
  <c r="J21" i="54"/>
  <c r="P83" i="85"/>
  <c r="K453" i="54" s="1"/>
  <c r="L21" i="54"/>
  <c r="P84" i="85"/>
  <c r="L453" i="54" s="1"/>
  <c r="I21" i="84"/>
  <c r="AA87" i="85"/>
  <c r="J402" i="54" s="1"/>
  <c r="AA88" i="85"/>
  <c r="K402" i="54" s="1"/>
  <c r="AA85" i="85"/>
  <c r="H402" i="54" s="1"/>
  <c r="AA89" i="85"/>
  <c r="L402" i="54" s="1"/>
  <c r="AA86" i="85"/>
  <c r="I402" i="54" s="1"/>
  <c r="AA68" i="85"/>
  <c r="K397" i="54" s="1"/>
  <c r="AA66" i="85"/>
  <c r="I397" i="54" s="1"/>
  <c r="AA69" i="85"/>
  <c r="L397" i="54" s="1"/>
  <c r="AA67" i="85"/>
  <c r="J397" i="54" s="1"/>
  <c r="AA65" i="85"/>
  <c r="H397" i="54" s="1"/>
  <c r="L14" i="54"/>
  <c r="K14" i="54"/>
  <c r="P40" i="85"/>
  <c r="H479" i="54" s="1"/>
  <c r="P41" i="85"/>
  <c r="I479" i="54" s="1"/>
  <c r="H14" i="54"/>
  <c r="P43" i="85"/>
  <c r="K479" i="54" s="1"/>
  <c r="I14" i="54"/>
  <c r="J14" i="54"/>
  <c r="I15" i="84"/>
  <c r="P42" i="85"/>
  <c r="J479" i="54" s="1"/>
  <c r="P44" i="85"/>
  <c r="L479" i="54" s="1"/>
  <c r="P70" i="85"/>
  <c r="H449" i="54" s="1"/>
  <c r="J19" i="54"/>
  <c r="P72" i="85"/>
  <c r="J449" i="54" s="1"/>
  <c r="P71" i="85"/>
  <c r="I449" i="54" s="1"/>
  <c r="L19" i="54"/>
  <c r="P73" i="85"/>
  <c r="K449" i="54" s="1"/>
  <c r="P74" i="85"/>
  <c r="L449" i="54" s="1"/>
  <c r="H19" i="54"/>
  <c r="K19" i="54"/>
  <c r="I19" i="84"/>
  <c r="I19" i="54"/>
  <c r="J22" i="54"/>
  <c r="I22" i="54"/>
  <c r="H22" i="54"/>
  <c r="L22" i="54"/>
  <c r="K22" i="54"/>
  <c r="P85" i="85"/>
  <c r="H455" i="54" s="1"/>
  <c r="P88" i="85"/>
  <c r="K455" i="54" s="1"/>
  <c r="P87" i="85"/>
  <c r="J455" i="54" s="1"/>
  <c r="P86" i="85"/>
  <c r="I455" i="54" s="1"/>
  <c r="P89" i="85"/>
  <c r="L455" i="54" s="1"/>
  <c r="I22" i="84"/>
  <c r="L6" i="54"/>
  <c r="H6" i="54"/>
  <c r="P18" i="85"/>
  <c r="K463" i="54" s="1"/>
  <c r="P19" i="85"/>
  <c r="L463" i="54" s="1"/>
  <c r="P15" i="85"/>
  <c r="H463" i="54" s="1"/>
  <c r="P16" i="85"/>
  <c r="I463" i="54" s="1"/>
  <c r="I9" i="84"/>
  <c r="K6" i="54"/>
  <c r="J6" i="54"/>
  <c r="P17" i="85"/>
  <c r="J463" i="54" s="1"/>
  <c r="I6" i="54"/>
  <c r="AA46" i="85"/>
  <c r="I395" i="54" s="1"/>
  <c r="AA48" i="85"/>
  <c r="K395" i="54" s="1"/>
  <c r="AA45" i="85"/>
  <c r="H395" i="54" s="1"/>
  <c r="AA49" i="85"/>
  <c r="L395" i="54" s="1"/>
  <c r="AA47" i="85"/>
  <c r="J395" i="54" s="1"/>
  <c r="AA73" i="85"/>
  <c r="K399" i="54" s="1"/>
  <c r="AA72" i="85"/>
  <c r="J399" i="54" s="1"/>
  <c r="AA70" i="85"/>
  <c r="H399" i="54" s="1"/>
  <c r="AA71" i="85"/>
  <c r="I399" i="54" s="1"/>
  <c r="AA74" i="85"/>
  <c r="L399" i="54" s="1"/>
  <c r="H7" i="54"/>
  <c r="J7" i="54"/>
  <c r="L7" i="54"/>
  <c r="P22" i="85"/>
  <c r="J465" i="54" s="1"/>
  <c r="I7" i="54"/>
  <c r="I10" i="84"/>
  <c r="P24" i="85"/>
  <c r="L465" i="54" s="1"/>
  <c r="P20" i="85"/>
  <c r="H465" i="54" s="1"/>
  <c r="P21" i="85"/>
  <c r="I465" i="54" s="1"/>
  <c r="P23" i="85"/>
  <c r="K465" i="54" s="1"/>
  <c r="K7" i="54"/>
  <c r="AA26" i="85"/>
  <c r="I391" i="54" s="1"/>
  <c r="AA25" i="85"/>
  <c r="H391" i="54" s="1"/>
  <c r="AA28" i="85"/>
  <c r="K391" i="54" s="1"/>
  <c r="AA29" i="85"/>
  <c r="L391" i="54" s="1"/>
  <c r="AA27" i="85"/>
  <c r="J391" i="54" s="1"/>
  <c r="I5" i="54"/>
  <c r="P10" i="85"/>
  <c r="H461" i="54" s="1"/>
  <c r="J5" i="54"/>
  <c r="P12" i="85"/>
  <c r="J461" i="54" s="1"/>
  <c r="L5" i="54"/>
  <c r="P14" i="85"/>
  <c r="L461" i="54" s="1"/>
  <c r="K5" i="54"/>
  <c r="H5" i="54"/>
  <c r="I8" i="84"/>
  <c r="P13" i="85"/>
  <c r="K461" i="54" s="1"/>
  <c r="P11" i="85"/>
  <c r="I461" i="54" s="1"/>
  <c r="AA82" i="85"/>
  <c r="J401" i="54" s="1"/>
  <c r="AA84" i="85"/>
  <c r="L401" i="54" s="1"/>
  <c r="AA80" i="85"/>
  <c r="H401" i="54" s="1"/>
  <c r="AA83" i="85"/>
  <c r="K401" i="54" s="1"/>
  <c r="AA81" i="85"/>
  <c r="I401" i="54" s="1"/>
  <c r="AA56" i="85"/>
  <c r="I384" i="54" s="1"/>
  <c r="AA55" i="85"/>
  <c r="H384" i="54" s="1"/>
  <c r="AA58" i="85"/>
  <c r="K384" i="54" s="1"/>
  <c r="AA57" i="85"/>
  <c r="J384" i="54" s="1"/>
  <c r="AA59" i="85"/>
  <c r="L384" i="54" s="1"/>
  <c r="H4" i="54"/>
  <c r="P55" i="85"/>
  <c r="H459" i="54" s="1"/>
  <c r="P56" i="85"/>
  <c r="I459" i="54" s="1"/>
  <c r="P57" i="85"/>
  <c r="J459" i="54" s="1"/>
  <c r="K4" i="54"/>
  <c r="P59" i="85"/>
  <c r="L459" i="54" s="1"/>
  <c r="L4" i="54"/>
  <c r="I4" i="54"/>
  <c r="I7" i="84"/>
  <c r="P58" i="85"/>
  <c r="K459" i="54" s="1"/>
  <c r="J4" i="54"/>
  <c r="P45" i="85"/>
  <c r="H481" i="54" s="1"/>
  <c r="K15" i="54"/>
  <c r="P47" i="85"/>
  <c r="J481" i="54" s="1"/>
  <c r="L15" i="54"/>
  <c r="J15" i="54"/>
  <c r="P46" i="85"/>
  <c r="I481" i="54" s="1"/>
  <c r="P49" i="85"/>
  <c r="L481" i="54" s="1"/>
  <c r="I15" i="54"/>
  <c r="I16" i="84"/>
  <c r="P48" i="85"/>
  <c r="K481" i="54" s="1"/>
  <c r="H15" i="54"/>
  <c r="J11" i="54"/>
  <c r="K11" i="54"/>
  <c r="P25" i="85"/>
  <c r="H473" i="54" s="1"/>
  <c r="L11" i="54"/>
  <c r="P27" i="85"/>
  <c r="J473" i="54" s="1"/>
  <c r="P29" i="85"/>
  <c r="L473" i="54" s="1"/>
  <c r="P28" i="85"/>
  <c r="K473" i="54" s="1"/>
  <c r="P26" i="85"/>
  <c r="I473" i="54" s="1"/>
  <c r="I12" i="84"/>
  <c r="H11" i="54"/>
  <c r="I11" i="54"/>
  <c r="K12" i="54"/>
  <c r="P31" i="85"/>
  <c r="I475" i="54" s="1"/>
  <c r="H12" i="54"/>
  <c r="P32" i="85"/>
  <c r="J475" i="54" s="1"/>
  <c r="J12" i="54"/>
  <c r="P33" i="85"/>
  <c r="K475" i="54" s="1"/>
  <c r="I12" i="54"/>
  <c r="L12" i="54"/>
  <c r="P34" i="85"/>
  <c r="L475" i="54" s="1"/>
  <c r="P30" i="85"/>
  <c r="H475" i="54" s="1"/>
  <c r="I13" i="84"/>
  <c r="AA40" i="85"/>
  <c r="H394" i="54" s="1"/>
  <c r="AA42" i="85"/>
  <c r="J394" i="54" s="1"/>
  <c r="AA43" i="85"/>
  <c r="K394" i="54" s="1"/>
  <c r="AA44" i="85"/>
  <c r="L394" i="54" s="1"/>
  <c r="AA41" i="85"/>
  <c r="I394" i="54" s="1"/>
  <c r="AA31" i="85"/>
  <c r="I392" i="54" s="1"/>
  <c r="AA33" i="85"/>
  <c r="K392" i="54" s="1"/>
  <c r="AA32" i="85"/>
  <c r="J392" i="54" s="1"/>
  <c r="AA30" i="85"/>
  <c r="H392" i="54" s="1"/>
  <c r="AA34" i="85"/>
  <c r="L392" i="54" s="1"/>
  <c r="AA16" i="85"/>
  <c r="I386" i="54" s="1"/>
  <c r="AA19" i="85"/>
  <c r="L386" i="54" s="1"/>
  <c r="AA18" i="85"/>
  <c r="K386" i="54" s="1"/>
  <c r="AA17" i="85"/>
  <c r="J386" i="54" s="1"/>
  <c r="AA15" i="85"/>
  <c r="H386" i="54" s="1"/>
  <c r="I16" i="54"/>
  <c r="H16" i="54"/>
  <c r="K16" i="54"/>
  <c r="P62" i="85"/>
  <c r="J443" i="54" s="1"/>
  <c r="P64" i="85"/>
  <c r="L443" i="54" s="1"/>
  <c r="I17" i="84"/>
  <c r="P60" i="85"/>
  <c r="H443" i="54" s="1"/>
  <c r="J16" i="54"/>
  <c r="L16" i="54"/>
  <c r="P61" i="85"/>
  <c r="I443" i="54" s="1"/>
  <c r="P63" i="85"/>
  <c r="K443" i="54" s="1"/>
  <c r="AA54" i="85"/>
  <c r="L388" i="54" s="1"/>
  <c r="AA52" i="85"/>
  <c r="J388" i="54" s="1"/>
  <c r="AA53" i="85"/>
  <c r="K388" i="54" s="1"/>
  <c r="AA51" i="85"/>
  <c r="I388" i="54" s="1"/>
  <c r="AA50" i="85"/>
  <c r="H388" i="54" s="1"/>
  <c r="Q51" i="84"/>
  <c r="G68" i="84"/>
  <c r="AA76" i="85"/>
  <c r="I400" i="54" s="1"/>
  <c r="AA75" i="85"/>
  <c r="H400" i="54" s="1"/>
  <c r="AA77" i="85"/>
  <c r="J400" i="54" s="1"/>
  <c r="AA78" i="85"/>
  <c r="K400" i="54" s="1"/>
  <c r="AA79" i="85"/>
  <c r="L400" i="54" s="1"/>
  <c r="I13" i="54"/>
  <c r="H13" i="54"/>
  <c r="P38" i="85"/>
  <c r="K477" i="54" s="1"/>
  <c r="P37" i="85"/>
  <c r="J477" i="54" s="1"/>
  <c r="K13" i="54"/>
  <c r="P36" i="85"/>
  <c r="I477" i="54" s="1"/>
  <c r="P39" i="85"/>
  <c r="L477" i="54" s="1"/>
  <c r="L13" i="54"/>
  <c r="I14" i="84"/>
  <c r="J13" i="54"/>
  <c r="P35" i="85"/>
  <c r="H477" i="54" s="1"/>
  <c r="AA64" i="85"/>
  <c r="L396" i="54" s="1"/>
  <c r="AA60" i="85"/>
  <c r="H396" i="54" s="1"/>
  <c r="AA62" i="85"/>
  <c r="J396" i="54" s="1"/>
  <c r="AA63" i="85"/>
  <c r="K396" i="54" s="1"/>
  <c r="AA61" i="85"/>
  <c r="I396" i="54" s="1"/>
  <c r="F68" i="84"/>
  <c r="P51" i="84"/>
  <c r="H51" i="84"/>
  <c r="O14" i="85" l="1"/>
  <c r="L325" i="54" s="1"/>
  <c r="O13" i="85"/>
  <c r="K325" i="54" s="1"/>
  <c r="O11" i="85"/>
  <c r="I325" i="54" s="1"/>
  <c r="O12" i="85"/>
  <c r="J325" i="54" s="1"/>
  <c r="O10" i="85"/>
  <c r="H325" i="54" s="1"/>
  <c r="O24" i="85"/>
  <c r="L327" i="54" s="1"/>
  <c r="O20" i="85"/>
  <c r="H327" i="54" s="1"/>
  <c r="O22" i="85"/>
  <c r="J327" i="54" s="1"/>
  <c r="O21" i="85"/>
  <c r="I327" i="54" s="1"/>
  <c r="O23" i="85"/>
  <c r="K327" i="54" s="1"/>
  <c r="O36" i="85"/>
  <c r="I333" i="54" s="1"/>
  <c r="O35" i="85"/>
  <c r="H333" i="54" s="1"/>
  <c r="O37" i="85"/>
  <c r="J333" i="54" s="1"/>
  <c r="O38" i="85"/>
  <c r="K333" i="54" s="1"/>
  <c r="O39" i="85"/>
  <c r="L333" i="54" s="1"/>
  <c r="O58" i="85"/>
  <c r="K324" i="54" s="1"/>
  <c r="O59" i="85"/>
  <c r="L324" i="54" s="1"/>
  <c r="O55" i="85"/>
  <c r="H324" i="54" s="1"/>
  <c r="O56" i="85"/>
  <c r="I324" i="54" s="1"/>
  <c r="O57" i="85"/>
  <c r="J324" i="54" s="1"/>
  <c r="O71" i="85"/>
  <c r="I339" i="54" s="1"/>
  <c r="O73" i="85"/>
  <c r="K339" i="54" s="1"/>
  <c r="O74" i="85"/>
  <c r="L339" i="54" s="1"/>
  <c r="O70" i="85"/>
  <c r="H339" i="54" s="1"/>
  <c r="O72" i="85"/>
  <c r="J339" i="54" s="1"/>
  <c r="R51" i="84"/>
  <c r="H68" i="84"/>
  <c r="O64" i="85"/>
  <c r="L336" i="54" s="1"/>
  <c r="O63" i="85"/>
  <c r="K336" i="54" s="1"/>
  <c r="O60" i="85"/>
  <c r="H336" i="54" s="1"/>
  <c r="O62" i="85"/>
  <c r="J336" i="54" s="1"/>
  <c r="O61" i="85"/>
  <c r="I336" i="54" s="1"/>
  <c r="O16" i="85"/>
  <c r="I326" i="54" s="1"/>
  <c r="O15" i="85"/>
  <c r="H326" i="54" s="1"/>
  <c r="O18" i="85"/>
  <c r="K326" i="54" s="1"/>
  <c r="O17" i="85"/>
  <c r="J326" i="54" s="1"/>
  <c r="O19" i="85"/>
  <c r="L326" i="54" s="1"/>
  <c r="O40" i="85"/>
  <c r="H334" i="54" s="1"/>
  <c r="O41" i="85"/>
  <c r="I334" i="54" s="1"/>
  <c r="O42" i="85"/>
  <c r="J334" i="54" s="1"/>
  <c r="O43" i="85"/>
  <c r="K334" i="54" s="1"/>
  <c r="O44" i="85"/>
  <c r="L334" i="54" s="1"/>
  <c r="O84" i="85"/>
  <c r="L341" i="54" s="1"/>
  <c r="O83" i="85"/>
  <c r="K341" i="54" s="1"/>
  <c r="O80" i="85"/>
  <c r="H341" i="54" s="1"/>
  <c r="O82" i="85"/>
  <c r="J341" i="54" s="1"/>
  <c r="O81" i="85"/>
  <c r="I341" i="54" s="1"/>
  <c r="O53" i="85"/>
  <c r="K328" i="54" s="1"/>
  <c r="O52" i="85"/>
  <c r="J328" i="54" s="1"/>
  <c r="O54" i="85"/>
  <c r="L328" i="54" s="1"/>
  <c r="O51" i="85"/>
  <c r="I328" i="54" s="1"/>
  <c r="O50" i="85"/>
  <c r="H328" i="54" s="1"/>
  <c r="O65" i="85"/>
  <c r="H337" i="54" s="1"/>
  <c r="O69" i="85"/>
  <c r="L337" i="54" s="1"/>
  <c r="O67" i="85"/>
  <c r="J337" i="54" s="1"/>
  <c r="O66" i="85"/>
  <c r="I337" i="54" s="1"/>
  <c r="O68" i="85"/>
  <c r="K337" i="54" s="1"/>
  <c r="L8" i="85"/>
  <c r="N8" i="85" s="1"/>
  <c r="K303" i="54" s="1"/>
  <c r="F6" i="84"/>
  <c r="P68" i="84"/>
  <c r="L9" i="85"/>
  <c r="N9" i="85" s="1"/>
  <c r="L303" i="54" s="1"/>
  <c r="L5" i="85"/>
  <c r="L7" i="85"/>
  <c r="N7" i="85" s="1"/>
  <c r="J303" i="54" s="1"/>
  <c r="L6" i="85"/>
  <c r="N6" i="85" s="1"/>
  <c r="I303" i="54" s="1"/>
  <c r="X7" i="85"/>
  <c r="Z7" i="85" s="1"/>
  <c r="J363" i="54" s="1"/>
  <c r="X8" i="85"/>
  <c r="Z8" i="85" s="1"/>
  <c r="K363" i="54" s="1"/>
  <c r="X6" i="85"/>
  <c r="Z6" i="85" s="1"/>
  <c r="I363" i="54" s="1"/>
  <c r="X5" i="85"/>
  <c r="Q68" i="84"/>
  <c r="X9" i="85"/>
  <c r="Z9" i="85" s="1"/>
  <c r="L363" i="54" s="1"/>
  <c r="G6" i="84"/>
  <c r="O33" i="85"/>
  <c r="K332" i="54" s="1"/>
  <c r="O32" i="85"/>
  <c r="J332" i="54" s="1"/>
  <c r="O31" i="85"/>
  <c r="I332" i="54" s="1"/>
  <c r="O30" i="85"/>
  <c r="H332" i="54" s="1"/>
  <c r="O34" i="85"/>
  <c r="L332" i="54" s="1"/>
  <c r="O29" i="85"/>
  <c r="L331" i="54" s="1"/>
  <c r="O27" i="85"/>
  <c r="J331" i="54" s="1"/>
  <c r="O25" i="85"/>
  <c r="H331" i="54" s="1"/>
  <c r="O28" i="85"/>
  <c r="K331" i="54" s="1"/>
  <c r="O26" i="85"/>
  <c r="I331" i="54" s="1"/>
  <c r="O45" i="85"/>
  <c r="H335" i="54" s="1"/>
  <c r="O46" i="85"/>
  <c r="I335" i="54" s="1"/>
  <c r="O49" i="85"/>
  <c r="L335" i="54" s="1"/>
  <c r="O47" i="85"/>
  <c r="J335" i="54" s="1"/>
  <c r="O48" i="85"/>
  <c r="K335" i="54" s="1"/>
  <c r="O86" i="85"/>
  <c r="I342" i="54" s="1"/>
  <c r="O85" i="85"/>
  <c r="H342" i="54" s="1"/>
  <c r="O89" i="85"/>
  <c r="L342" i="54" s="1"/>
  <c r="O87" i="85"/>
  <c r="J342" i="54" s="1"/>
  <c r="O88" i="85"/>
  <c r="K342" i="54" s="1"/>
  <c r="O77" i="85"/>
  <c r="J340" i="54" s="1"/>
  <c r="O75" i="85"/>
  <c r="H340" i="54" s="1"/>
  <c r="O78" i="85"/>
  <c r="K340" i="54" s="1"/>
  <c r="O79" i="85"/>
  <c r="L340" i="54" s="1"/>
  <c r="O76" i="85"/>
  <c r="I340" i="54" s="1"/>
  <c r="Z5" i="85" l="1"/>
  <c r="AB7" i="85"/>
  <c r="J458" i="54" s="1"/>
  <c r="AB8" i="85"/>
  <c r="K458" i="54" s="1"/>
  <c r="J23" i="54"/>
  <c r="G23" i="84"/>
  <c r="H23" i="54"/>
  <c r="AB6" i="85"/>
  <c r="I458" i="54" s="1"/>
  <c r="AB9" i="85"/>
  <c r="L458" i="54" s="1"/>
  <c r="K23" i="54"/>
  <c r="AB5" i="85"/>
  <c r="H458" i="54" s="1"/>
  <c r="L23" i="54"/>
  <c r="I23" i="54"/>
  <c r="J6" i="84"/>
  <c r="P9" i="85"/>
  <c r="L457" i="54" s="1"/>
  <c r="J3" i="54"/>
  <c r="K3" i="54"/>
  <c r="F23" i="84"/>
  <c r="P8" i="85"/>
  <c r="K457" i="54" s="1"/>
  <c r="P7" i="85"/>
  <c r="J457" i="54" s="1"/>
  <c r="P6" i="85"/>
  <c r="I457" i="54" s="1"/>
  <c r="I3" i="54"/>
  <c r="L3" i="54"/>
  <c r="H3" i="54"/>
  <c r="P5" i="85"/>
  <c r="I6" i="84"/>
  <c r="R68" i="84"/>
  <c r="H6" i="84"/>
  <c r="N5" i="85"/>
  <c r="H43" i="54" l="1"/>
  <c r="I43" i="54"/>
  <c r="J43" i="54"/>
  <c r="K43" i="54"/>
  <c r="H23" i="84"/>
  <c r="L43" i="54"/>
  <c r="K6" i="84"/>
  <c r="K23" i="84" s="1"/>
  <c r="O5" i="85"/>
  <c r="O8" i="85"/>
  <c r="K323" i="54" s="1"/>
  <c r="O9" i="85"/>
  <c r="L323" i="54" s="1"/>
  <c r="I23" i="84"/>
  <c r="O6" i="85"/>
  <c r="I323" i="54" s="1"/>
  <c r="O7" i="85"/>
  <c r="J323" i="54" s="1"/>
  <c r="H303" i="54"/>
  <c r="H457" i="54"/>
  <c r="AA8" i="85"/>
  <c r="K383" i="54" s="1"/>
  <c r="AA7" i="85"/>
  <c r="J383" i="54" s="1"/>
  <c r="AA9" i="85"/>
  <c r="L383" i="54" s="1"/>
  <c r="AA5" i="85"/>
  <c r="J23" i="84"/>
  <c r="AA6" i="85"/>
  <c r="I383" i="54" s="1"/>
  <c r="H363" i="54"/>
  <c r="H383" i="54" l="1"/>
  <c r="H323" i="54"/>
</calcChain>
</file>

<file path=xl/sharedStrings.xml><?xml version="1.0" encoding="utf-8"?>
<sst xmlns="http://schemas.openxmlformats.org/spreadsheetml/2006/main" count="4050" uniqueCount="432">
  <si>
    <t>%</t>
  </si>
  <si>
    <t>000s</t>
  </si>
  <si>
    <t>£m</t>
  </si>
  <si>
    <t>nr</t>
  </si>
  <si>
    <t>ANH</t>
  </si>
  <si>
    <t>NES</t>
  </si>
  <si>
    <t>NWT</t>
  </si>
  <si>
    <t>SRN</t>
  </si>
  <si>
    <t>SVT</t>
  </si>
  <si>
    <t>TMS</t>
  </si>
  <si>
    <t>WSX</t>
  </si>
  <si>
    <t>YKY</t>
  </si>
  <si>
    <t>AFW</t>
  </si>
  <si>
    <t>BRL</t>
  </si>
  <si>
    <t>DVW</t>
  </si>
  <si>
    <t>PRT</t>
  </si>
  <si>
    <t>SES</t>
  </si>
  <si>
    <t>SEW</t>
  </si>
  <si>
    <t>SSC</t>
  </si>
  <si>
    <t>SWB</t>
  </si>
  <si>
    <t>Company</t>
  </si>
  <si>
    <t>Triangulation weights</t>
  </si>
  <si>
    <t>Model</t>
  </si>
  <si>
    <t>WSH</t>
  </si>
  <si>
    <t>2020-21</t>
  </si>
  <si>
    <t>2021-22</t>
  </si>
  <si>
    <t>2022-23</t>
  </si>
  <si>
    <t>2023-24</t>
  </si>
  <si>
    <t>2024-25</t>
  </si>
  <si>
    <t>Acronym</t>
  </si>
  <si>
    <t>Reference</t>
  </si>
  <si>
    <t>Item description</t>
  </si>
  <si>
    <t>Unit</t>
  </si>
  <si>
    <t>Total</t>
  </si>
  <si>
    <t>Frontier shift</t>
  </si>
  <si>
    <t>WRP1</t>
  </si>
  <si>
    <t>WRP2</t>
  </si>
  <si>
    <t>pctwatertreated36</t>
  </si>
  <si>
    <t>TWD1</t>
  </si>
  <si>
    <t>WW1</t>
  </si>
  <si>
    <t>WW2</t>
  </si>
  <si>
    <t>properties</t>
  </si>
  <si>
    <t>lengthsofmain</t>
  </si>
  <si>
    <t>wedensitywater</t>
  </si>
  <si>
    <t>Forecast of Total Lenghts of Main</t>
  </si>
  <si>
    <t>Forecast of the % of water treated at complexity levels 3 to 6</t>
  </si>
  <si>
    <t>Forecast of weighted average density</t>
  </si>
  <si>
    <t>km</t>
  </si>
  <si>
    <t>Nr</t>
  </si>
  <si>
    <t>Lengths of main</t>
  </si>
  <si>
    <t>% of water treated complexity levels bands 3-6</t>
  </si>
  <si>
    <t>Weighted average density</t>
  </si>
  <si>
    <t>Squared Weighted average density</t>
  </si>
  <si>
    <t>Natural log</t>
  </si>
  <si>
    <t>Number of properties</t>
  </si>
  <si>
    <t>WRP</t>
  </si>
  <si>
    <t>TWD</t>
  </si>
  <si>
    <t>Original forecast data</t>
  </si>
  <si>
    <t>Transformed cost data</t>
  </si>
  <si>
    <t>Price Review 2019</t>
  </si>
  <si>
    <t>m.hd</t>
  </si>
  <si>
    <t>Forecast of number of booster pumping stations per lenghts of main</t>
  </si>
  <si>
    <t>boosterperlength</t>
  </si>
  <si>
    <t>xy%</t>
  </si>
  <si>
    <t>Final cost allowance for Water Resources</t>
  </si>
  <si>
    <t>Final cost allowance for Network Plus Water</t>
  </si>
  <si>
    <t>nr/km</t>
  </si>
  <si>
    <t>Inputs to calculate modelled costs for 2020-25</t>
  </si>
  <si>
    <t>finaltriangulationweights</t>
  </si>
  <si>
    <t>WRPtriangulationweight</t>
  </si>
  <si>
    <t>TWDtriangulationweight</t>
  </si>
  <si>
    <t>WWtriangulationweights</t>
  </si>
  <si>
    <t>Triangulation weights used for WRP models</t>
  </si>
  <si>
    <t>Triangulation weights used for TWD models</t>
  </si>
  <si>
    <t>Triangulation weights used for WW models</t>
  </si>
  <si>
    <t>Triangulation weights used for final stage of triangulation</t>
  </si>
  <si>
    <t>Text</t>
  </si>
  <si>
    <t>PR19CA004_OUT</t>
  </si>
  <si>
    <t>SVE21</t>
  </si>
  <si>
    <t>SVE22</t>
  </si>
  <si>
    <t>SVE23</t>
  </si>
  <si>
    <t>SVE24</t>
  </si>
  <si>
    <t>SVE25</t>
  </si>
  <si>
    <t>HDD21</t>
  </si>
  <si>
    <t>HDD22</t>
  </si>
  <si>
    <t>HDD23</t>
  </si>
  <si>
    <t>HDD24</t>
  </si>
  <si>
    <t>HDD25</t>
  </si>
  <si>
    <t>wac</t>
  </si>
  <si>
    <t>SVE</t>
  </si>
  <si>
    <t>HDD</t>
  </si>
  <si>
    <t>Weighted average water treatment complexity</t>
  </si>
  <si>
    <t>Business plan</t>
  </si>
  <si>
    <t>SVH</t>
  </si>
  <si>
    <t>SVH21</t>
  </si>
  <si>
    <t>SVH22</t>
  </si>
  <si>
    <t>SVH23</t>
  </si>
  <si>
    <t>SVH24</t>
  </si>
  <si>
    <t>SVH25</t>
  </si>
  <si>
    <t xml:space="preserve">Model weights </t>
  </si>
  <si>
    <t>Bottom up</t>
  </si>
  <si>
    <t>Top down</t>
  </si>
  <si>
    <t>Efficiency challenge parameters</t>
  </si>
  <si>
    <t>Within sector catch-up - historical</t>
  </si>
  <si>
    <t>Upper quartile</t>
  </si>
  <si>
    <t>Within sector catch-up - forward looking</t>
  </si>
  <si>
    <t>Historical</t>
  </si>
  <si>
    <t>Forward looking efficiency challenge</t>
  </si>
  <si>
    <t>Our view (average)</t>
  </si>
  <si>
    <t>Forecast of Total Connected Properties</t>
  </si>
  <si>
    <t>Water resources pus</t>
  </si>
  <si>
    <t>Treated water distribution</t>
  </si>
  <si>
    <t>Wholesale water</t>
  </si>
  <si>
    <t>Forecast of the weighted average water treatment complexity</t>
  </si>
  <si>
    <t>5yrs</t>
  </si>
  <si>
    <t>select &gt;&gt;</t>
  </si>
  <si>
    <t>Year</t>
  </si>
  <si>
    <t>BON Code</t>
  </si>
  <si>
    <t>Unique ID</t>
  </si>
  <si>
    <t>Date &amp; Time for Model PR19CA004_OUT</t>
  </si>
  <si>
    <t>Name &amp; Path of Model PR19CA004_OUT</t>
  </si>
  <si>
    <t>5 years catch up efficiency challenge (2013-14 to 2017-18)</t>
  </si>
  <si>
    <t>Companies' submitted base costs</t>
  </si>
  <si>
    <t>Water resources</t>
  </si>
  <si>
    <t>Water resources plus</t>
  </si>
  <si>
    <t>Network plus</t>
  </si>
  <si>
    <t>C_WR_PR19CA004</t>
  </si>
  <si>
    <t>C_NPW_PR19CA004</t>
  </si>
  <si>
    <t>C_PROP_W_PR19CA004</t>
  </si>
  <si>
    <t>C_MAINS_PR19CA004</t>
  </si>
  <si>
    <t>C_W36_PR19CA004</t>
  </si>
  <si>
    <t>C_WAC_PR19CA004</t>
  </si>
  <si>
    <t>C_BOOSTER_LENGTH_PR19CA004</t>
  </si>
  <si>
    <t>C_WAD_W_PR19CA004</t>
  </si>
  <si>
    <t>C_5YEFFICIENCY_PR19CA004</t>
  </si>
  <si>
    <t>C_WRP_WEIGHT_PR19CA004</t>
  </si>
  <si>
    <t>C_TWD_WEIGHT_PR19CA004</t>
  </si>
  <si>
    <t>C_WW_WEIGHT_PR19CA004</t>
  </si>
  <si>
    <t>C_FINAL_WEIGHT_PR19CA004</t>
  </si>
  <si>
    <t>Efficiency score - business plan</t>
  </si>
  <si>
    <t>FL upper quartile</t>
  </si>
  <si>
    <t>Business plan costs - wastewater</t>
  </si>
  <si>
    <t>Code</t>
  </si>
  <si>
    <t>Raw water distribution</t>
  </si>
  <si>
    <t>Water treatment</t>
  </si>
  <si>
    <t>For purpose of apportioning wholesale costs to the water resources and network plus controls</t>
  </si>
  <si>
    <t>Wholesale water modelled base costs, £m (base year: 2017-18)</t>
  </si>
  <si>
    <t>Efficient costs (catch up)</t>
  </si>
  <si>
    <t>Efficient costs</t>
  </si>
  <si>
    <t>Proportion to water resources</t>
  </si>
  <si>
    <t>Final AMP7 allowances</t>
  </si>
  <si>
    <t>Modelled wholesale botex - triangulated</t>
  </si>
  <si>
    <t>Third party services - opex - Water resources</t>
  </si>
  <si>
    <t>Third party services - capex - Water resources</t>
  </si>
  <si>
    <t>Items excluded/included from our view of totex</t>
  </si>
  <si>
    <t>Grants and contributions - Water Resources</t>
  </si>
  <si>
    <t>Third party services - opex - Raw water distribution</t>
  </si>
  <si>
    <t>Third party services - capex - Raw water distribution</t>
  </si>
  <si>
    <t>Grants and contributions - Raw water distribution</t>
  </si>
  <si>
    <t>Pension deficit recovery payments - Water resources</t>
  </si>
  <si>
    <t>Third party services - opex - Water Treatment</t>
  </si>
  <si>
    <t>Third party services - capex - Water Treatment</t>
  </si>
  <si>
    <t>Grants and contributions - Water Treatment</t>
  </si>
  <si>
    <t>Third party services - opex - Treated water distribution</t>
  </si>
  <si>
    <t>Third party services - capex - Treated water distribution</t>
  </si>
  <si>
    <t>Grants and contributions - Treated water distribution</t>
  </si>
  <si>
    <t>Companies' submitted totex 
(gross of Grants and Contributions excluding Pension Deficit Recovery Payments and Third Party Services costs)</t>
  </si>
  <si>
    <t>Calculated</t>
  </si>
  <si>
    <t>ANH21</t>
  </si>
  <si>
    <t>ANH22</t>
  </si>
  <si>
    <t>ANH23</t>
  </si>
  <si>
    <t>ANH24</t>
  </si>
  <si>
    <t>ANH25</t>
  </si>
  <si>
    <t>NES21</t>
  </si>
  <si>
    <t>NES22</t>
  </si>
  <si>
    <t>NES23</t>
  </si>
  <si>
    <t>NES24</t>
  </si>
  <si>
    <t>NES25</t>
  </si>
  <si>
    <t>NWT21</t>
  </si>
  <si>
    <t>NWT22</t>
  </si>
  <si>
    <t>NWT23</t>
  </si>
  <si>
    <t>NWT24</t>
  </si>
  <si>
    <t>NWT25</t>
  </si>
  <si>
    <t>SRN21</t>
  </si>
  <si>
    <t>SRN22</t>
  </si>
  <si>
    <t>SRN23</t>
  </si>
  <si>
    <t>SRN24</t>
  </si>
  <si>
    <t>SRN25</t>
  </si>
  <si>
    <t>SWB21</t>
  </si>
  <si>
    <t>SWB22</t>
  </si>
  <si>
    <t>SWB23</t>
  </si>
  <si>
    <t>SWB24</t>
  </si>
  <si>
    <t>SWB25</t>
  </si>
  <si>
    <t>TMS21</t>
  </si>
  <si>
    <t>TMS22</t>
  </si>
  <si>
    <t>TMS23</t>
  </si>
  <si>
    <t>TMS24</t>
  </si>
  <si>
    <t>TMS25</t>
  </si>
  <si>
    <t>WSH21</t>
  </si>
  <si>
    <t>WSH22</t>
  </si>
  <si>
    <t>WSH23</t>
  </si>
  <si>
    <t>WSH24</t>
  </si>
  <si>
    <t>WSH25</t>
  </si>
  <si>
    <t>WSX21</t>
  </si>
  <si>
    <t>WSX22</t>
  </si>
  <si>
    <t>WSX23</t>
  </si>
  <si>
    <t>WSX24</t>
  </si>
  <si>
    <t>WSX25</t>
  </si>
  <si>
    <t>YKY21</t>
  </si>
  <si>
    <t>YKY22</t>
  </si>
  <si>
    <t>YKY23</t>
  </si>
  <si>
    <t>YKY24</t>
  </si>
  <si>
    <t>YKY25</t>
  </si>
  <si>
    <t>AFW21</t>
  </si>
  <si>
    <t>AFW22</t>
  </si>
  <si>
    <t>AFW23</t>
  </si>
  <si>
    <t>AFW24</t>
  </si>
  <si>
    <t>AFW25</t>
  </si>
  <si>
    <t>BRL21</t>
  </si>
  <si>
    <t>BRL22</t>
  </si>
  <si>
    <t>BRL23</t>
  </si>
  <si>
    <t>BRL24</t>
  </si>
  <si>
    <t>BRL25</t>
  </si>
  <si>
    <t>PRT21</t>
  </si>
  <si>
    <t>PRT22</t>
  </si>
  <si>
    <t>PRT23</t>
  </si>
  <si>
    <t>PRT24</t>
  </si>
  <si>
    <t>PRT25</t>
  </si>
  <si>
    <t>SES21</t>
  </si>
  <si>
    <t>SES22</t>
  </si>
  <si>
    <t>SES23</t>
  </si>
  <si>
    <t>SES24</t>
  </si>
  <si>
    <t>SES25</t>
  </si>
  <si>
    <t>SEW21</t>
  </si>
  <si>
    <t>SEW22</t>
  </si>
  <si>
    <t>SEW23</t>
  </si>
  <si>
    <t>SEW24</t>
  </si>
  <si>
    <t>SEW25</t>
  </si>
  <si>
    <t>SSC21</t>
  </si>
  <si>
    <t>SSC22</t>
  </si>
  <si>
    <t>SSC23</t>
  </si>
  <si>
    <t>SSC24</t>
  </si>
  <si>
    <t>SSC25</t>
  </si>
  <si>
    <t>WR - Total gross operational expenditure -real</t>
  </si>
  <si>
    <t>WR - Total gross totex - real</t>
  </si>
  <si>
    <t>WN - Total gross operational expenditure -real</t>
  </si>
  <si>
    <t>WN - Total gross capital expenditure - real</t>
  </si>
  <si>
    <t>C_WROPEX_PR19CA004</t>
  </si>
  <si>
    <t>C_WRCAPEX_PR19CA004</t>
  </si>
  <si>
    <t>C_WRTOTEXFM_PR19CA004</t>
  </si>
  <si>
    <t>WR - Total gross capital expenditure - real (including g&amp;c)</t>
  </si>
  <si>
    <t>WN - Total gross totex - real (including g&amp;c)</t>
  </si>
  <si>
    <t>C_WNOPEX_PR19CA004</t>
  </si>
  <si>
    <t>C_WNCAPEX_PR19CA004</t>
  </si>
  <si>
    <t>C_WNTOTEXFM_PR19CA004</t>
  </si>
  <si>
    <t>WR defined benefit pension deficit recovery per IN13/17 real</t>
  </si>
  <si>
    <t>WN defined benefit pension deficit recovery per IN13/17 real</t>
  </si>
  <si>
    <t>C_WRPDR_PR19CA004</t>
  </si>
  <si>
    <t>C_WNPDR_PR19CA004</t>
  </si>
  <si>
    <t>£m,Water resources - Total operating expenditure</t>
  </si>
  <si>
    <t>£m,Water resources - Maintaining the long term capability of the assets - infra</t>
  </si>
  <si>
    <t>£m,Water resources - Maintaining the long term capability of the assets - non-infra</t>
  </si>
  <si>
    <t>£m,Total network plus water - Total operating expenditure</t>
  </si>
  <si>
    <t>£m,Total network plus water - Maintaining the long term capability of the assets - infra</t>
  </si>
  <si>
    <t>£m,Total network plus water - Maintaining the long term capability of the assets - non-infra</t>
  </si>
  <si>
    <t>Data submitted by companies</t>
  </si>
  <si>
    <t>Final cost allowance for Wholesale Water</t>
  </si>
  <si>
    <t>C_WW_PR19CA004</t>
  </si>
  <si>
    <t>PR19QA_CA004_OUT_1</t>
  </si>
  <si>
    <t>PR19QA_CA004_OUT_2</t>
  </si>
  <si>
    <t>Strategic scheme development costs</t>
  </si>
  <si>
    <t>Efficient unmodelled base costs</t>
  </si>
  <si>
    <t>Total costs</t>
  </si>
  <si>
    <t>Efficient modelled base costs</t>
  </si>
  <si>
    <t>Efficient base costs</t>
  </si>
  <si>
    <t>Base costs</t>
  </si>
  <si>
    <t>Enhancement Costs</t>
  </si>
  <si>
    <t>Efficient totex allowance for cost sharing</t>
  </si>
  <si>
    <t>Efficient totex allowance for financial modelling</t>
  </si>
  <si>
    <t>Costs excluded from cost sharing</t>
  </si>
  <si>
    <t>Third party costs</t>
  </si>
  <si>
    <t>Pension deficit recovery costs</t>
  </si>
  <si>
    <t>Total costs excluded from costs sharing</t>
  </si>
  <si>
    <t>Other cash items</t>
  </si>
  <si>
    <t>Information for the calculation of company efficiency challenge factor</t>
  </si>
  <si>
    <t>BP modelled base costs</t>
  </si>
  <si>
    <t>BP enhancement opex</t>
  </si>
  <si>
    <t>BP modelled base costs less enhancement opex</t>
  </si>
  <si>
    <t>Efficient modelled costs before frontier shift</t>
  </si>
  <si>
    <t>C_BOOSTERPL_PR19CA001</t>
  </si>
  <si>
    <t>C_WAWTCL_PR19CA001</t>
  </si>
  <si>
    <t>C_PCTWTL36_PR19CA001</t>
  </si>
  <si>
    <t>C_MLENGTH_PR19CA001</t>
  </si>
  <si>
    <t>C_PROP_PR19CA001</t>
  </si>
  <si>
    <t>C_W3026TETWD_PR19CA001</t>
  </si>
  <si>
    <t>C_W3026TEWT_PR19CA001</t>
  </si>
  <si>
    <t>C_W3026TERWD_PR19CA001</t>
  </si>
  <si>
    <t>C_W3026TEWR_PR19CA001</t>
  </si>
  <si>
    <t>C_WS1022TWD_PR19CA001</t>
  </si>
  <si>
    <t>C_WS1018TWD_PR19CA001</t>
  </si>
  <si>
    <t>C_WS1010TWD_PR19CA001</t>
  </si>
  <si>
    <t>C_WS1022WT_PR19CA001</t>
  </si>
  <si>
    <t>C_WS1018WT_PR19CA001</t>
  </si>
  <si>
    <t>C_WS1010WT_PR19CA001</t>
  </si>
  <si>
    <t>C_WS1022RWD_PR19CA001</t>
  </si>
  <si>
    <t>C_WS1018RWD_PR19CA001</t>
  </si>
  <si>
    <t>C_WS1010RWD_PR19CA001</t>
  </si>
  <si>
    <t>C_WS1022WR_PR19CA001</t>
  </si>
  <si>
    <t>C_WS1018WR_PR19CA001</t>
  </si>
  <si>
    <t>C_WS1010WR_PR19CA001</t>
  </si>
  <si>
    <t>C_REALBOTEXWW_PR19CA001</t>
  </si>
  <si>
    <t>C_REALBOTEXNPW_PR19CA001</t>
  </si>
  <si>
    <t>C_REALBOTEXWRP_PR19CA001</t>
  </si>
  <si>
    <t>C_REALBOTEXTWD_PR19CA001</t>
  </si>
  <si>
    <t>C_REALBOTWR_PR19CA001</t>
  </si>
  <si>
    <t>C_CW00036NETPLUS_PR19CA001</t>
  </si>
  <si>
    <t>C_BC30445NETPLUS_PR19CA001</t>
  </si>
  <si>
    <t>C_BM351NETPLUS_PR19CA001</t>
  </si>
  <si>
    <t>C_WS1013WR_PR19CA001</t>
  </si>
  <si>
    <t>C_WS1012WR_PR19CA001</t>
  </si>
  <si>
    <t>C_WS1011WR_PR19CA001</t>
  </si>
  <si>
    <t>C_WADW_PR19CA001</t>
  </si>
  <si>
    <t>End financial year</t>
  </si>
  <si>
    <t>Calculation of totex allowances</t>
  </si>
  <si>
    <t>Version 1.0. 18th July 2019</t>
  </si>
  <si>
    <t>Calculations</t>
  </si>
  <si>
    <t>WS1011WR/
WS1011WR+WS1012WR + WS1013WR</t>
  </si>
  <si>
    <t>WS1012WR + WS1013WR/
WS1011WR+WS1012WR + WS1013WR</t>
  </si>
  <si>
    <t>WS1011NPW/
WS1011NPW+WS1012NPW + WS1013NPW</t>
  </si>
  <si>
    <t>WS1012NPW + WS1013NPW/
WS1011NPW+WS1012NPW + WS1013NPW</t>
  </si>
  <si>
    <t>C_WROTHER_PR19CA004</t>
  </si>
  <si>
    <t>C_WNOTHER_PR19CA004</t>
  </si>
  <si>
    <t>Base opex ratio - WR (business plans) %</t>
  </si>
  <si>
    <t>Base capex ratio - WR (business plans) %</t>
  </si>
  <si>
    <t>Efficient base opex - WR (final allowance) £m</t>
  </si>
  <si>
    <t>Efficient base capex - WR (final allowance) £m</t>
  </si>
  <si>
    <t>Strategic scheme development costs WR capex £m</t>
  </si>
  <si>
    <t>Efficient capex WR £m</t>
  </si>
  <si>
    <t>Efficient totex WR £m</t>
  </si>
  <si>
    <t>Base opex ratio - NPW (business plans) %</t>
  </si>
  <si>
    <t>Base capex ratio - NPW (business plans) %</t>
  </si>
  <si>
    <t>Efficient base opex - NPW (final allowance) £m</t>
  </si>
  <si>
    <t>Efficient enhancement capex NPW £m</t>
  </si>
  <si>
    <t>Strategic scheme development costs NPW capex £m</t>
  </si>
  <si>
    <t>Efficient capex NPW £m</t>
  </si>
  <si>
    <t>Efficient totex NPW £m</t>
  </si>
  <si>
    <t>WR - Other cash items and 3rd party services</t>
  </si>
  <si>
    <t>WN - Other cash items and 3rd party services</t>
  </si>
  <si>
    <t>WR - other cash items</t>
  </si>
  <si>
    <t>WR - 3rd party services</t>
  </si>
  <si>
    <t>WN - other cash items</t>
  </si>
  <si>
    <t>WN - 3rd party services</t>
  </si>
  <si>
    <t>Lookup id/Boncode from F_inputs or to F_outputs</t>
  </si>
  <si>
    <t>Real input price inflation</t>
  </si>
  <si>
    <t>Difference</t>
  </si>
  <si>
    <t>Business plan unmodelled base costs</t>
  </si>
  <si>
    <t>Business plans base costs</t>
  </si>
  <si>
    <t>Enhancement opex implicit allowance</t>
  </si>
  <si>
    <t>Efficient enhancement allowance Totex - opex implicit allowance)</t>
  </si>
  <si>
    <t xml:space="preserve">Business plan totex excl third party and PDRC, incl G&amp;C </t>
  </si>
  <si>
    <t>C_WS1027WR_PR19CA001</t>
  </si>
  <si>
    <t>C_WS1027RWD_PR19CA001</t>
  </si>
  <si>
    <t>C_WS1027WT_PR19CA001</t>
  </si>
  <si>
    <t>C_WS1027TWD_PR19CA001</t>
  </si>
  <si>
    <t>Efficient totex for cost sharing WR £m</t>
  </si>
  <si>
    <t>C_WRTOTEXFM_CS_PR19CA004</t>
  </si>
  <si>
    <t>C_WNTOTEXFM_CS_PR19CA004</t>
  </si>
  <si>
    <t>Efficient totex for cost sharing NPW £m</t>
  </si>
  <si>
    <t>Final cost allowance for cost sharing for Water Resources</t>
  </si>
  <si>
    <t>Final cost allowance for cost sharing for Network Plus Water</t>
  </si>
  <si>
    <t>C_WROTHER_EXCPDR_PR19CA004</t>
  </si>
  <si>
    <t>C_WNOTHER_EXCPDR_PR19CA004</t>
  </si>
  <si>
    <t>WR - Other costs not subject to cost sharing excl PDR</t>
  </si>
  <si>
    <t>WN - Other costs not subject to cost sharing excl PDR</t>
  </si>
  <si>
    <t>Water network plus</t>
  </si>
  <si>
    <t>Business plan enhancement costs (less growth and low pressure)</t>
  </si>
  <si>
    <t>Enhancement opex</t>
  </si>
  <si>
    <t>Efficient modelled base costs gross of enhancement opex (used for calculating enhancement opex IA)</t>
  </si>
  <si>
    <t>Efficient totex enhancement costs (less growth and low pressure)</t>
  </si>
  <si>
    <t>Net change</t>
  </si>
  <si>
    <t>Variable code</t>
  </si>
  <si>
    <t>Variable name</t>
  </si>
  <si>
    <t>re1</t>
  </si>
  <si>
    <t>re2</t>
  </si>
  <si>
    <t>re3</t>
  </si>
  <si>
    <t>re4</t>
  </si>
  <si>
    <t>re5</t>
  </si>
  <si>
    <t>lnproperties</t>
  </si>
  <si>
    <t>ln (number of properties)</t>
  </si>
  <si>
    <t/>
  </si>
  <si>
    <t>% of water treated at complexity levels 3 to 6</t>
  </si>
  <si>
    <t>lnwac</t>
  </si>
  <si>
    <t>ln (weighted average water treatment complexity)</t>
  </si>
  <si>
    <t>lnwedensitywater</t>
  </si>
  <si>
    <t>ln (weighted average density)</t>
  </si>
  <si>
    <t>lnwedensitywater2</t>
  </si>
  <si>
    <t>(ln(weighted average density))^2</t>
  </si>
  <si>
    <t>lnlengthsofmain</t>
  </si>
  <si>
    <t>ln (lenghts of main)</t>
  </si>
  <si>
    <t>lnboosterperlength</t>
  </si>
  <si>
    <t>ln (number of booster pumping stations per lenghts of main)</t>
  </si>
  <si>
    <t>_cons</t>
  </si>
  <si>
    <t>Constant</t>
  </si>
  <si>
    <t>Business plans modelled base costs</t>
  </si>
  <si>
    <t>Top-down / bottom-up triangulation weights</t>
  </si>
  <si>
    <t>In this model base costs includes operational and capital maintenance costs as well as the following enhancement costs: a) new developments; b) new connections and; c) addressing low pressure</t>
  </si>
  <si>
    <t>Pension deficit recovery payments - Raw water distribution</t>
  </si>
  <si>
    <t>Pension deficit recovery payments - Water Treatment</t>
  </si>
  <si>
    <t>Pension deficit recovery payments - Treated water distribution</t>
  </si>
  <si>
    <t>Number of booster pumping stations per lengths of main</t>
  </si>
  <si>
    <t>The catch up efficiency challenge produced by feeder model 2 is based on wholesale triangulated totex. We apply the same challenge for both price controls.</t>
  </si>
  <si>
    <r>
      <rPr>
        <u/>
        <sz val="11"/>
        <color theme="1"/>
        <rFont val="Arial"/>
        <family val="2"/>
      </rPr>
      <t>Objective</t>
    </r>
    <r>
      <rPr>
        <sz val="11"/>
        <color theme="1"/>
        <rFont val="Arial"/>
        <family val="2"/>
      </rPr>
      <t xml:space="preserve">
To calculate an efficient cost allowance for water resources and water network plus controls. 
</t>
    </r>
    <r>
      <rPr>
        <u/>
        <sz val="11"/>
        <color theme="1"/>
        <rFont val="Arial"/>
        <family val="2"/>
      </rPr>
      <t>Guide to the model</t>
    </r>
    <r>
      <rPr>
        <sz val="11"/>
        <color theme="1"/>
        <rFont val="Arial"/>
        <family val="2"/>
      </rPr>
      <t xml:space="preserve">
Inputs: the model takes as inputs the coefficients from our econometric models, the forecasts of the cost drivers, the catch-up and frontier shift challenge.
Base modelled costs are estimated in the “Modelled costs” worksheet by multiplying the coefficients by the forecast of costs drivers.   
       The coefficients are produced by the econometric models as reported in feeder model FM_WW2 (see worksheet named “Coeffs”) ; and  
       Forecast of costs drivers are imported from feeder model FM_WW3 (see worksheet named “Forecast drivers”).
Base modelled costs at different levels of aggregation are triangulated to estimate wholesale base modelled costs.
We apply the historical catch-up efficiency (produced by feeder model FM_WW2) and frontier shift (as specified in our summary document) to obtain efficient costs
Totex allowances are calculated in the “Final allowances” worksheet, 
       The wholesale water modelled base allowance is apportioned into each price control (water resources and network plus water) using companies’ business plan data. 
       Information on other costs produced by other models is incorporated, namely unmodelled base costs, enhancement costs and cost adjustment claims 
Information on weights given to each econometric model across different levels of aggregation, catch-up (including hypothetical forward looking) and frontier shift efficiency challenges can be found in the “Controls” worksheet.  
The models also calculates totex split by capex and opex in the tab named "Financial model inputs".
All results are summarised in the "Interface tab".</t>
    </r>
  </si>
  <si>
    <t>Outputs</t>
  </si>
  <si>
    <t>Company affected</t>
  </si>
  <si>
    <t>Costs affected</t>
  </si>
  <si>
    <t>Description</t>
  </si>
  <si>
    <t>Top-down business plan totex</t>
  </si>
  <si>
    <t>Wholesale water adjustment required (£million)</t>
  </si>
  <si>
    <t>Business plan totex enhancement costs (less growth and low pressure)</t>
  </si>
  <si>
    <r>
      <t xml:space="preserve">Reconciliation log
</t>
    </r>
    <r>
      <rPr>
        <sz val="12"/>
        <color theme="3"/>
        <rFont val="Calibri"/>
        <family val="2"/>
      </rPr>
      <t>We acknowledge that 'Business plan totex excl third party and PDRC, incl G&amp;C' (rows 6-22) [hereinafter referred to as 'top-down business plan totex'] should equal 'Business plans modelled base costs' (rows 29-46) plus 'Business plan unmodelled base costs' (rows 29-46) plus 'Business plan totex enhancement costs (less growth and low pressure)' (rows 51-68) minus 'Enhancement opex' (rows 51-68) [hereinafter referred to as 'bottom-up business plan totex']. However, this is not currently the case. The items listed below reconcile top-down and bottom-up business plan totex and will be implemented for final determination.</t>
    </r>
  </si>
  <si>
    <t>Should be revised downwards to reflect the revised enhancement costs provided in response to query ANH-DD-CE-004. As a result, top-down business plan totex is currently overstated by £9.76 million.</t>
  </si>
  <si>
    <t>£15.85 million was reallocated from enhancement costs to traffic management act costs but is currently being captured within business plan enhancement costs and unmodelled base costs. As a result, bottom-up business plan totex is currently overstated by £15.85 million.</t>
  </si>
  <si>
    <t>Enhancement opex rebasing (as described in the cost efficiency technical appendix) has not been reflected in the enhancement opex figures reported in 'FM_WW4_ST_DD'. As a result, bottom-up business plan totex is currently understated by £8.91 million.</t>
  </si>
  <si>
    <t>Business plan opex has not been grossed up to reflect the change in the treatment of diversions expenditure (costs should now be reported on a gross rather than a net basis). As a result, bottom-up business plan totex is currently understated by £63.14 million.</t>
  </si>
  <si>
    <t>Enhancement opex rebasing (as described in the cost efficiency technical appendix) has not been reflected in the enhancement opex figures reported in 'FM_WW4_ST_DD'. As a result, bottom-up business plan totex is currently understated by £24.51 million.</t>
  </si>
  <si>
    <t>Costs have been incorrectly allocated to third party services instead of enhancement. As a result, top-down business plan totex is currently understated by £20 million.</t>
  </si>
  <si>
    <t>Should be revised downwards to reflect the revised enhancement costs provided in response to query TMS-DD-CE-003. As a result, top-down business plan totex is currently overstated by £20.63 million.</t>
  </si>
  <si>
    <t>Enhancement expenditure in relation to the Strategic Development Fund should be excluded from top-down business plan totex because it is excluded from cost sharing and is reported separately in 'FM_WW4_ST_DD'. As a result, top-down business plan totex is currently overstated by £70.93 million.</t>
  </si>
  <si>
    <t>Other cash items should be excluded from top-down business plan totex because it is excluded from cost sharing. As a result, top-down business plan totex is currently overstated by £2.18 million.</t>
  </si>
  <si>
    <t>£9.03 million associated with water softening has been omitted from business plan modelled base costs but should be included. As a result, bottom-up business plan totex is currently understated by £9.03 million.</t>
  </si>
  <si>
    <t>Efficient enhancement capex WR £m  (excluding opex enhancement implicit allowance)</t>
  </si>
  <si>
    <t>Efficient base capex - NPW (final allowance) £m  (excluding opex enhancement implicit allowance)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</si>
</sst>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64" formatCode="_(* #,##0.00_);_(* \(#,##0.00\);_(* &quot;-&quot;??_);_(@_)"/>
    <numFmt numFmtId="165" formatCode="_-* #,##0_-;\-* #,##0_-;_-* &quot;-&quot;??_-;_-@_-"/>
    <numFmt numFmtId="166" formatCode="#,##0.0000"/>
    <numFmt numFmtId="167" formatCode="#,##0_);\(#,##0\);&quot;-  &quot;;&quot; &quot;@&quot; &quot;"/>
    <numFmt numFmtId="168" formatCode="0.0"/>
    <numFmt numFmtId="169" formatCode="0.0000"/>
    <numFmt numFmtId="170" formatCode="#,##0.00000"/>
    <numFmt numFmtId="171" formatCode="#,##0.00_ ;\-#,##0.00\ "/>
    <numFmt numFmtId="172" formatCode="0.0%"/>
    <numFmt numFmtId="173" formatCode="_(* #,##0.0000_);_(* \(#,##0.0000\);_(* &quot;-&quot;??_);_(@_)"/>
    <numFmt numFmtId="174" formatCode="_(* #,##0.0_);_(* \(#,##0.0\);_(* &quot;-&quot;??_);_(@_)"/>
    <numFmt numFmtId="175" formatCode="_(* #,##0_);_(* \(#,##0\);_(* &quot;-&quot;??_);_(@_)"/>
    <numFmt numFmtId="176" formatCode="0.000"/>
    <numFmt numFmtId="177" formatCode="_(* #,##0.000_);_(* \(#,##0.000\);_(* &quot;-&quot;??_);_(@_)"/>
    <numFmt numFmtId="178" formatCode="#,##0.000"/>
    <numFmt numFmtId="179" formatCode="_(* #,##0.000000000000_);_(* \(#,##0.000000000000\);_(* &quot;-&quot;??_);_(@_)"/>
    <numFmt numFmtId="180" formatCode="_-* #,##0.000_-;\-* #,##0.000_-;_-* &quot;-&quot;???_-;_-@_-"/>
  </numFmts>
  <fonts count="28" x14ac:knownFonts="1">
    <font>
      <sz val="11"/>
      <color theme="1"/>
      <name val="Arial"/>
      <family val="2"/>
    </font>
    <font>
      <sz val="11"/>
      <color theme="1"/>
      <name val="Arial"/>
      <family val="2"/>
    </font>
    <font>
      <sz val="11"/>
      <color theme="1"/>
      <name val="Arial"/>
      <family val="2"/>
      <scheme val="minor"/>
    </font>
    <font>
      <sz val="10"/>
      <name val="Arial"/>
      <family val="2"/>
    </font>
    <font>
      <sz val="11"/>
      <color theme="1"/>
      <name val="Calibri"/>
      <family val="2"/>
    </font>
    <font>
      <b/>
      <sz val="11"/>
      <color theme="1"/>
      <name val="Calibri"/>
      <family val="2"/>
    </font>
    <font>
      <sz val="11"/>
      <name val="Calibri"/>
      <family val="2"/>
    </font>
    <font>
      <sz val="10"/>
      <name val="Calibri"/>
      <family val="2"/>
    </font>
    <font>
      <sz val="10"/>
      <color theme="1"/>
      <name val="Calibri"/>
      <family val="2"/>
    </font>
    <font>
      <b/>
      <sz val="10"/>
      <color theme="1"/>
      <name val="Calibri"/>
      <family val="2"/>
    </font>
    <font>
      <b/>
      <sz val="11"/>
      <color theme="3"/>
      <name val="Arial"/>
      <family val="2"/>
    </font>
    <font>
      <b/>
      <sz val="11"/>
      <color theme="1"/>
      <name val="Arial"/>
      <family val="2"/>
    </font>
    <font>
      <b/>
      <sz val="10"/>
      <name val="Calibri"/>
      <family val="2"/>
    </font>
    <font>
      <b/>
      <sz val="10"/>
      <color rgb="FFFF0000"/>
      <name val="Calibri"/>
      <family val="2"/>
    </font>
    <font>
      <b/>
      <sz val="10"/>
      <color theme="3"/>
      <name val="Calibri"/>
      <family val="2"/>
    </font>
    <font>
      <sz val="11"/>
      <color indexed="8"/>
      <name val="Arial"/>
      <family val="2"/>
      <scheme val="minor"/>
    </font>
    <font>
      <b/>
      <sz val="12"/>
      <color theme="3"/>
      <name val="Calibri"/>
      <family val="2"/>
    </font>
    <font>
      <sz val="11"/>
      <name val="Arial"/>
      <family val="2"/>
    </font>
    <font>
      <sz val="10"/>
      <color theme="1"/>
      <name val="Arial"/>
      <family val="2"/>
    </font>
    <font>
      <sz val="10"/>
      <color theme="3"/>
      <name val="Calibri"/>
      <family val="2"/>
    </font>
    <font>
      <sz val="10"/>
      <color theme="1"/>
      <name val="Arial"/>
      <family val="2"/>
      <scheme val="minor"/>
    </font>
    <font>
      <b/>
      <sz val="10"/>
      <color rgb="FFFFFF00"/>
      <name val="Calibri"/>
      <family val="2"/>
    </font>
    <font>
      <b/>
      <sz val="14"/>
      <color theme="3"/>
      <name val="Arial"/>
      <family val="2"/>
    </font>
    <font>
      <b/>
      <sz val="9"/>
      <color theme="3"/>
      <name val="Arial"/>
      <family val="2"/>
    </font>
    <font>
      <sz val="10"/>
      <color rgb="FFFF0000"/>
      <name val="Calibri"/>
      <family val="2"/>
    </font>
    <font>
      <u/>
      <sz val="11"/>
      <color theme="1"/>
      <name val="Arial"/>
      <family val="2"/>
    </font>
    <font>
      <sz val="11"/>
      <color theme="3"/>
      <name val="Arial"/>
      <family val="2"/>
    </font>
    <font>
      <sz val="12"/>
      <color theme="3"/>
      <name val="Calibri"/>
      <family val="2"/>
    </font>
  </fonts>
  <fills count="16">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theme="5" tint="0.79998168889431442"/>
        <bgColor indexed="64"/>
      </patternFill>
    </fill>
    <fill>
      <patternFill patternType="solid">
        <fgColor theme="6"/>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4"/>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0.149998474074526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3">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xf numFmtId="167" fontId="1" fillId="0" borderId="0" applyFont="0" applyFill="0" applyBorder="0" applyProtection="0">
      <alignment vertical="top"/>
    </xf>
    <xf numFmtId="0" fontId="3" fillId="0" borderId="0"/>
    <xf numFmtId="0" fontId="1" fillId="0" borderId="0"/>
    <xf numFmtId="0" fontId="1" fillId="0" borderId="0"/>
    <xf numFmtId="0" fontId="1" fillId="0" borderId="0"/>
    <xf numFmtId="164" fontId="1" fillId="0" borderId="0" applyFont="0" applyFill="0" applyBorder="0" applyAlignment="0" applyProtection="0"/>
    <xf numFmtId="0" fontId="15" fillId="0" borderId="0"/>
    <xf numFmtId="164" fontId="1" fillId="0" borderId="0" applyFont="0" applyFill="0" applyBorder="0" applyAlignment="0" applyProtection="0"/>
    <xf numFmtId="0" fontId="1" fillId="0" borderId="0"/>
  </cellStyleXfs>
  <cellXfs count="250">
    <xf numFmtId="0" fontId="0" fillId="0" borderId="0" xfId="0"/>
    <xf numFmtId="0" fontId="0" fillId="0" borderId="0" xfId="0" applyFill="1"/>
    <xf numFmtId="0" fontId="4" fillId="0" borderId="0" xfId="0" applyFont="1"/>
    <xf numFmtId="0" fontId="4" fillId="0" borderId="0" xfId="0" applyFont="1" applyFill="1"/>
    <xf numFmtId="0" fontId="4" fillId="0" borderId="0" xfId="0" applyFont="1" applyAlignment="1">
      <alignment vertical="center"/>
    </xf>
    <xf numFmtId="0" fontId="8" fillId="0" borderId="0" xfId="0" applyFont="1"/>
    <xf numFmtId="0" fontId="11" fillId="0" borderId="0" xfId="0" applyFont="1"/>
    <xf numFmtId="0" fontId="0" fillId="0" borderId="3" xfId="0" applyBorder="1"/>
    <xf numFmtId="0" fontId="0" fillId="2" borderId="1" xfId="0" applyFill="1" applyBorder="1"/>
    <xf numFmtId="166" fontId="0" fillId="3" borderId="1" xfId="0" applyNumberFormat="1" applyFill="1" applyBorder="1"/>
    <xf numFmtId="0" fontId="0" fillId="0" borderId="0" xfId="0" applyFill="1" applyBorder="1"/>
    <xf numFmtId="166" fontId="0" fillId="0" borderId="0" xfId="0" applyNumberFormat="1" applyFill="1" applyBorder="1"/>
    <xf numFmtId="0" fontId="4" fillId="0" borderId="0" xfId="0" applyFont="1" applyFill="1" applyBorder="1" applyAlignment="1">
      <alignment vertical="center"/>
    </xf>
    <xf numFmtId="0" fontId="4" fillId="0" borderId="0" xfId="0" applyFont="1" applyBorder="1" applyAlignment="1">
      <alignment vertical="center"/>
    </xf>
    <xf numFmtId="0" fontId="5" fillId="0" borderId="0" xfId="0" applyFont="1" applyFill="1"/>
    <xf numFmtId="171" fontId="8" fillId="0" borderId="1" xfId="1" applyNumberFormat="1" applyFont="1" applyBorder="1" applyAlignment="1">
      <alignment horizontal="center" wrapText="1"/>
    </xf>
    <xf numFmtId="0" fontId="8" fillId="8" borderId="1" xfId="0" applyFont="1" applyFill="1" applyBorder="1" applyAlignment="1">
      <alignment vertical="center"/>
    </xf>
    <xf numFmtId="0" fontId="8" fillId="0" borderId="1" xfId="0" applyFont="1" applyFill="1" applyBorder="1" applyAlignment="1">
      <alignment vertical="center"/>
    </xf>
    <xf numFmtId="0" fontId="12" fillId="7" borderId="6" xfId="0" applyFont="1" applyFill="1" applyBorder="1" applyAlignment="1">
      <alignment horizontal="center" vertical="center" wrapText="1"/>
    </xf>
    <xf numFmtId="0" fontId="8" fillId="0" borderId="0" xfId="0" applyFont="1" applyAlignment="1">
      <alignment vertical="center"/>
    </xf>
    <xf numFmtId="0" fontId="8" fillId="0" borderId="0" xfId="0" applyFont="1" applyFill="1"/>
    <xf numFmtId="0" fontId="8" fillId="0" borderId="1" xfId="0" applyFont="1" applyFill="1" applyBorder="1"/>
    <xf numFmtId="0" fontId="8" fillId="0" borderId="0" xfId="0" applyFont="1" applyFill="1" applyBorder="1"/>
    <xf numFmtId="0" fontId="8" fillId="0" borderId="2" xfId="0" applyFont="1" applyFill="1" applyBorder="1"/>
    <xf numFmtId="0" fontId="8" fillId="0" borderId="4" xfId="0" applyFont="1" applyFill="1" applyBorder="1"/>
    <xf numFmtId="0" fontId="8" fillId="0" borderId="5" xfId="0" applyFont="1" applyFill="1" applyBorder="1"/>
    <xf numFmtId="0" fontId="9" fillId="0" borderId="0" xfId="0" applyFont="1"/>
    <xf numFmtId="9" fontId="8" fillId="0" borderId="0" xfId="0" applyNumberFormat="1" applyFont="1" applyFill="1" applyBorder="1" applyAlignment="1">
      <alignment horizontal="center" vertical="center" wrapText="1"/>
    </xf>
    <xf numFmtId="0" fontId="14" fillId="0" borderId="0" xfId="0" applyFont="1" applyFill="1" applyBorder="1" applyAlignment="1">
      <alignment horizontal="left"/>
    </xf>
    <xf numFmtId="9" fontId="8" fillId="2" borderId="1" xfId="2" applyFont="1" applyFill="1" applyBorder="1" applyAlignment="1">
      <alignment horizontal="center" vertical="center" wrapText="1"/>
    </xf>
    <xf numFmtId="0" fontId="8" fillId="0" borderId="0" xfId="0" applyFont="1" applyFill="1" applyBorder="1" applyAlignment="1">
      <alignment vertical="center"/>
    </xf>
    <xf numFmtId="9" fontId="8" fillId="0" borderId="0" xfId="2"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4" fontId="8" fillId="2" borderId="1" xfId="0" applyNumberFormat="1" applyFont="1" applyFill="1" applyBorder="1" applyAlignment="1">
      <alignment horizontal="left" vertical="center"/>
    </xf>
    <xf numFmtId="4" fontId="8" fillId="9" borderId="1" xfId="0" applyNumberFormat="1" applyFont="1" applyFill="1" applyBorder="1" applyAlignment="1">
      <alignment horizontal="left" vertical="center"/>
    </xf>
    <xf numFmtId="0" fontId="8" fillId="0" borderId="0" xfId="0" applyFont="1" applyBorder="1"/>
    <xf numFmtId="4" fontId="8" fillId="8" borderId="1" xfId="0" applyNumberFormat="1" applyFont="1" applyFill="1" applyBorder="1" applyAlignment="1">
      <alignment horizontal="left" vertical="center"/>
    </xf>
    <xf numFmtId="1" fontId="13" fillId="0" borderId="0" xfId="0" applyNumberFormat="1" applyFont="1" applyFill="1" applyBorder="1" applyAlignment="1">
      <alignment horizontal="center" vertical="center" wrapText="1"/>
    </xf>
    <xf numFmtId="0" fontId="10" fillId="5" borderId="1" xfId="0" applyFont="1" applyFill="1" applyBorder="1" applyAlignment="1">
      <alignment horizontal="centerContinuous" vertical="center"/>
    </xf>
    <xf numFmtId="0" fontId="10" fillId="5" borderId="1" xfId="0" applyFont="1" applyFill="1" applyBorder="1" applyAlignment="1">
      <alignment horizontal="centerContinuous" vertical="center" wrapText="1"/>
    </xf>
    <xf numFmtId="0" fontId="10" fillId="5" borderId="1" xfId="0" applyFont="1" applyFill="1" applyBorder="1" applyAlignment="1">
      <alignment horizontal="center" vertical="center" wrapText="1"/>
    </xf>
    <xf numFmtId="0" fontId="0" fillId="5" borderId="1" xfId="0" applyFill="1" applyBorder="1" applyAlignment="1">
      <alignment horizontal="center" vertical="center"/>
    </xf>
    <xf numFmtId="0" fontId="6" fillId="0" borderId="0" xfId="0" applyFont="1" applyAlignment="1">
      <alignment vertical="center"/>
    </xf>
    <xf numFmtId="2" fontId="4" fillId="0" borderId="0" xfId="0" applyNumberFormat="1" applyFont="1" applyBorder="1" applyAlignment="1">
      <alignment vertical="center"/>
    </xf>
    <xf numFmtId="4" fontId="4" fillId="0" borderId="0" xfId="0" applyNumberFormat="1" applyFont="1" applyBorder="1" applyAlignment="1">
      <alignment vertical="center"/>
    </xf>
    <xf numFmtId="169" fontId="4" fillId="0" borderId="0" xfId="0" applyNumberFormat="1" applyFont="1" applyFill="1" applyBorder="1" applyAlignment="1">
      <alignment vertical="center"/>
    </xf>
    <xf numFmtId="2" fontId="4" fillId="0" borderId="0" xfId="0" applyNumberFormat="1" applyFont="1" applyFill="1" applyBorder="1" applyAlignment="1">
      <alignment vertical="center"/>
    </xf>
    <xf numFmtId="175" fontId="8" fillId="3" borderId="1" xfId="1" applyNumberFormat="1" applyFont="1" applyFill="1" applyBorder="1" applyAlignment="1">
      <alignment horizontal="right" vertical="center"/>
    </xf>
    <xf numFmtId="175" fontId="8" fillId="3" borderId="1" xfId="1" applyNumberFormat="1" applyFont="1" applyFill="1" applyBorder="1"/>
    <xf numFmtId="175" fontId="8" fillId="9" borderId="1" xfId="1" applyNumberFormat="1" applyFont="1" applyFill="1" applyBorder="1" applyAlignment="1">
      <alignment horizontal="right" vertical="center"/>
    </xf>
    <xf numFmtId="175" fontId="8" fillId="9" borderId="1" xfId="1" applyNumberFormat="1" applyFont="1" applyFill="1" applyBorder="1"/>
    <xf numFmtId="175" fontId="8" fillId="8" borderId="1" xfId="1" applyNumberFormat="1" applyFont="1" applyFill="1" applyBorder="1" applyAlignment="1">
      <alignment horizontal="right" vertical="center"/>
    </xf>
    <xf numFmtId="175" fontId="8" fillId="8" borderId="1" xfId="1" applyNumberFormat="1" applyFont="1" applyFill="1" applyBorder="1"/>
    <xf numFmtId="0" fontId="8" fillId="2" borderId="1" xfId="0" applyFont="1" applyFill="1" applyBorder="1" applyAlignment="1">
      <alignment horizontal="left" vertical="center"/>
    </xf>
    <xf numFmtId="1" fontId="8" fillId="2" borderId="1" xfId="0" applyNumberFormat="1" applyFont="1" applyFill="1" applyBorder="1" applyAlignment="1">
      <alignment horizontal="right" vertical="center"/>
    </xf>
    <xf numFmtId="1" fontId="8" fillId="9" borderId="1" xfId="0" applyNumberFormat="1" applyFont="1" applyFill="1" applyBorder="1" applyAlignment="1">
      <alignment horizontal="right" vertical="center"/>
    </xf>
    <xf numFmtId="1" fontId="8" fillId="8" borderId="1" xfId="0" applyNumberFormat="1" applyFont="1" applyFill="1" applyBorder="1" applyAlignment="1">
      <alignment horizontal="right" vertical="center"/>
    </xf>
    <xf numFmtId="0" fontId="14" fillId="0" borderId="1" xfId="0" applyFont="1" applyFill="1" applyBorder="1" applyAlignment="1">
      <alignment horizontal="centerContinuous" vertical="center"/>
    </xf>
    <xf numFmtId="0" fontId="8" fillId="0" borderId="1" xfId="0" applyFont="1" applyBorder="1" applyAlignment="1">
      <alignment horizontal="centerContinuous"/>
    </xf>
    <xf numFmtId="0" fontId="16" fillId="0" borderId="0" xfId="0" applyFont="1" applyFill="1" applyBorder="1"/>
    <xf numFmtId="175" fontId="8" fillId="0" borderId="6" xfId="1" applyNumberFormat="1" applyFont="1" applyFill="1" applyBorder="1" applyAlignment="1">
      <alignment vertical="center"/>
    </xf>
    <xf numFmtId="0" fontId="12" fillId="7"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175" fontId="9" fillId="3" borderId="1" xfId="1" applyNumberFormat="1" applyFont="1" applyFill="1" applyBorder="1"/>
    <xf numFmtId="175" fontId="9" fillId="9" borderId="1" xfId="1" applyNumberFormat="1" applyFont="1" applyFill="1" applyBorder="1"/>
    <xf numFmtId="175" fontId="8" fillId="0" borderId="1" xfId="1" applyNumberFormat="1" applyFont="1" applyBorder="1" applyAlignment="1">
      <alignment vertical="center"/>
    </xf>
    <xf numFmtId="168" fontId="9" fillId="0" borderId="1" xfId="0" applyNumberFormat="1" applyFont="1" applyBorder="1"/>
    <xf numFmtId="175" fontId="9" fillId="0" borderId="1" xfId="1" applyNumberFormat="1" applyFont="1" applyBorder="1"/>
    <xf numFmtId="164" fontId="9" fillId="0" borderId="1" xfId="1" applyFont="1" applyBorder="1"/>
    <xf numFmtId="0" fontId="9" fillId="0" borderId="4" xfId="0" applyFont="1" applyBorder="1"/>
    <xf numFmtId="0" fontId="9" fillId="0" borderId="2" xfId="0" applyFont="1" applyFill="1" applyBorder="1"/>
    <xf numFmtId="0" fontId="8" fillId="0" borderId="6" xfId="0" applyFont="1" applyFill="1" applyBorder="1" applyAlignment="1">
      <alignment horizontal="center" vertical="center"/>
    </xf>
    <xf numFmtId="177" fontId="9" fillId="0" borderId="5" xfId="1" applyNumberFormat="1" applyFont="1" applyBorder="1" applyAlignment="1">
      <alignment wrapText="1"/>
    </xf>
    <xf numFmtId="0" fontId="6" fillId="0" borderId="0" xfId="0" applyFont="1" applyBorder="1" applyAlignment="1">
      <alignment vertical="center"/>
    </xf>
    <xf numFmtId="167" fontId="6" fillId="0" borderId="0" xfId="4" applyFont="1" applyFill="1" applyBorder="1" applyAlignment="1">
      <alignment vertical="center"/>
    </xf>
    <xf numFmtId="0" fontId="6" fillId="0" borderId="0" xfId="0" applyFont="1" applyFill="1" applyBorder="1" applyAlignment="1">
      <alignment vertical="center"/>
    </xf>
    <xf numFmtId="0" fontId="0" fillId="0" borderId="0" xfId="0" applyAlignment="1">
      <alignment wrapText="1"/>
    </xf>
    <xf numFmtId="0" fontId="17" fillId="0" borderId="0" xfId="12" applyFont="1" applyFill="1" applyBorder="1" applyAlignment="1">
      <alignment vertical="top"/>
    </xf>
    <xf numFmtId="0" fontId="9" fillId="0" borderId="0" xfId="0" applyFont="1" applyFill="1"/>
    <xf numFmtId="172" fontId="8" fillId="0" borderId="0" xfId="0" applyNumberFormat="1" applyFont="1" applyFill="1" applyBorder="1"/>
    <xf numFmtId="164" fontId="8" fillId="0" borderId="0" xfId="9" applyFont="1" applyFill="1" applyBorder="1"/>
    <xf numFmtId="9" fontId="8" fillId="0" borderId="0" xfId="0" applyNumberFormat="1" applyFont="1" applyFill="1" applyBorder="1"/>
    <xf numFmtId="172" fontId="8" fillId="0" borderId="0" xfId="2" applyNumberFormat="1" applyFont="1" applyFill="1" applyBorder="1"/>
    <xf numFmtId="0" fontId="8" fillId="0" borderId="0" xfId="0" applyFont="1" applyFill="1" applyBorder="1" applyAlignment="1">
      <alignment horizontal="center" wrapText="1"/>
    </xf>
    <xf numFmtId="173" fontId="8" fillId="2" borderId="1" xfId="9" applyNumberFormat="1" applyFont="1" applyFill="1" applyBorder="1"/>
    <xf numFmtId="9" fontId="8" fillId="2" borderId="1" xfId="2" applyFont="1" applyFill="1" applyBorder="1" applyAlignment="1">
      <alignment horizontal="center" vertical="center"/>
    </xf>
    <xf numFmtId="0" fontId="18" fillId="0" borderId="0" xfId="0" applyFont="1"/>
    <xf numFmtId="0" fontId="14" fillId="0" borderId="1" xfId="0" applyFont="1" applyBorder="1" applyAlignment="1">
      <alignment horizontal="centerContinuous" vertical="center"/>
    </xf>
    <xf numFmtId="0" fontId="8" fillId="2" borderId="1" xfId="0" applyFont="1" applyFill="1" applyBorder="1" applyAlignment="1">
      <alignment vertical="center" wrapText="1"/>
    </xf>
    <xf numFmtId="0" fontId="8" fillId="3" borderId="1" xfId="0" applyFont="1" applyFill="1" applyBorder="1" applyAlignment="1">
      <alignment horizontal="center" vertical="center"/>
    </xf>
    <xf numFmtId="0" fontId="8" fillId="2" borderId="5" xfId="0" applyFont="1" applyFill="1" applyBorder="1" applyAlignment="1">
      <alignment vertical="center" wrapText="1"/>
    </xf>
    <xf numFmtId="0" fontId="7" fillId="3" borderId="1" xfId="0" applyFont="1" applyFill="1" applyBorder="1" applyAlignment="1">
      <alignment horizontal="center" vertical="center" wrapText="1"/>
    </xf>
    <xf numFmtId="174" fontId="8" fillId="3" borderId="5" xfId="1" applyNumberFormat="1" applyFont="1" applyFill="1" applyBorder="1" applyAlignment="1">
      <alignment vertical="center"/>
    </xf>
    <xf numFmtId="174" fontId="8" fillId="3" borderId="1" xfId="1" applyNumberFormat="1" applyFont="1" applyFill="1" applyBorder="1" applyAlignment="1">
      <alignment vertical="center"/>
    </xf>
    <xf numFmtId="3" fontId="8" fillId="2" borderId="1" xfId="0" applyNumberFormat="1" applyFont="1" applyFill="1" applyBorder="1" applyAlignment="1">
      <alignment vertical="center" wrapText="1"/>
    </xf>
    <xf numFmtId="4" fontId="8" fillId="2" borderId="1" xfId="0" applyNumberFormat="1" applyFont="1" applyFill="1" applyBorder="1" applyAlignment="1">
      <alignment vertical="center" wrapText="1"/>
    </xf>
    <xf numFmtId="170" fontId="8" fillId="2" borderId="1" xfId="0" applyNumberFormat="1" applyFont="1" applyFill="1" applyBorder="1" applyAlignment="1">
      <alignment vertical="center" wrapText="1"/>
    </xf>
    <xf numFmtId="175" fontId="8" fillId="2" borderId="1" xfId="1" applyNumberFormat="1" applyFont="1" applyFill="1" applyBorder="1" applyAlignment="1">
      <alignment vertical="center" wrapText="1"/>
    </xf>
    <xf numFmtId="0" fontId="13" fillId="0" borderId="0" xfId="0" applyFont="1" applyFill="1"/>
    <xf numFmtId="0" fontId="9" fillId="2" borderId="1" xfId="0" applyFont="1" applyFill="1" applyBorder="1" applyAlignment="1">
      <alignment vertical="center" wrapText="1"/>
    </xf>
    <xf numFmtId="0" fontId="9" fillId="2" borderId="2" xfId="0" applyFont="1" applyFill="1" applyBorder="1" applyAlignment="1">
      <alignment vertical="center" wrapText="1"/>
    </xf>
    <xf numFmtId="0" fontId="19" fillId="0" borderId="0" xfId="0" applyFont="1"/>
    <xf numFmtId="168" fontId="8" fillId="3" borderId="1" xfId="1" applyNumberFormat="1" applyFont="1" applyFill="1" applyBorder="1"/>
    <xf numFmtId="168" fontId="8" fillId="9" borderId="1" xfId="1" applyNumberFormat="1" applyFont="1" applyFill="1" applyBorder="1"/>
    <xf numFmtId="168" fontId="8" fillId="8" borderId="1" xfId="1" applyNumberFormat="1" applyFont="1" applyFill="1" applyBorder="1"/>
    <xf numFmtId="0" fontId="8" fillId="2" borderId="1" xfId="0" applyFont="1" applyFill="1" applyBorder="1"/>
    <xf numFmtId="0" fontId="7" fillId="10" borderId="1" xfId="0" applyFont="1" applyFill="1" applyBorder="1" applyAlignment="1">
      <alignment horizontal="center" vertical="center" wrapText="1"/>
    </xf>
    <xf numFmtId="0" fontId="8" fillId="10" borderId="1" xfId="0" applyFont="1" applyFill="1" applyBorder="1" applyAlignment="1">
      <alignment horizontal="center" vertical="center" wrapText="1"/>
    </xf>
    <xf numFmtId="175" fontId="8" fillId="10" borderId="1" xfId="1" applyNumberFormat="1" applyFont="1" applyFill="1" applyBorder="1"/>
    <xf numFmtId="164" fontId="8" fillId="0" borderId="0" xfId="0" applyNumberFormat="1" applyFont="1"/>
    <xf numFmtId="165" fontId="8" fillId="8" borderId="1" xfId="1" applyNumberFormat="1" applyFont="1" applyFill="1" applyBorder="1" applyAlignment="1">
      <alignment horizontal="right" vertical="center"/>
    </xf>
    <xf numFmtId="165" fontId="8" fillId="8" borderId="1" xfId="1" applyNumberFormat="1" applyFont="1" applyFill="1" applyBorder="1"/>
    <xf numFmtId="165" fontId="9" fillId="8" borderId="1" xfId="1" applyNumberFormat="1" applyFont="1" applyFill="1" applyBorder="1"/>
    <xf numFmtId="165" fontId="9" fillId="8" borderId="1" xfId="1" applyNumberFormat="1" applyFont="1" applyFill="1" applyBorder="1" applyAlignment="1">
      <alignment horizontal="right" vertical="center"/>
    </xf>
    <xf numFmtId="165" fontId="8" fillId="9" borderId="1" xfId="1" applyNumberFormat="1" applyFont="1" applyFill="1" applyBorder="1" applyAlignment="1">
      <alignment horizontal="right" vertical="center"/>
    </xf>
    <xf numFmtId="165" fontId="8" fillId="9" borderId="1" xfId="1" applyNumberFormat="1" applyFont="1" applyFill="1" applyBorder="1"/>
    <xf numFmtId="174" fontId="8" fillId="9" borderId="1" xfId="1" applyNumberFormat="1" applyFont="1" applyFill="1" applyBorder="1" applyAlignment="1">
      <alignment vertical="center"/>
    </xf>
    <xf numFmtId="0" fontId="8" fillId="9" borderId="1" xfId="0" applyFont="1" applyFill="1" applyBorder="1" applyAlignment="1">
      <alignment vertical="center"/>
    </xf>
    <xf numFmtId="0" fontId="8" fillId="9" borderId="1" xfId="0" applyFont="1" applyFill="1" applyBorder="1" applyAlignment="1">
      <alignment horizontal="right" vertical="center"/>
    </xf>
    <xf numFmtId="174" fontId="8" fillId="9" borderId="5" xfId="1" applyNumberFormat="1" applyFont="1" applyFill="1" applyBorder="1" applyAlignment="1">
      <alignment vertical="center"/>
    </xf>
    <xf numFmtId="3" fontId="8" fillId="9" borderId="1" xfId="0" applyNumberFormat="1" applyFont="1" applyFill="1" applyBorder="1" applyAlignment="1">
      <alignment vertical="center" wrapText="1"/>
    </xf>
    <xf numFmtId="4" fontId="8" fillId="9" borderId="1" xfId="0" applyNumberFormat="1" applyFont="1" applyFill="1" applyBorder="1" applyAlignment="1">
      <alignment vertical="center" wrapText="1"/>
    </xf>
    <xf numFmtId="170" fontId="8" fillId="9" borderId="1" xfId="0" applyNumberFormat="1" applyFont="1" applyFill="1" applyBorder="1" applyAlignment="1">
      <alignment vertical="center" wrapText="1"/>
    </xf>
    <xf numFmtId="175" fontId="8" fillId="9" borderId="1" xfId="1" applyNumberFormat="1" applyFont="1" applyFill="1" applyBorder="1" applyAlignment="1">
      <alignment vertical="center" wrapText="1"/>
    </xf>
    <xf numFmtId="0" fontId="8" fillId="8" borderId="1" xfId="0" applyFont="1" applyFill="1" applyBorder="1" applyAlignment="1">
      <alignment horizontal="right" vertical="center"/>
    </xf>
    <xf numFmtId="174" fontId="8" fillId="8" borderId="5" xfId="1" applyNumberFormat="1" applyFont="1" applyFill="1" applyBorder="1" applyAlignment="1">
      <alignment vertical="center"/>
    </xf>
    <xf numFmtId="174" fontId="8" fillId="8" borderId="1" xfId="1" applyNumberFormat="1" applyFont="1" applyFill="1" applyBorder="1" applyAlignment="1">
      <alignment vertical="center"/>
    </xf>
    <xf numFmtId="3" fontId="8" fillId="8" borderId="1" xfId="0" applyNumberFormat="1" applyFont="1" applyFill="1" applyBorder="1" applyAlignment="1">
      <alignment vertical="center" wrapText="1"/>
    </xf>
    <xf numFmtId="4" fontId="8" fillId="8" borderId="1" xfId="0" applyNumberFormat="1" applyFont="1" applyFill="1" applyBorder="1" applyAlignment="1">
      <alignment vertical="center" wrapText="1"/>
    </xf>
    <xf numFmtId="170" fontId="8" fillId="8" borderId="1" xfId="0" applyNumberFormat="1" applyFont="1" applyFill="1" applyBorder="1" applyAlignment="1">
      <alignment vertical="center" wrapText="1"/>
    </xf>
    <xf numFmtId="175" fontId="8" fillId="8" borderId="1" xfId="1" applyNumberFormat="1" applyFont="1" applyFill="1" applyBorder="1" applyAlignment="1">
      <alignment vertical="center" wrapText="1"/>
    </xf>
    <xf numFmtId="175" fontId="8" fillId="0" borderId="0" xfId="0" applyNumberFormat="1" applyFont="1"/>
    <xf numFmtId="0" fontId="7" fillId="7"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175" fontId="8" fillId="7" borderId="1" xfId="1" applyNumberFormat="1" applyFont="1" applyFill="1" applyBorder="1"/>
    <xf numFmtId="0" fontId="9" fillId="3" borderId="3" xfId="0" applyFont="1" applyFill="1" applyBorder="1" applyAlignment="1">
      <alignment horizontal="centerContinuous" vertical="center"/>
    </xf>
    <xf numFmtId="0" fontId="9" fillId="7" borderId="3" xfId="0" applyFont="1" applyFill="1" applyBorder="1" applyAlignment="1">
      <alignment horizontal="centerContinuous" vertical="center"/>
    </xf>
    <xf numFmtId="0" fontId="9" fillId="10" borderId="3" xfId="0" applyFont="1" applyFill="1" applyBorder="1" applyAlignment="1">
      <alignment horizontal="centerContinuous" vertical="center"/>
    </xf>
    <xf numFmtId="0" fontId="8" fillId="0" borderId="0" xfId="0" applyFont="1" applyFill="1" applyAlignment="1">
      <alignment horizontal="centerContinuous" vertical="center"/>
    </xf>
    <xf numFmtId="0" fontId="8" fillId="0" borderId="0" xfId="0" applyFont="1" applyFill="1" applyAlignment="1">
      <alignment horizontal="centerContinuous"/>
    </xf>
    <xf numFmtId="0" fontId="9" fillId="10" borderId="3" xfId="0" applyFont="1" applyFill="1" applyBorder="1" applyAlignment="1">
      <alignment horizontal="centerContinuous" vertical="center" wrapText="1"/>
    </xf>
    <xf numFmtId="0" fontId="20" fillId="0" borderId="0" xfId="0" applyFont="1"/>
    <xf numFmtId="0" fontId="8" fillId="2" borderId="1" xfId="0" applyFont="1" applyFill="1" applyBorder="1" applyAlignment="1">
      <alignment vertical="center"/>
    </xf>
    <xf numFmtId="0" fontId="14" fillId="0" borderId="0" xfId="0" applyFont="1" applyFill="1" applyBorder="1" applyAlignment="1">
      <alignment horizontal="center"/>
    </xf>
    <xf numFmtId="0" fontId="8" fillId="6" borderId="1" xfId="0" applyFont="1" applyFill="1" applyBorder="1" applyAlignment="1">
      <alignment horizontal="center" vertical="center" wrapText="1"/>
    </xf>
    <xf numFmtId="0" fontId="14" fillId="0" borderId="1" xfId="0" applyFont="1" applyFill="1" applyBorder="1" applyAlignment="1">
      <alignment horizontal="centerContinuous"/>
    </xf>
    <xf numFmtId="0" fontId="0" fillId="0" borderId="1" xfId="0" applyBorder="1" applyAlignment="1">
      <alignment horizontal="centerContinuous" vertical="center"/>
    </xf>
    <xf numFmtId="0" fontId="0" fillId="0" borderId="1" xfId="0" applyBorder="1" applyAlignment="1">
      <alignment horizontal="centerContinuous" vertical="center" wrapText="1"/>
    </xf>
    <xf numFmtId="0" fontId="8" fillId="11" borderId="1" xfId="0" applyFont="1" applyFill="1" applyBorder="1" applyAlignment="1">
      <alignment vertical="center" wrapText="1"/>
    </xf>
    <xf numFmtId="0" fontId="8" fillId="9" borderId="1" xfId="0" applyFont="1" applyFill="1" applyBorder="1" applyAlignment="1">
      <alignment vertical="center" wrapText="1"/>
    </xf>
    <xf numFmtId="0" fontId="0" fillId="0" borderId="0" xfId="0" applyFill="1" applyBorder="1" applyAlignment="1">
      <alignment horizontal="center"/>
    </xf>
    <xf numFmtId="0" fontId="14" fillId="0" borderId="0" xfId="0" applyFont="1" applyFill="1" applyBorder="1" applyAlignment="1"/>
    <xf numFmtId="2" fontId="4" fillId="0" borderId="0" xfId="0" applyNumberFormat="1" applyFont="1"/>
    <xf numFmtId="0" fontId="4" fillId="0" borderId="0" xfId="0" applyFont="1" applyBorder="1"/>
    <xf numFmtId="178" fontId="4" fillId="0" borderId="0" xfId="0" applyNumberFormat="1" applyFont="1" applyBorder="1" applyAlignment="1">
      <alignment vertical="center"/>
    </xf>
    <xf numFmtId="0" fontId="9" fillId="0" borderId="0" xfId="0" applyFont="1" applyBorder="1"/>
    <xf numFmtId="175" fontId="9" fillId="0" borderId="0" xfId="0" applyNumberFormat="1" applyFont="1" applyBorder="1"/>
    <xf numFmtId="172" fontId="9" fillId="0" borderId="0" xfId="2" applyNumberFormat="1" applyFont="1" applyBorder="1"/>
    <xf numFmtId="175" fontId="8" fillId="0" borderId="0" xfId="1" applyNumberFormat="1" applyFont="1" applyFill="1" applyBorder="1"/>
    <xf numFmtId="175" fontId="9" fillId="0" borderId="0" xfId="0" applyNumberFormat="1" applyFont="1" applyFill="1" applyBorder="1"/>
    <xf numFmtId="172" fontId="9" fillId="0" borderId="0" xfId="2" applyNumberFormat="1" applyFont="1" applyFill="1" applyBorder="1"/>
    <xf numFmtId="0" fontId="9" fillId="0" borderId="2" xfId="0" applyFont="1" applyBorder="1" applyAlignment="1">
      <alignment horizontal="centerContinuous" vertical="center"/>
    </xf>
    <xf numFmtId="0" fontId="9" fillId="0" borderId="5" xfId="0" applyFont="1" applyBorder="1" applyAlignment="1">
      <alignment horizontal="centerContinuous" vertical="center"/>
    </xf>
    <xf numFmtId="0" fontId="9" fillId="0" borderId="1" xfId="0" applyFont="1" applyBorder="1" applyAlignment="1">
      <alignment horizontal="centerContinuous" vertical="center"/>
    </xf>
    <xf numFmtId="0" fontId="9" fillId="0" borderId="2" xfId="0" applyFont="1" applyBorder="1" applyAlignment="1">
      <alignment horizontal="centerContinuous" vertical="center" wrapText="1"/>
    </xf>
    <xf numFmtId="0" fontId="22" fillId="4" borderId="0" xfId="3" applyFont="1" applyFill="1"/>
    <xf numFmtId="0" fontId="0" fillId="4" borderId="0" xfId="0" applyFill="1"/>
    <xf numFmtId="0" fontId="23" fillId="4" borderId="0" xfId="3" applyFont="1" applyFill="1"/>
    <xf numFmtId="0" fontId="0" fillId="4" borderId="0" xfId="0" applyFill="1" applyBorder="1"/>
    <xf numFmtId="0" fontId="23" fillId="0" borderId="0" xfId="3" applyFont="1" applyBorder="1"/>
    <xf numFmtId="0" fontId="0" fillId="4" borderId="0" xfId="0" applyFill="1" applyBorder="1" applyAlignment="1">
      <alignment vertical="center" wrapText="1"/>
    </xf>
    <xf numFmtId="0" fontId="0" fillId="0" borderId="1" xfId="0" applyBorder="1" applyAlignment="1">
      <alignment horizontal="left" vertical="center"/>
    </xf>
    <xf numFmtId="0" fontId="18" fillId="0" borderId="0" xfId="0" applyFont="1" applyAlignment="1">
      <alignment vertical="center" wrapText="1"/>
    </xf>
    <xf numFmtId="0" fontId="8" fillId="0" borderId="1" xfId="0" applyFont="1" applyFill="1" applyBorder="1" applyAlignment="1">
      <alignment vertical="center" wrapText="1"/>
    </xf>
    <xf numFmtId="172" fontId="8" fillId="0" borderId="1" xfId="0" applyNumberFormat="1" applyFont="1" applyFill="1" applyBorder="1" applyAlignment="1">
      <alignment vertical="center"/>
    </xf>
    <xf numFmtId="0" fontId="9" fillId="7" borderId="1" xfId="0" applyFont="1" applyFill="1" applyBorder="1" applyAlignment="1">
      <alignment horizontal="centerContinuous" vertical="center"/>
    </xf>
    <xf numFmtId="0" fontId="9" fillId="7" borderId="2" xfId="0" applyFont="1" applyFill="1" applyBorder="1" applyAlignment="1">
      <alignment horizontal="centerContinuous" vertical="center" wrapText="1"/>
    </xf>
    <xf numFmtId="0" fontId="9" fillId="7" borderId="5" xfId="0" applyFont="1" applyFill="1" applyBorder="1" applyAlignment="1">
      <alignment horizontal="centerContinuous" vertical="center"/>
    </xf>
    <xf numFmtId="0" fontId="8" fillId="0" borderId="1" xfId="0" applyFont="1" applyBorder="1" applyAlignment="1">
      <alignment horizontal="centerContinuous" vertical="center"/>
    </xf>
    <xf numFmtId="0" fontId="8" fillId="0" borderId="1" xfId="0" applyFont="1" applyBorder="1" applyAlignment="1">
      <alignment vertical="center"/>
    </xf>
    <xf numFmtId="172" fontId="8" fillId="0" borderId="1" xfId="2" applyNumberFormat="1" applyFont="1" applyBorder="1" applyAlignment="1">
      <alignment vertical="center"/>
    </xf>
    <xf numFmtId="0" fontId="9" fillId="0" borderId="1" xfId="0" applyFont="1" applyBorder="1" applyAlignment="1">
      <alignment vertical="center"/>
    </xf>
    <xf numFmtId="175" fontId="9" fillId="0" borderId="1" xfId="0" applyNumberFormat="1" applyFont="1" applyBorder="1" applyAlignment="1">
      <alignment vertical="center"/>
    </xf>
    <xf numFmtId="172" fontId="9" fillId="0" borderId="1" xfId="2" applyNumberFormat="1" applyFont="1" applyBorder="1" applyAlignment="1">
      <alignment vertical="center"/>
    </xf>
    <xf numFmtId="0" fontId="9" fillId="0" borderId="0" xfId="0" applyFont="1" applyFill="1" applyBorder="1" applyAlignment="1">
      <alignment horizontal="centerContinuous" vertical="center"/>
    </xf>
    <xf numFmtId="175" fontId="8" fillId="0" borderId="0" xfId="1" applyNumberFormat="1" applyFont="1" applyFill="1" applyBorder="1" applyAlignment="1">
      <alignment vertical="center"/>
    </xf>
    <xf numFmtId="179" fontId="8" fillId="0" borderId="0" xfId="1" applyNumberFormat="1" applyFont="1" applyFill="1" applyBorder="1" applyAlignment="1">
      <alignment vertical="center"/>
    </xf>
    <xf numFmtId="175" fontId="8" fillId="0" borderId="1" xfId="0" applyNumberFormat="1" applyFont="1" applyBorder="1" applyAlignment="1">
      <alignment vertical="center"/>
    </xf>
    <xf numFmtId="0" fontId="21" fillId="12" borderId="0" xfId="0" applyFont="1" applyFill="1" applyAlignment="1">
      <alignment vertical="center"/>
    </xf>
    <xf numFmtId="0" fontId="8" fillId="12" borderId="0" xfId="0" applyFont="1" applyFill="1" applyAlignment="1">
      <alignment vertical="center"/>
    </xf>
    <xf numFmtId="0" fontId="9" fillId="7" borderId="2" xfId="0" applyFont="1" applyFill="1" applyBorder="1" applyAlignment="1">
      <alignment horizontal="centerContinuous" vertical="center"/>
    </xf>
    <xf numFmtId="0" fontId="8" fillId="7" borderId="1" xfId="0" applyFont="1" applyFill="1" applyBorder="1" applyAlignment="1">
      <alignment horizontal="centerContinuous" vertical="center"/>
    </xf>
    <xf numFmtId="0" fontId="9" fillId="7" borderId="5" xfId="0" applyFont="1" applyFill="1" applyBorder="1" applyAlignment="1">
      <alignment horizontal="centerContinuous" vertical="center" wrapText="1"/>
    </xf>
    <xf numFmtId="0" fontId="9" fillId="7" borderId="1" xfId="0" applyFont="1" applyFill="1" applyBorder="1" applyAlignment="1">
      <alignment horizontal="centerContinuous" vertical="center" wrapText="1"/>
    </xf>
    <xf numFmtId="0" fontId="9" fillId="0" borderId="1" xfId="0" applyFont="1" applyBorder="1" applyAlignment="1">
      <alignment horizontal="centerContinuous" vertical="center" wrapText="1"/>
    </xf>
    <xf numFmtId="0" fontId="9" fillId="0" borderId="5" xfId="0" applyFont="1" applyBorder="1" applyAlignment="1">
      <alignment horizontal="centerContinuous" vertical="center" wrapText="1"/>
    </xf>
    <xf numFmtId="176" fontId="8" fillId="0" borderId="0" xfId="0" applyNumberFormat="1" applyFont="1" applyFill="1" applyBorder="1" applyAlignment="1">
      <alignment horizontal="center" vertical="center" wrapText="1"/>
    </xf>
    <xf numFmtId="180" fontId="8" fillId="0" borderId="0" xfId="0" applyNumberFormat="1" applyFont="1" applyFill="1" applyBorder="1" applyAlignment="1">
      <alignment horizontal="center" vertical="center" wrapText="1"/>
    </xf>
    <xf numFmtId="0" fontId="16" fillId="0" borderId="0" xfId="0" applyFont="1" applyAlignment="1">
      <alignment vertical="center"/>
    </xf>
    <xf numFmtId="0" fontId="16" fillId="0" borderId="1" xfId="0" applyFont="1" applyBorder="1" applyAlignment="1">
      <alignment vertical="center" wrapText="1"/>
    </xf>
    <xf numFmtId="0" fontId="8" fillId="0" borderId="1" xfId="0" applyFont="1" applyBorder="1" applyAlignment="1">
      <alignment horizontal="right" vertical="center"/>
    </xf>
    <xf numFmtId="2" fontId="8" fillId="0" borderId="1" xfId="0" applyNumberFormat="1" applyFont="1" applyBorder="1" applyAlignment="1">
      <alignment vertical="center"/>
    </xf>
    <xf numFmtId="0" fontId="0" fillId="0" borderId="0" xfId="0" applyAlignment="1">
      <alignment vertical="center"/>
    </xf>
    <xf numFmtId="0" fontId="24" fillId="13" borderId="1" xfId="0" applyFont="1" applyFill="1" applyBorder="1" applyAlignment="1">
      <alignment horizontal="center" vertical="center" wrapText="1"/>
    </xf>
    <xf numFmtId="175" fontId="8" fillId="0" borderId="0" xfId="0" applyNumberFormat="1" applyFont="1" applyAlignment="1">
      <alignment vertical="center"/>
    </xf>
    <xf numFmtId="174" fontId="8" fillId="0" borderId="0" xfId="0" applyNumberFormat="1" applyFont="1"/>
    <xf numFmtId="0" fontId="8" fillId="0" borderId="1" xfId="0" applyFont="1" applyBorder="1" applyAlignment="1">
      <alignment horizontal="centerContinuous" vertical="center" wrapText="1"/>
    </xf>
    <xf numFmtId="175" fontId="8" fillId="14" borderId="1" xfId="1" applyNumberFormat="1" applyFont="1" applyFill="1" applyBorder="1" applyAlignment="1">
      <alignment vertical="center"/>
    </xf>
    <xf numFmtId="175" fontId="9" fillId="14" borderId="1" xfId="0" applyNumberFormat="1" applyFont="1" applyFill="1" applyBorder="1" applyAlignment="1">
      <alignment vertical="center"/>
    </xf>
    <xf numFmtId="0" fontId="8" fillId="14" borderId="1" xfId="0" applyFont="1" applyFill="1" applyBorder="1" applyAlignment="1">
      <alignment horizontal="center" vertical="center" wrapText="1"/>
    </xf>
    <xf numFmtId="0" fontId="16" fillId="0" borderId="0" xfId="0" applyFont="1" applyFill="1" applyBorder="1" applyAlignment="1">
      <alignment vertical="center"/>
    </xf>
    <xf numFmtId="0" fontId="8" fillId="0" borderId="0" xfId="0" applyFont="1" applyFill="1" applyBorder="1" applyAlignment="1">
      <alignment horizontal="center" wrapText="1"/>
    </xf>
    <xf numFmtId="175" fontId="9" fillId="0" borderId="1" xfId="1" applyNumberFormat="1" applyFont="1" applyBorder="1" applyAlignment="1">
      <alignment vertical="center"/>
    </xf>
    <xf numFmtId="0" fontId="20" fillId="0" borderId="0" xfId="0" applyFont="1" applyFill="1"/>
    <xf numFmtId="0" fontId="20" fillId="0" borderId="7" xfId="0" applyFont="1" applyFill="1" applyBorder="1" applyAlignment="1">
      <alignment horizontal="center" wrapText="1"/>
    </xf>
    <xf numFmtId="2" fontId="0" fillId="0" borderId="0" xfId="0" applyNumberFormat="1" applyFill="1"/>
    <xf numFmtId="0" fontId="0" fillId="0" borderId="0" xfId="0" applyFont="1" applyFill="1"/>
    <xf numFmtId="0" fontId="26" fillId="0" borderId="0" xfId="0" applyFont="1"/>
    <xf numFmtId="0" fontId="8" fillId="3" borderId="4" xfId="0" applyFont="1" applyFill="1" applyBorder="1" applyAlignment="1">
      <alignment vertical="center"/>
    </xf>
    <xf numFmtId="0" fontId="8" fillId="3" borderId="5" xfId="0" applyFont="1" applyFill="1" applyBorder="1" applyAlignment="1">
      <alignment vertical="center"/>
    </xf>
    <xf numFmtId="175" fontId="19" fillId="3" borderId="1" xfId="0" applyNumberFormat="1" applyFont="1" applyFill="1" applyBorder="1" applyAlignment="1">
      <alignment horizontal="left" vertical="center"/>
    </xf>
    <xf numFmtId="175" fontId="19" fillId="3" borderId="4" xfId="0" applyNumberFormat="1" applyFont="1" applyFill="1" applyBorder="1" applyAlignment="1">
      <alignment horizontal="left" vertical="center"/>
    </xf>
    <xf numFmtId="0" fontId="16" fillId="3" borderId="4" xfId="0" applyFont="1" applyFill="1" applyBorder="1" applyAlignment="1">
      <alignment vertical="center" wrapText="1"/>
    </xf>
    <xf numFmtId="0" fontId="16" fillId="3" borderId="5" xfId="0" applyFont="1" applyFill="1" applyBorder="1" applyAlignment="1">
      <alignment vertical="center" wrapText="1"/>
    </xf>
    <xf numFmtId="175" fontId="19" fillId="3" borderId="1" xfId="1" applyNumberFormat="1" applyFont="1" applyFill="1" applyBorder="1" applyAlignment="1">
      <alignment horizontal="left" vertical="center"/>
    </xf>
    <xf numFmtId="175" fontId="19" fillId="3" borderId="1" xfId="0" applyNumberFormat="1" applyFont="1" applyFill="1" applyBorder="1" applyAlignment="1">
      <alignment horizontal="center" vertical="center" wrapText="1"/>
    </xf>
    <xf numFmtId="2" fontId="19" fillId="3" borderId="1" xfId="0" applyNumberFormat="1" applyFont="1" applyFill="1" applyBorder="1" applyAlignment="1">
      <alignment horizontal="center" vertical="center"/>
    </xf>
    <xf numFmtId="175" fontId="19" fillId="3" borderId="4" xfId="0" applyNumberFormat="1" applyFont="1" applyFill="1" applyBorder="1" applyAlignment="1">
      <alignment vertical="center"/>
    </xf>
    <xf numFmtId="175" fontId="8" fillId="3" borderId="4" xfId="0" applyNumberFormat="1" applyFont="1" applyFill="1" applyBorder="1" applyAlignment="1">
      <alignment vertical="center"/>
    </xf>
    <xf numFmtId="0" fontId="19" fillId="3" borderId="4" xfId="0" applyFont="1" applyFill="1" applyBorder="1" applyAlignment="1">
      <alignment vertical="center"/>
    </xf>
    <xf numFmtId="4" fontId="19" fillId="3" borderId="1" xfId="0" applyNumberFormat="1" applyFont="1" applyFill="1" applyBorder="1" applyAlignment="1">
      <alignment horizontal="left" vertical="center"/>
    </xf>
    <xf numFmtId="49" fontId="19" fillId="3" borderId="4" xfId="0" applyNumberFormat="1" applyFont="1" applyFill="1" applyBorder="1" applyAlignment="1">
      <alignment horizontal="left" vertical="center"/>
    </xf>
    <xf numFmtId="0" fontId="0" fillId="15" borderId="8" xfId="0" applyFill="1" applyBorder="1" applyAlignment="1">
      <alignment horizontal="left" vertical="center" wrapText="1"/>
    </xf>
    <xf numFmtId="0" fontId="0" fillId="15" borderId="9" xfId="0" applyFill="1" applyBorder="1" applyAlignment="1">
      <alignment horizontal="left" vertical="center" wrapText="1"/>
    </xf>
    <xf numFmtId="0" fontId="0" fillId="15" borderId="10" xfId="0" applyFill="1" applyBorder="1" applyAlignment="1">
      <alignment horizontal="left" vertical="center" wrapText="1"/>
    </xf>
    <xf numFmtId="0" fontId="0" fillId="15" borderId="11" xfId="0" applyFill="1" applyBorder="1" applyAlignment="1">
      <alignment horizontal="left" vertical="center" wrapText="1"/>
    </xf>
    <xf numFmtId="0" fontId="0" fillId="15" borderId="12" xfId="0" applyFill="1" applyBorder="1" applyAlignment="1">
      <alignment horizontal="left" vertical="center" wrapText="1"/>
    </xf>
    <xf numFmtId="0" fontId="0" fillId="15" borderId="13" xfId="0" applyFill="1" applyBorder="1" applyAlignment="1">
      <alignment horizontal="left" vertical="center" wrapText="1"/>
    </xf>
    <xf numFmtId="0" fontId="8" fillId="3" borderId="1" xfId="0" applyFont="1" applyFill="1" applyBorder="1" applyAlignment="1">
      <alignment horizontal="left" vertical="center" wrapText="1"/>
    </xf>
    <xf numFmtId="0" fontId="7" fillId="3" borderId="1" xfId="0" applyFont="1" applyFill="1" applyBorder="1" applyAlignment="1">
      <alignment horizontal="left" vertical="center" wrapText="1"/>
    </xf>
    <xf numFmtId="0" fontId="16" fillId="3" borderId="6" xfId="0" applyFont="1" applyFill="1" applyBorder="1" applyAlignment="1">
      <alignment horizontal="left" vertical="center" wrapText="1"/>
    </xf>
    <xf numFmtId="0" fontId="16" fillId="3" borderId="14" xfId="0" applyFont="1" applyFill="1" applyBorder="1" applyAlignment="1">
      <alignment horizontal="left" vertical="center" wrapText="1"/>
    </xf>
    <xf numFmtId="0" fontId="16" fillId="3" borderId="15" xfId="0" applyFont="1" applyFill="1" applyBorder="1" applyAlignment="1">
      <alignment horizontal="left" vertical="center" wrapText="1"/>
    </xf>
    <xf numFmtId="0" fontId="16" fillId="3" borderId="16" xfId="0" applyFont="1" applyFill="1" applyBorder="1" applyAlignment="1">
      <alignment horizontal="left" vertical="center" wrapText="1"/>
    </xf>
    <xf numFmtId="0" fontId="16" fillId="3" borderId="17" xfId="0" applyFont="1" applyFill="1" applyBorder="1" applyAlignment="1">
      <alignment horizontal="left" vertical="center" wrapText="1"/>
    </xf>
    <xf numFmtId="0" fontId="16" fillId="3" borderId="18" xfId="0" applyFont="1" applyFill="1" applyBorder="1" applyAlignment="1">
      <alignment horizontal="left" vertical="center" wrapText="1"/>
    </xf>
    <xf numFmtId="0" fontId="8" fillId="0" borderId="0" xfId="0" applyFont="1" applyFill="1" applyBorder="1" applyAlignment="1">
      <alignment horizontal="center" wrapText="1"/>
    </xf>
  </cellXfs>
  <cellStyles count="13">
    <cellStyle name="Comma" xfId="1" builtinId="3"/>
    <cellStyle name="Comma 2" xfId="9"/>
    <cellStyle name="Comma 3" xfId="11"/>
    <cellStyle name="Normal" xfId="0" builtinId="0"/>
    <cellStyle name="Normal 12" xfId="8"/>
    <cellStyle name="Normal 2" xfId="3"/>
    <cellStyle name="Normal 2 2" xfId="5"/>
    <cellStyle name="Normal 2 3" xfId="10"/>
    <cellStyle name="Normal 2 4" xfId="12"/>
    <cellStyle name="Normal 20" xfId="4"/>
    <cellStyle name="Normal 7 5" xfId="6"/>
    <cellStyle name="Normal 7 7" xfId="7"/>
    <cellStyle name="Percent" xfId="2" builtinId="5"/>
  </cellStyles>
  <dxfs count="13">
    <dxf>
      <font>
        <color rgb="FF006100"/>
      </font>
      <fill>
        <patternFill>
          <bgColor rgb="FFC6EFCE"/>
        </patternFill>
      </fill>
    </dxf>
    <dxf>
      <font>
        <color rgb="FF00B050"/>
      </font>
      <fill>
        <patternFill>
          <bgColor rgb="FFCCFFCC"/>
        </patternFill>
      </fill>
    </dxf>
    <dxf>
      <font>
        <color rgb="FFFF0000"/>
      </font>
      <fill>
        <patternFill>
          <bgColor theme="9" tint="0.79998168889431442"/>
        </patternFill>
      </fill>
    </dxf>
    <dxf>
      <fill>
        <patternFill>
          <bgColor theme="0" tint="-0.14996795556505021"/>
        </patternFill>
      </fill>
    </dxf>
    <dxf>
      <fill>
        <patternFill>
          <bgColor theme="0" tint="-0.14996795556505021"/>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s>
  <tableStyles count="0" defaultTableStyle="TableStyleMedium2" defaultPivotStyle="PivotStyleLight16"/>
  <colors>
    <mruColors>
      <color rgb="FFCCFFCC"/>
      <color rgb="FFFF5050"/>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47</xdr:row>
      <xdr:rowOff>66675</xdr:rowOff>
    </xdr:from>
    <xdr:to>
      <xdr:col>8</xdr:col>
      <xdr:colOff>203989</xdr:colOff>
      <xdr:row>50</xdr:row>
      <xdr:rowOff>28575</xdr:rowOff>
    </xdr:to>
    <xdr:sp macro="" textlink="">
      <xdr:nvSpPr>
        <xdr:cNvPr id="3" name="TextBox 5"/>
        <xdr:cNvSpPr txBox="1"/>
      </xdr:nvSpPr>
      <xdr:spPr>
        <a:xfrm>
          <a:off x="333375" y="13601700"/>
          <a:ext cx="11510164" cy="476250"/>
        </a:xfrm>
        <a:prstGeom prst="rect">
          <a:avLst/>
        </a:prstGeom>
        <a:noFill/>
        <a:ln>
          <a:solidFill>
            <a:schemeClr val="tx1"/>
          </a:solidFill>
          <a:prstDash val="sysDot"/>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1200"/>
            <a:t>The diagram above is a simplified process model to indicate the relationship between the various feeder models and data sources we use to assess wholesale and retail expenditure cost efficiency models.  We provide a detailed process map in ‘PR19 price setting models map - slow track draft determinations’</a:t>
          </a:r>
          <a:r>
            <a:rPr lang="en-GB" sz="1200" b="1"/>
            <a:t>. </a:t>
          </a:r>
        </a:p>
        <a:p>
          <a:endParaRPr lang="en-GB"/>
        </a:p>
      </xdr:txBody>
    </xdr:sp>
    <xdr:clientData/>
  </xdr:twoCellAnchor>
  <xdr:twoCellAnchor>
    <xdr:from>
      <xdr:col>1</xdr:col>
      <xdr:colOff>19050</xdr:colOff>
      <xdr:row>52</xdr:row>
      <xdr:rowOff>9525</xdr:rowOff>
    </xdr:from>
    <xdr:to>
      <xdr:col>1</xdr:col>
      <xdr:colOff>2689098</xdr:colOff>
      <xdr:row>53</xdr:row>
      <xdr:rowOff>112395</xdr:rowOff>
    </xdr:to>
    <xdr:sp macro="" textlink="">
      <xdr:nvSpPr>
        <xdr:cNvPr id="4" name="Rectangle 3"/>
        <xdr:cNvSpPr/>
      </xdr:nvSpPr>
      <xdr:spPr>
        <a:xfrm>
          <a:off x="333375" y="14401800"/>
          <a:ext cx="2670048" cy="274320"/>
        </a:xfrm>
        <a:prstGeom prst="rect">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200">
              <a:solidFill>
                <a:schemeClr val="tx1"/>
              </a:solidFill>
            </a:rPr>
            <a:t>Model presented in the current file</a:t>
          </a:r>
        </a:p>
      </xdr:txBody>
    </xdr:sp>
    <xdr:clientData/>
  </xdr:twoCellAnchor>
  <xdr:twoCellAnchor>
    <xdr:from>
      <xdr:col>1</xdr:col>
      <xdr:colOff>0</xdr:colOff>
      <xdr:row>56</xdr:row>
      <xdr:rowOff>0</xdr:rowOff>
    </xdr:from>
    <xdr:to>
      <xdr:col>1</xdr:col>
      <xdr:colOff>4769115</xdr:colOff>
      <xdr:row>65</xdr:row>
      <xdr:rowOff>47625</xdr:rowOff>
    </xdr:to>
    <xdr:sp macro="" textlink="">
      <xdr:nvSpPr>
        <xdr:cNvPr id="5" name="Content Placeholder 2"/>
        <xdr:cNvSpPr txBox="1">
          <a:spLocks/>
        </xdr:cNvSpPr>
      </xdr:nvSpPr>
      <xdr:spPr>
        <a:xfrm>
          <a:off x="314325" y="15078075"/>
          <a:ext cx="4769115" cy="1590675"/>
        </a:xfrm>
        <a:prstGeom prst="rect">
          <a:avLst/>
        </a:prstGeom>
        <a:ln>
          <a:solidFill>
            <a:schemeClr val="tx1"/>
          </a:solidFill>
        </a:ln>
      </xdr:spPr>
      <xdr:txBody>
        <a:bodyPr vert="horz" wrap="square" lIns="91440" tIns="45720" rIns="91440" bIns="45720" rtlCol="0">
          <a:normAutofit fontScale="92500" lnSpcReduction="10000"/>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buNone/>
          </a:pPr>
          <a:r>
            <a:rPr lang="en-GB" sz="1200" b="1" u="sng"/>
            <a:t>Key:</a:t>
          </a:r>
        </a:p>
        <a:p>
          <a:pPr marL="0" indent="0">
            <a:buNone/>
          </a:pPr>
          <a:endParaRPr lang="en-GB" sz="1200"/>
        </a:p>
        <a:p>
          <a:pPr marL="0" indent="0">
            <a:buNone/>
          </a:pPr>
          <a:r>
            <a:rPr lang="en-GB" sz="1200"/>
            <a:t>FM = Feeder model</a:t>
          </a:r>
          <a:endParaRPr lang="en-GB" sz="1400"/>
        </a:p>
        <a:p>
          <a:pPr marL="0" indent="0">
            <a:buNone/>
          </a:pPr>
          <a:r>
            <a:rPr lang="en-GB" sz="1200"/>
            <a:t>CAC = Cost adjustment claim</a:t>
          </a:r>
          <a:endParaRPr lang="en-GB" sz="1400"/>
        </a:p>
        <a:p>
          <a:pPr marL="0" indent="0">
            <a:buNone/>
          </a:pPr>
          <a:r>
            <a:rPr lang="en-GB" sz="1200"/>
            <a:t>CPIH = Consumer Prices Index including owner occupiers’ housing costs </a:t>
          </a:r>
          <a:endParaRPr lang="en-GB" sz="1400"/>
        </a:p>
        <a:p>
          <a:pPr marL="0" indent="0">
            <a:buNone/>
          </a:pPr>
          <a:r>
            <a:rPr lang="en-GB" sz="1200"/>
            <a:t>ONS = Office for National Statistics</a:t>
          </a:r>
          <a:endParaRPr lang="en-GB" sz="1400"/>
        </a:p>
        <a:p>
          <a:pPr marL="0" indent="0">
            <a:buNone/>
          </a:pPr>
          <a:r>
            <a:rPr lang="en-GB" sz="1200"/>
            <a:t>MHCLG = Ministry of Housing, Communities and Local Government </a:t>
          </a:r>
          <a:endParaRPr lang="en-GB" sz="1400"/>
        </a:p>
        <a:p>
          <a:pPr marL="0" indent="0">
            <a:buNone/>
          </a:pPr>
          <a:r>
            <a:rPr lang="en-GB" sz="1200"/>
            <a:t>HVT = Havant Thicket</a:t>
          </a:r>
          <a:endParaRPr lang="en-GB" sz="1400"/>
        </a:p>
        <a:p>
          <a:pPr marL="0" indent="0">
            <a:buNone/>
          </a:pPr>
          <a:r>
            <a:rPr lang="en-GB" sz="1200"/>
            <a:t>TTT = Thames Tideway</a:t>
          </a:r>
          <a:endParaRPr lang="en-GB" sz="1400"/>
        </a:p>
        <a:p>
          <a:pPr marL="0" indent="0">
            <a:buNone/>
          </a:pPr>
          <a:r>
            <a:rPr lang="en-GB" sz="1400"/>
            <a:t> </a:t>
          </a:r>
        </a:p>
      </xdr:txBody>
    </xdr:sp>
    <xdr:clientData/>
  </xdr:twoCellAnchor>
  <xdr:twoCellAnchor editAs="oneCell">
    <xdr:from>
      <xdr:col>1</xdr:col>
      <xdr:colOff>0</xdr:colOff>
      <xdr:row>8</xdr:row>
      <xdr:rowOff>0</xdr:rowOff>
    </xdr:from>
    <xdr:to>
      <xdr:col>7</xdr:col>
      <xdr:colOff>247650</xdr:colOff>
      <xdr:row>43</xdr:row>
      <xdr:rowOff>139303</xdr:rowOff>
    </xdr:to>
    <xdr:pic>
      <xdr:nvPicPr>
        <xdr:cNvPr id="2" name="Picture 1"/>
        <xdr:cNvPicPr>
          <a:picLocks noChangeAspect="1"/>
        </xdr:cNvPicPr>
      </xdr:nvPicPr>
      <xdr:blipFill>
        <a:blip xmlns:r="http://schemas.openxmlformats.org/officeDocument/2006/relationships" r:embed="rId1"/>
        <a:stretch>
          <a:fillRect/>
        </a:stretch>
      </xdr:blipFill>
      <xdr:spPr>
        <a:xfrm>
          <a:off x="314325" y="6848475"/>
          <a:ext cx="10915650" cy="614005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RAFT2\Rev03\Unified%20Allocations\Data\NewNeed\2003LIS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FPAEIG\RPA%204\All%20Key%20Docs\Dispo\Waterfall0708\Data\&#163;50m%20pro%20rata%20to%20PCT%202002_03%20allocation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mercl\RATES\YE%20Mar%2006\P12%20March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FPAEIG\RPA%204\Key%20Facts\2012_13\January%202013\201211070_Key%20data%20updated%2011%20January%20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FM\CFISSA%20-%20CFS%20-%20PSS\2008-09%20Central%20Programmes\DH&amp;ALB%20Finances\Cascade\Journals\08.09%20DHFC%20Spring%20Supply%20Adjustments%20-%20Additional%20Cascade%20Journal%20-%20146609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 val="Table_5_3_&amp;_5_4"/>
      <sheetName val="Table_5_8"/>
      <sheetName val="Change_Log"/>
      <sheetName val="Picklist_Ranges"/>
      <sheetName val="Headcount"/>
      <sheetName val="HC_Reporting_Categories"/>
      <sheetName val="Report"/>
      <sheetName val="Drop Down Options"/>
      <sheetName val="Instructions"/>
      <sheetName val="Lookups"/>
      <sheetName val="ATCCList"/>
      <sheetName val="CCG&amp;CSU CCList"/>
      <sheetName val="Key"/>
      <sheetName val="Fin Perf Ranking"/>
      <sheetName val="lookup"/>
      <sheetName val="LIST"/>
      <sheetName val="Summary"/>
      <sheetName val="APPENDIX N(ii)"/>
      <sheetName val="Theme mapping"/>
      <sheetName val="Sheet1"/>
      <sheetName val="themes"/>
      <sheetName val="PIVOT"/>
      <sheetName val="Month 2 data"/>
      <sheetName val="Month 3 Data"/>
      <sheetName val="Sheet4"/>
      <sheetName val="Sheet2"/>
      <sheetName val="DATA"/>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hly Rec"/>
      <sheetName val="Adjustments"/>
      <sheetName val="NDRJnl"/>
      <sheetName val="WCJnl"/>
      <sheetName val="Aln"/>
      <sheetName val="Ber"/>
      <sheetName val="Bly"/>
      <sheetName val="Bre"/>
      <sheetName val="Car"/>
      <sheetName val="C Mor"/>
      <sheetName val="Chelm"/>
      <sheetName val="Ch Le"/>
      <sheetName val="Colch"/>
      <sheetName val="Dar"/>
      <sheetName val="Der"/>
      <sheetName val="Dur"/>
      <sheetName val="Eas"/>
      <sheetName val="Eden"/>
      <sheetName val="G'head"/>
      <sheetName val="Ham"/>
      <sheetName val="H'pool"/>
      <sheetName val="New"/>
      <sheetName val="N Tyne"/>
      <sheetName val="Redbr"/>
      <sheetName val="Red Cl"/>
      <sheetName val="Rich"/>
      <sheetName val="Sedg"/>
      <sheetName val="Stock"/>
      <sheetName val="Sund"/>
      <sheetName val="Tees"/>
      <sheetName val="Tyne"/>
      <sheetName val="Wans"/>
      <sheetName val="Wav"/>
      <sheetName val="Wear"/>
      <sheetName val="Y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row r="53">
          <cell r="C53">
            <v>104.18173450159</v>
          </cell>
        </row>
      </sheetData>
      <sheetData sheetId="3"/>
      <sheetData sheetId="4"/>
      <sheetData sheetId="5"/>
      <sheetData sheetId="6">
        <row r="52">
          <cell r="O52">
            <v>2.1335702832163905E-2</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 val="Event 12 with ERO changes"/>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theme/theme1.xml><?xml version="1.0" encoding="utf-8"?>
<a:theme xmlns:a="http://schemas.openxmlformats.org/drawingml/2006/main" name="Ofwat 2015">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1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5" id="{36769190-06E5-4B0D-BBEE-F7C9DCFB7CF9}" vid="{68BE51FB-F913-4D5C-B764-6C8B1472EBF8}"/>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7"/>
  <sheetViews>
    <sheetView tabSelected="1" zoomScale="80" zoomScaleNormal="80" workbookViewId="0"/>
  </sheetViews>
  <sheetFormatPr defaultColWidth="8.625" defaultRowHeight="14.25" x14ac:dyDescent="0.2"/>
  <cols>
    <col min="1" max="1" width="4.125" style="169" customWidth="1"/>
    <col min="2" max="2" width="96.875" style="169" customWidth="1"/>
    <col min="3" max="8" width="8.625" style="169"/>
    <col min="9" max="9" width="13.125" style="169" customWidth="1"/>
    <col min="10" max="16384" width="8.625" style="169"/>
  </cols>
  <sheetData>
    <row r="1" spans="1:21" ht="18" x14ac:dyDescent="0.25">
      <c r="A1" s="168" t="s">
        <v>323</v>
      </c>
    </row>
    <row r="2" spans="1:21" s="171" customFormat="1" x14ac:dyDescent="0.2">
      <c r="A2" s="170" t="s">
        <v>324</v>
      </c>
    </row>
    <row r="3" spans="1:21" s="171" customFormat="1" x14ac:dyDescent="0.2">
      <c r="A3" s="172"/>
    </row>
    <row r="4" spans="1:21" s="171" customFormat="1" ht="19.5" customHeight="1" thickBot="1" x14ac:dyDescent="0.25"/>
    <row r="5" spans="1:21" s="171" customFormat="1" ht="409.6" customHeight="1" x14ac:dyDescent="0.2">
      <c r="B5" s="235" t="s">
        <v>411</v>
      </c>
      <c r="C5" s="236"/>
      <c r="D5" s="236"/>
      <c r="E5" s="236"/>
      <c r="F5" s="236"/>
      <c r="G5" s="236"/>
      <c r="H5" s="236"/>
      <c r="I5" s="236"/>
      <c r="J5" s="236"/>
      <c r="K5" s="236"/>
      <c r="L5" s="237"/>
      <c r="M5" s="173"/>
      <c r="N5" s="173"/>
      <c r="O5" s="173"/>
      <c r="P5" s="173"/>
      <c r="Q5" s="173"/>
      <c r="R5" s="173"/>
      <c r="S5" s="173"/>
      <c r="T5" s="173"/>
      <c r="U5" s="173"/>
    </row>
    <row r="6" spans="1:21" s="171" customFormat="1" ht="39" customHeight="1" thickBot="1" x14ac:dyDescent="0.25">
      <c r="B6" s="238"/>
      <c r="C6" s="239"/>
      <c r="D6" s="239"/>
      <c r="E6" s="239"/>
      <c r="F6" s="239"/>
      <c r="G6" s="239"/>
      <c r="H6" s="239"/>
      <c r="I6" s="239"/>
      <c r="J6" s="239"/>
      <c r="K6" s="239"/>
      <c r="L6" s="240"/>
    </row>
    <row r="7" spans="1:21" s="171" customFormat="1" x14ac:dyDescent="0.2"/>
  </sheetData>
  <mergeCells count="1">
    <mergeCell ref="B5:L6"/>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6"/>
  </sheetPr>
  <dimension ref="A1:AJ96"/>
  <sheetViews>
    <sheetView zoomScale="80" zoomScaleNormal="80" workbookViewId="0">
      <pane xSplit="2" ySplit="4" topLeftCell="C5" activePane="bottomRight" state="frozen"/>
      <selection pane="topRight" activeCell="C1" sqref="C1"/>
      <selection pane="bottomLeft" activeCell="A4" sqref="A4"/>
      <selection pane="bottomRight"/>
    </sheetView>
  </sheetViews>
  <sheetFormatPr defaultRowHeight="14.25" x14ac:dyDescent="0.2"/>
  <cols>
    <col min="2" max="2" width="11" customWidth="1"/>
    <col min="3" max="3" width="16" customWidth="1"/>
    <col min="4" max="4" width="11.125" customWidth="1"/>
    <col min="5" max="5" width="11.625" customWidth="1"/>
    <col min="6" max="13" width="10" customWidth="1"/>
    <col min="14" max="14" width="15" customWidth="1"/>
    <col min="15" max="15" width="13.125" customWidth="1"/>
    <col min="16" max="16" width="15" customWidth="1"/>
    <col min="17" max="17" width="12.125" customWidth="1"/>
    <col min="18" max="18" width="13.5" customWidth="1"/>
    <col min="19" max="19" width="13" customWidth="1"/>
    <col min="20" max="20" width="13.625" customWidth="1"/>
    <col min="21" max="28" width="15.625" customWidth="1"/>
    <col min="29" max="29" width="13.625" customWidth="1"/>
    <col min="30" max="30" width="14.625" customWidth="1"/>
    <col min="31" max="32" width="19.125" customWidth="1"/>
  </cols>
  <sheetData>
    <row r="1" spans="1:36" x14ac:dyDescent="0.2">
      <c r="A1" s="216"/>
      <c r="B1" s="217"/>
      <c r="E1" s="153"/>
      <c r="F1" s="153"/>
      <c r="G1" s="153"/>
      <c r="H1" s="153"/>
      <c r="I1" s="153"/>
      <c r="J1" s="153"/>
      <c r="K1" s="153"/>
      <c r="L1" s="153"/>
      <c r="M1" s="153"/>
      <c r="N1" s="154"/>
      <c r="O1" s="154"/>
      <c r="P1" s="154"/>
      <c r="Q1" s="154"/>
      <c r="R1" s="154"/>
      <c r="S1" s="154"/>
      <c r="T1" s="154"/>
      <c r="U1" s="154"/>
      <c r="V1" s="154"/>
      <c r="W1" s="154"/>
      <c r="X1" s="154"/>
      <c r="Y1" s="154"/>
      <c r="Z1" s="154"/>
      <c r="AA1" s="154"/>
      <c r="AB1" s="154"/>
      <c r="AC1" s="154"/>
      <c r="AD1" s="154"/>
      <c r="AE1" s="146"/>
      <c r="AF1" s="146"/>
    </row>
    <row r="2" spans="1:36" x14ac:dyDescent="0.2">
      <c r="A2" s="144"/>
      <c r="B2" s="144"/>
      <c r="E2" s="174" t="s">
        <v>265</v>
      </c>
      <c r="F2" s="149"/>
      <c r="G2" s="150"/>
      <c r="H2" s="149" t="s">
        <v>325</v>
      </c>
      <c r="I2" s="148"/>
      <c r="J2" s="148"/>
      <c r="K2" s="148"/>
      <c r="L2" s="148"/>
      <c r="M2" s="148"/>
      <c r="N2" s="148"/>
      <c r="O2" s="148"/>
      <c r="P2" s="148"/>
      <c r="Q2" s="174" t="s">
        <v>265</v>
      </c>
      <c r="R2" s="149"/>
      <c r="S2" s="150"/>
      <c r="T2" s="149" t="s">
        <v>325</v>
      </c>
      <c r="U2" s="148"/>
      <c r="V2" s="148"/>
      <c r="W2" s="148"/>
      <c r="X2" s="148"/>
      <c r="Y2" s="148"/>
      <c r="Z2" s="148"/>
      <c r="AA2" s="148"/>
      <c r="AB2" s="148"/>
      <c r="AC2" s="146"/>
      <c r="AD2" s="146"/>
      <c r="AE2" s="146"/>
      <c r="AF2" s="146"/>
      <c r="AG2" s="146"/>
      <c r="AH2" s="146"/>
      <c r="AI2" s="146"/>
      <c r="AJ2" s="146"/>
    </row>
    <row r="3" spans="1:36" ht="43.5" customHeight="1" x14ac:dyDescent="0.2">
      <c r="C3" s="175" t="s">
        <v>352</v>
      </c>
      <c r="D3" s="79"/>
      <c r="E3" s="151" t="s">
        <v>320</v>
      </c>
      <c r="F3" s="151" t="s">
        <v>319</v>
      </c>
      <c r="G3" s="151" t="s">
        <v>318</v>
      </c>
      <c r="H3" s="33" t="s">
        <v>326</v>
      </c>
      <c r="I3" s="33" t="s">
        <v>327</v>
      </c>
      <c r="J3" s="33" t="s">
        <v>247</v>
      </c>
      <c r="K3" s="33"/>
      <c r="L3" s="33"/>
      <c r="M3" s="33" t="s">
        <v>123</v>
      </c>
      <c r="N3" s="33" t="s">
        <v>248</v>
      </c>
      <c r="O3" s="33" t="s">
        <v>249</v>
      </c>
      <c r="P3" s="206" t="s">
        <v>365</v>
      </c>
      <c r="Q3" s="152" t="s">
        <v>317</v>
      </c>
      <c r="R3" s="152" t="s">
        <v>316</v>
      </c>
      <c r="S3" s="152" t="s">
        <v>315</v>
      </c>
      <c r="T3" s="33" t="s">
        <v>328</v>
      </c>
      <c r="U3" s="33" t="s">
        <v>329</v>
      </c>
      <c r="V3" s="33" t="s">
        <v>252</v>
      </c>
      <c r="W3" s="33"/>
      <c r="X3" s="33"/>
      <c r="Y3" s="33" t="s">
        <v>374</v>
      </c>
      <c r="Z3" s="33" t="s">
        <v>253</v>
      </c>
      <c r="AA3" s="33" t="s">
        <v>254</v>
      </c>
      <c r="AB3" s="206" t="s">
        <v>366</v>
      </c>
      <c r="AC3" s="147" t="s">
        <v>257</v>
      </c>
      <c r="AD3" s="147" t="s">
        <v>258</v>
      </c>
      <c r="AE3" s="136" t="s">
        <v>330</v>
      </c>
      <c r="AF3" s="136" t="s">
        <v>331</v>
      </c>
      <c r="AG3" s="136"/>
      <c r="AH3" s="136"/>
      <c r="AI3" s="136"/>
      <c r="AJ3" s="136"/>
    </row>
    <row r="4" spans="1:36" ht="114.75" x14ac:dyDescent="0.2">
      <c r="A4" s="102" t="s">
        <v>142</v>
      </c>
      <c r="B4" s="102" t="s">
        <v>20</v>
      </c>
      <c r="C4" s="102" t="s">
        <v>116</v>
      </c>
      <c r="D4" s="102" t="s">
        <v>322</v>
      </c>
      <c r="E4" s="151" t="s">
        <v>259</v>
      </c>
      <c r="F4" s="151" t="s">
        <v>260</v>
      </c>
      <c r="G4" s="151" t="s">
        <v>261</v>
      </c>
      <c r="H4" s="33" t="s">
        <v>332</v>
      </c>
      <c r="I4" s="33" t="s">
        <v>333</v>
      </c>
      <c r="J4" s="33" t="s">
        <v>334</v>
      </c>
      <c r="K4" s="33" t="s">
        <v>335</v>
      </c>
      <c r="L4" s="33" t="s">
        <v>430</v>
      </c>
      <c r="M4" s="33" t="s">
        <v>336</v>
      </c>
      <c r="N4" s="33" t="s">
        <v>337</v>
      </c>
      <c r="O4" s="33" t="s">
        <v>338</v>
      </c>
      <c r="P4" s="33" t="s">
        <v>364</v>
      </c>
      <c r="Q4" s="152" t="s">
        <v>262</v>
      </c>
      <c r="R4" s="152" t="s">
        <v>263</v>
      </c>
      <c r="S4" s="152" t="s">
        <v>264</v>
      </c>
      <c r="T4" s="33" t="s">
        <v>339</v>
      </c>
      <c r="U4" s="33" t="s">
        <v>340</v>
      </c>
      <c r="V4" s="33" t="s">
        <v>341</v>
      </c>
      <c r="W4" s="33" t="s">
        <v>431</v>
      </c>
      <c r="X4" s="33" t="s">
        <v>342</v>
      </c>
      <c r="Y4" s="33" t="s">
        <v>343</v>
      </c>
      <c r="Z4" s="33" t="s">
        <v>344</v>
      </c>
      <c r="AA4" s="33" t="s">
        <v>345</v>
      </c>
      <c r="AB4" s="33" t="s">
        <v>367</v>
      </c>
      <c r="AC4" s="147" t="s">
        <v>255</v>
      </c>
      <c r="AD4" s="147" t="s">
        <v>256</v>
      </c>
      <c r="AE4" s="136" t="s">
        <v>346</v>
      </c>
      <c r="AF4" s="136" t="s">
        <v>347</v>
      </c>
      <c r="AG4" s="136" t="s">
        <v>348</v>
      </c>
      <c r="AH4" s="136" t="s">
        <v>349</v>
      </c>
      <c r="AI4" s="136" t="s">
        <v>350</v>
      </c>
      <c r="AJ4" s="136" t="s">
        <v>351</v>
      </c>
    </row>
    <row r="5" spans="1:36" s="205" customFormat="1" x14ac:dyDescent="0.2">
      <c r="A5" s="145" t="s">
        <v>168</v>
      </c>
      <c r="B5" s="182" t="s">
        <v>4</v>
      </c>
      <c r="C5" s="182" t="s">
        <v>24</v>
      </c>
      <c r="D5" s="203">
        <v>2021</v>
      </c>
      <c r="E5" s="204">
        <v>46.758947761999998</v>
      </c>
      <c r="F5" s="204">
        <v>1.0940000000000001</v>
      </c>
      <c r="G5" s="204">
        <v>12.500999999999999</v>
      </c>
      <c r="H5" s="204">
        <f>E5/(SUM($E5:$G5))</f>
        <v>0.77474547226619583</v>
      </c>
      <c r="I5" s="204">
        <f>(F5+G5)/(SUM($E5:$G5))</f>
        <v>0.22525452773380422</v>
      </c>
      <c r="J5" s="204">
        <f>(INDEX('Final allowances'!$S$29:$S$46, MATCH('Financial model inputs'!$B5, 'Final allowances'!$B$29:$B$46,0))/5) * H5</f>
        <v>31.716607472249805</v>
      </c>
      <c r="K5" s="204">
        <f>(INDEX('Final allowances'!$S$29:$S$46, MATCH('Financial model inputs'!$B5, 'Final allowances'!$B$29:$B$46,0))/5) * I5</f>
        <v>9.2214923393903394</v>
      </c>
      <c r="L5" s="204">
        <f>(INDEX('Final allowances'!$P$51:$P$67,MATCH('Financial model inputs'!$B5,'Final allowances'!$B$51:$B$67,0))/5)</f>
        <v>11.921559738505337</v>
      </c>
      <c r="M5" s="204">
        <f>INDEX('Final allowances'!$L$71:$N$89,MATCH('Financial model inputs'!$B5,'Final allowances'!$B$71:$B$89,0),MATCH('Financial model inputs'!$M$3,'Final allowances'!$L$71:$N$71,0))/5</f>
        <v>2.8950000000000005</v>
      </c>
      <c r="N5" s="204">
        <f>SUM(K5:M5)</f>
        <v>24.038052077895674</v>
      </c>
      <c r="O5" s="204">
        <f>INDEX('Final allowances'!$I$6:$I$22,MATCH('Financial model inputs'!$B5,'Final allowances'!$B$6:$B$22,0))/5</f>
        <v>58.038001956340473</v>
      </c>
      <c r="P5" s="204">
        <f>INDEX('Final allowances'!$F$6:$F$22,MATCH('Financial model inputs'!$B5,'Final allowances'!$B$6:$B$22,0))/5</f>
        <v>52.85965955014548</v>
      </c>
      <c r="Q5" s="204">
        <v>225.74501528899998</v>
      </c>
      <c r="R5" s="204">
        <v>25.235999999999997</v>
      </c>
      <c r="S5" s="204">
        <v>59.262999999999998</v>
      </c>
      <c r="T5" s="204">
        <f>Q5/(SUM($Q5:$S5))</f>
        <v>0.7276369701401425</v>
      </c>
      <c r="U5" s="204">
        <f>(R5+S5)/(SUM($Q5:$S5))</f>
        <v>0.27236302985985755</v>
      </c>
      <c r="V5" s="204">
        <f>(INDEX('Final allowances'!$T$29:$T$46, MATCH('Financial model inputs'!$B5, 'Final allowances'!$B$29:$B$46,0))/5) * T5</f>
        <v>189.70766501812517</v>
      </c>
      <c r="W5" s="204">
        <f>(INDEX('Final allowances'!$T$29:$T$46, MATCH('Financial model inputs'!$B5, 'Final allowances'!$B$29:$B$46,0))/5) * U5</f>
        <v>71.009798226750334</v>
      </c>
      <c r="X5" s="204">
        <f>(INDEX('Final allowances'!$Q$51:$Q$67,MATCH('Financial model inputs'!$B5,'Final allowances'!$B$51:$B$67,0))/5)</f>
        <v>101.36519377066296</v>
      </c>
      <c r="Y5" s="204">
        <f>INDEX('Final allowances'!$L$71:$N$89,MATCH('Financial model inputs'!$B5,'Final allowances'!$B$71:$B$89,0),MATCH('Financial model inputs'!$Y$3,'Final allowances'!$L$71:$N$71,0))/5</f>
        <v>2.1589999999999998</v>
      </c>
      <c r="Z5" s="204">
        <f>SUM(W5:Y5)</f>
        <v>174.5339919974133</v>
      </c>
      <c r="AA5" s="204">
        <f>INDEX('Final allowances'!$J$6:$J$22,MATCH('Financial model inputs'!$B5,'Final allowances'!$B$6:$B$22,0))/5</f>
        <v>381.28409454017816</v>
      </c>
      <c r="AB5" s="204">
        <f>INDEX('Final allowances'!$G$6:$G$22,MATCH('Financial model inputs'!$B5,'Final allowances'!$B$6:$B$22,0))/5</f>
        <v>362.08265701553847</v>
      </c>
      <c r="AC5" s="204">
        <v>0.9865525380656881</v>
      </c>
      <c r="AD5" s="204">
        <v>8.128695492213506</v>
      </c>
      <c r="AE5" s="204">
        <f>AG5+AH5</f>
        <v>1.6359999999999999</v>
      </c>
      <c r="AF5" s="204">
        <f>AI5+AJ5</f>
        <v>11.719000000000001</v>
      </c>
      <c r="AG5" s="204">
        <v>0</v>
      </c>
      <c r="AH5" s="204">
        <v>1.6359999999999999</v>
      </c>
      <c r="AI5" s="204">
        <v>0</v>
      </c>
      <c r="AJ5" s="204">
        <v>11.719000000000001</v>
      </c>
    </row>
    <row r="6" spans="1:36" s="205" customFormat="1" x14ac:dyDescent="0.2">
      <c r="A6" s="145" t="s">
        <v>169</v>
      </c>
      <c r="B6" s="182" t="s">
        <v>4</v>
      </c>
      <c r="C6" s="182" t="s">
        <v>25</v>
      </c>
      <c r="D6" s="203">
        <v>2022</v>
      </c>
      <c r="E6" s="204">
        <v>47.59289914</v>
      </c>
      <c r="F6" s="204">
        <v>1.2030000000000001</v>
      </c>
      <c r="G6" s="204">
        <v>4.5890000000000004</v>
      </c>
      <c r="H6" s="204">
        <f t="shared" ref="H6:H69" si="0">E6/(SUM($E6:$G6))</f>
        <v>0.89150489945085998</v>
      </c>
      <c r="I6" s="204">
        <f t="shared" ref="I6:I69" si="1">(F6+G6)/(SUM($E6:$G6))</f>
        <v>0.10849510054914005</v>
      </c>
      <c r="J6" s="204">
        <f>(INDEX('Final allowances'!$S$29:$S$46, MATCH('Financial model inputs'!$B6, 'Final allowances'!$B$29:$B$46,0))/5) * H6</f>
        <v>36.496516556285513</v>
      </c>
      <c r="K6" s="204">
        <f>(INDEX('Final allowances'!$S$29:$S$46, MATCH('Financial model inputs'!$B6, 'Final allowances'!$B$29:$B$46,0))/5) * I6</f>
        <v>4.4415832553546286</v>
      </c>
      <c r="L6" s="204">
        <f>(INDEX('Final allowances'!$P$51:$P$67,MATCH('Financial model inputs'!$B6,'Final allowances'!$B$51:$B$67,0))/5)</f>
        <v>11.921559738505337</v>
      </c>
      <c r="M6" s="204">
        <f>INDEX('Final allowances'!$L$71:$N$89,MATCH('Financial model inputs'!$B6,'Final allowances'!$B$71:$B$89,0),MATCH('Financial model inputs'!$M$3,'Final allowances'!$L$71:$N$71,0))/5</f>
        <v>2.8950000000000005</v>
      </c>
      <c r="N6" s="204">
        <f t="shared" ref="N6:N69" si="2">SUM(K6:M6)</f>
        <v>19.258142993859966</v>
      </c>
      <c r="O6" s="204">
        <f>INDEX('Final allowances'!$I$6:$I$22,MATCH('Financial model inputs'!$B6,'Final allowances'!$B$6:$B$22,0))/5</f>
        <v>58.038001956340473</v>
      </c>
      <c r="P6" s="204">
        <f>INDEX('Final allowances'!$F$6:$F$22,MATCH('Financial model inputs'!$B6,'Final allowances'!$B$6:$B$22,0))/5</f>
        <v>52.85965955014548</v>
      </c>
      <c r="Q6" s="204">
        <v>226.132279049</v>
      </c>
      <c r="R6" s="204">
        <v>30.265000000000001</v>
      </c>
      <c r="S6" s="204">
        <v>49.686</v>
      </c>
      <c r="T6" s="204">
        <f t="shared" ref="T6:T69" si="3">Q6/(SUM($Q6:$S6))</f>
        <v>0.73879331060354703</v>
      </c>
      <c r="U6" s="204">
        <f t="shared" ref="U6:U69" si="4">(R6+S6)/(SUM($Q6:$S6))</f>
        <v>0.26120668939645303</v>
      </c>
      <c r="V6" s="204">
        <f>(INDEX('Final allowances'!$T$29:$T$46, MATCH('Financial model inputs'!$B6, 'Final allowances'!$B$29:$B$46,0))/5) * T6</f>
        <v>192.61631780284014</v>
      </c>
      <c r="W6" s="204">
        <f>(INDEX('Final allowances'!$T$29:$T$46, MATCH('Financial model inputs'!$B6, 'Final allowances'!$B$29:$B$46,0))/5) * U6</f>
        <v>68.101145442035346</v>
      </c>
      <c r="X6" s="204">
        <f>(INDEX('Final allowances'!$Q$51:$Q$67,MATCH('Financial model inputs'!$B6,'Final allowances'!$B$51:$B$67,0))/5)</f>
        <v>101.36519377066296</v>
      </c>
      <c r="Y6" s="204">
        <f>INDEX('Final allowances'!$L$71:$N$89,MATCH('Financial model inputs'!$B6,'Final allowances'!$B$71:$B$89,0),MATCH('Financial model inputs'!$Y$3,'Final allowances'!$L$71:$N$71,0))/5</f>
        <v>2.1589999999999998</v>
      </c>
      <c r="Z6" s="204">
        <f t="shared" ref="Z6:Z69" si="5">SUM(W6:Y6)</f>
        <v>171.62533921269829</v>
      </c>
      <c r="AA6" s="204">
        <f>INDEX('Final allowances'!$J$6:$J$22,MATCH('Financial model inputs'!$B6,'Final allowances'!$B$6:$B$22,0))/5</f>
        <v>381.28409454017816</v>
      </c>
      <c r="AB6" s="204">
        <f>INDEX('Final allowances'!$G$6:$G$22,MATCH('Financial model inputs'!$B6,'Final allowances'!$B$6:$B$22,0))/5</f>
        <v>362.08265701553847</v>
      </c>
      <c r="AC6" s="204">
        <v>0.98527617035977466</v>
      </c>
      <c r="AD6" s="204">
        <v>8.1285284054681419</v>
      </c>
      <c r="AE6" s="204">
        <f t="shared" ref="AE6:AE69" si="6">AG6+AH6</f>
        <v>1.954</v>
      </c>
      <c r="AF6" s="204">
        <f t="shared" ref="AF6:AF69" si="7">AI6+AJ6</f>
        <v>12.19</v>
      </c>
      <c r="AG6" s="204">
        <v>0</v>
      </c>
      <c r="AH6" s="204">
        <v>1.954</v>
      </c>
      <c r="AI6" s="204">
        <v>0</v>
      </c>
      <c r="AJ6" s="204">
        <v>12.19</v>
      </c>
    </row>
    <row r="7" spans="1:36" s="205" customFormat="1" x14ac:dyDescent="0.2">
      <c r="A7" s="145" t="s">
        <v>170</v>
      </c>
      <c r="B7" s="182" t="s">
        <v>4</v>
      </c>
      <c r="C7" s="182" t="s">
        <v>26</v>
      </c>
      <c r="D7" s="203">
        <v>2023</v>
      </c>
      <c r="E7" s="204">
        <v>44.734631616000001</v>
      </c>
      <c r="F7" s="204">
        <v>1.099</v>
      </c>
      <c r="G7" s="204">
        <v>5.6</v>
      </c>
      <c r="H7" s="204">
        <f t="shared" si="0"/>
        <v>0.86975448185315252</v>
      </c>
      <c r="I7" s="204">
        <f t="shared" si="1"/>
        <v>0.13024551814684754</v>
      </c>
      <c r="J7" s="204">
        <f>(INDEX('Final allowances'!$S$29:$S$46, MATCH('Financial model inputs'!$B7, 'Final allowances'!$B$29:$B$46,0))/5) * H7</f>
        <v>35.606095789725714</v>
      </c>
      <c r="K7" s="204">
        <f>(INDEX('Final allowances'!$S$29:$S$46, MATCH('Financial model inputs'!$B7, 'Final allowances'!$B$29:$B$46,0))/5) * I7</f>
        <v>5.3320040219144325</v>
      </c>
      <c r="L7" s="204">
        <f>(INDEX('Final allowances'!$P$51:$P$67,MATCH('Financial model inputs'!$B7,'Final allowances'!$B$51:$B$67,0))/5)</f>
        <v>11.921559738505337</v>
      </c>
      <c r="M7" s="204">
        <f>INDEX('Final allowances'!$L$71:$N$89,MATCH('Financial model inputs'!$B7,'Final allowances'!$B$71:$B$89,0),MATCH('Financial model inputs'!$M$3,'Final allowances'!$L$71:$N$71,0))/5</f>
        <v>2.8950000000000005</v>
      </c>
      <c r="N7" s="204">
        <f t="shared" si="2"/>
        <v>20.148563760419769</v>
      </c>
      <c r="O7" s="204">
        <f>INDEX('Final allowances'!$I$6:$I$22,MATCH('Financial model inputs'!$B7,'Final allowances'!$B$6:$B$22,0))/5</f>
        <v>58.038001956340473</v>
      </c>
      <c r="P7" s="204">
        <f>INDEX('Final allowances'!$F$6:$F$22,MATCH('Financial model inputs'!$B7,'Final allowances'!$B$6:$B$22,0))/5</f>
        <v>52.85965955014548</v>
      </c>
      <c r="Q7" s="204">
        <v>227.88862548499998</v>
      </c>
      <c r="R7" s="204">
        <v>32.676000000000002</v>
      </c>
      <c r="S7" s="204">
        <v>32.75</v>
      </c>
      <c r="T7" s="204">
        <f t="shared" si="3"/>
        <v>0.77694259230402452</v>
      </c>
      <c r="U7" s="204">
        <f t="shared" si="4"/>
        <v>0.22305740769597548</v>
      </c>
      <c r="V7" s="204">
        <f>(INDEX('Final allowances'!$T$29:$T$46, MATCH('Financial model inputs'!$B7, 'Final allowances'!$B$29:$B$46,0))/5) * T7</f>
        <v>202.5625017524028</v>
      </c>
      <c r="W7" s="204">
        <f>(INDEX('Final allowances'!$T$29:$T$46, MATCH('Financial model inputs'!$B7, 'Final allowances'!$B$29:$B$46,0))/5) * U7</f>
        <v>58.154961492472694</v>
      </c>
      <c r="X7" s="204">
        <f>(INDEX('Final allowances'!$Q$51:$Q$67,MATCH('Financial model inputs'!$B7,'Final allowances'!$B$51:$B$67,0))/5)</f>
        <v>101.36519377066296</v>
      </c>
      <c r="Y7" s="204">
        <f>INDEX('Final allowances'!$L$71:$N$89,MATCH('Financial model inputs'!$B7,'Final allowances'!$B$71:$B$89,0),MATCH('Financial model inputs'!$Y$3,'Final allowances'!$L$71:$N$71,0))/5</f>
        <v>2.1589999999999998</v>
      </c>
      <c r="Z7" s="204">
        <f t="shared" si="5"/>
        <v>161.67915526313564</v>
      </c>
      <c r="AA7" s="204">
        <f>INDEX('Final allowances'!$J$6:$J$22,MATCH('Financial model inputs'!$B7,'Final allowances'!$B$6:$B$22,0))/5</f>
        <v>381.28409454017816</v>
      </c>
      <c r="AB7" s="204">
        <f>INDEX('Final allowances'!$G$6:$G$22,MATCH('Financial model inputs'!$B7,'Final allowances'!$B$6:$B$22,0))/5</f>
        <v>362.08265701553847</v>
      </c>
      <c r="AC7" s="204">
        <v>0.98588332254954447</v>
      </c>
      <c r="AD7" s="204">
        <v>8.1289637255167584</v>
      </c>
      <c r="AE7" s="204">
        <f t="shared" si="6"/>
        <v>1.607</v>
      </c>
      <c r="AF7" s="204">
        <f t="shared" si="7"/>
        <v>12.292</v>
      </c>
      <c r="AG7" s="204">
        <v>0</v>
      </c>
      <c r="AH7" s="204">
        <v>1.607</v>
      </c>
      <c r="AI7" s="204">
        <v>0</v>
      </c>
      <c r="AJ7" s="204">
        <v>12.292</v>
      </c>
    </row>
    <row r="8" spans="1:36" s="205" customFormat="1" x14ac:dyDescent="0.2">
      <c r="A8" s="145" t="s">
        <v>171</v>
      </c>
      <c r="B8" s="182" t="s">
        <v>4</v>
      </c>
      <c r="C8" s="182" t="s">
        <v>27</v>
      </c>
      <c r="D8" s="203">
        <v>2024</v>
      </c>
      <c r="E8" s="204">
        <v>43.096373643</v>
      </c>
      <c r="F8" s="204">
        <v>0.83199999999999996</v>
      </c>
      <c r="G8" s="204">
        <v>4.5389999999999997</v>
      </c>
      <c r="H8" s="204">
        <f t="shared" si="0"/>
        <v>0.88918318455706713</v>
      </c>
      <c r="I8" s="204">
        <f t="shared" si="1"/>
        <v>0.11081681544293286</v>
      </c>
      <c r="J8" s="204">
        <f>(INDEX('Final allowances'!$S$29:$S$46, MATCH('Financial model inputs'!$B8, 'Final allowances'!$B$29:$B$46,0))/5) * H8</f>
        <v>36.40146996022925</v>
      </c>
      <c r="K8" s="204">
        <f>(INDEX('Final allowances'!$S$29:$S$46, MATCH('Financial model inputs'!$B8, 'Final allowances'!$B$29:$B$46,0))/5) * I8</f>
        <v>4.5366298514108898</v>
      </c>
      <c r="L8" s="204">
        <f>(INDEX('Final allowances'!$P$51:$P$67,MATCH('Financial model inputs'!$B8,'Final allowances'!$B$51:$B$67,0))/5)</f>
        <v>11.921559738505337</v>
      </c>
      <c r="M8" s="204">
        <f>INDEX('Final allowances'!$L$71:$N$89,MATCH('Financial model inputs'!$B8,'Final allowances'!$B$71:$B$89,0),MATCH('Financial model inputs'!$M$3,'Final allowances'!$L$71:$N$71,0))/5</f>
        <v>2.8950000000000005</v>
      </c>
      <c r="N8" s="204">
        <f t="shared" si="2"/>
        <v>19.353189589916227</v>
      </c>
      <c r="O8" s="204">
        <f>INDEX('Final allowances'!$I$6:$I$22,MATCH('Financial model inputs'!$B8,'Final allowances'!$B$6:$B$22,0))/5</f>
        <v>58.038001956340473</v>
      </c>
      <c r="P8" s="204">
        <f>INDEX('Final allowances'!$F$6:$F$22,MATCH('Financial model inputs'!$B8,'Final allowances'!$B$6:$B$22,0))/5</f>
        <v>52.85965955014548</v>
      </c>
      <c r="Q8" s="204">
        <v>229.10522927400001</v>
      </c>
      <c r="R8" s="204">
        <v>23.984000000000002</v>
      </c>
      <c r="S8" s="204">
        <v>35.174999999999997</v>
      </c>
      <c r="T8" s="204">
        <f t="shared" si="3"/>
        <v>0.79477509176565797</v>
      </c>
      <c r="U8" s="204">
        <f t="shared" si="4"/>
        <v>0.20522490823434208</v>
      </c>
      <c r="V8" s="204">
        <f>(INDEX('Final allowances'!$T$29:$T$46, MATCH('Financial model inputs'!$B8, 'Final allowances'!$B$29:$B$46,0))/5) * T8</f>
        <v>207.21174577535547</v>
      </c>
      <c r="W8" s="204">
        <f>(INDEX('Final allowances'!$T$29:$T$46, MATCH('Financial model inputs'!$B8, 'Final allowances'!$B$29:$B$46,0))/5) * U8</f>
        <v>53.505717469520029</v>
      </c>
      <c r="X8" s="204">
        <f>(INDEX('Final allowances'!$Q$51:$Q$67,MATCH('Financial model inputs'!$B8,'Final allowances'!$B$51:$B$67,0))/5)</f>
        <v>101.36519377066296</v>
      </c>
      <c r="Y8" s="204">
        <f>INDEX('Final allowances'!$L$71:$N$89,MATCH('Financial model inputs'!$B8,'Final allowances'!$B$71:$B$89,0),MATCH('Financial model inputs'!$Y$3,'Final allowances'!$L$71:$N$71,0))/5</f>
        <v>2.1589999999999998</v>
      </c>
      <c r="Z8" s="204">
        <f t="shared" si="5"/>
        <v>157.02991124018297</v>
      </c>
      <c r="AA8" s="204">
        <f>INDEX('Final allowances'!$J$6:$J$22,MATCH('Financial model inputs'!$B8,'Final allowances'!$B$6:$B$22,0))/5</f>
        <v>381.28409454017816</v>
      </c>
      <c r="AB8" s="204">
        <f>INDEX('Final allowances'!$G$6:$G$22,MATCH('Financial model inputs'!$B8,'Final allowances'!$B$6:$B$22,0))/5</f>
        <v>362.08265701553847</v>
      </c>
      <c r="AC8" s="204">
        <v>0</v>
      </c>
      <c r="AD8" s="204">
        <v>0</v>
      </c>
      <c r="AE8" s="204">
        <f t="shared" si="6"/>
        <v>1.623</v>
      </c>
      <c r="AF8" s="204">
        <f t="shared" si="7"/>
        <v>12.407999999999999</v>
      </c>
      <c r="AG8" s="204">
        <v>0</v>
      </c>
      <c r="AH8" s="204">
        <v>1.623</v>
      </c>
      <c r="AI8" s="204">
        <v>0</v>
      </c>
      <c r="AJ8" s="204">
        <v>12.407999999999999</v>
      </c>
    </row>
    <row r="9" spans="1:36" s="205" customFormat="1" x14ac:dyDescent="0.2">
      <c r="A9" s="145" t="s">
        <v>172</v>
      </c>
      <c r="B9" s="182" t="s">
        <v>4</v>
      </c>
      <c r="C9" s="182" t="s">
        <v>28</v>
      </c>
      <c r="D9" s="203">
        <v>2025</v>
      </c>
      <c r="E9" s="204">
        <v>39.807944161999998</v>
      </c>
      <c r="F9" s="204">
        <v>0.56999999999999995</v>
      </c>
      <c r="G9" s="204">
        <v>4.6970000000000001</v>
      </c>
      <c r="H9" s="204">
        <f t="shared" si="0"/>
        <v>0.88315016029592119</v>
      </c>
      <c r="I9" s="204">
        <f t="shared" si="1"/>
        <v>0.11684983970407875</v>
      </c>
      <c r="J9" s="204">
        <f>(INDEX('Final allowances'!$S$29:$S$46, MATCH('Financial model inputs'!$B9, 'Final allowances'!$B$29:$B$46,0))/5) * H9</f>
        <v>36.154489410860414</v>
      </c>
      <c r="K9" s="204">
        <f>(INDEX('Final allowances'!$S$29:$S$46, MATCH('Financial model inputs'!$B9, 'Final allowances'!$B$29:$B$46,0))/5) * I9</f>
        <v>4.7836104007797271</v>
      </c>
      <c r="L9" s="204">
        <f>(INDEX('Final allowances'!$P$51:$P$67,MATCH('Financial model inputs'!$B9,'Final allowances'!$B$51:$B$67,0))/5)</f>
        <v>11.921559738505337</v>
      </c>
      <c r="M9" s="204">
        <f>INDEX('Final allowances'!$L$71:$N$89,MATCH('Financial model inputs'!$B9,'Final allowances'!$B$71:$B$89,0),MATCH('Financial model inputs'!$M$3,'Final allowances'!$L$71:$N$71,0))/5</f>
        <v>2.8950000000000005</v>
      </c>
      <c r="N9" s="204">
        <f t="shared" si="2"/>
        <v>19.600170139285066</v>
      </c>
      <c r="O9" s="204">
        <f>INDEX('Final allowances'!$I$6:$I$22,MATCH('Financial model inputs'!$B9,'Final allowances'!$B$6:$B$22,0))/5</f>
        <v>58.038001956340473</v>
      </c>
      <c r="P9" s="204">
        <f>INDEX('Final allowances'!$F$6:$F$22,MATCH('Financial model inputs'!$B9,'Final allowances'!$B$6:$B$22,0))/5</f>
        <v>52.85965955014548</v>
      </c>
      <c r="Q9" s="204">
        <v>221.60406317299999</v>
      </c>
      <c r="R9" s="204">
        <v>20.487000000000002</v>
      </c>
      <c r="S9" s="204">
        <v>36.798999999999992</v>
      </c>
      <c r="T9" s="204">
        <f t="shared" si="3"/>
        <v>0.79459289675564893</v>
      </c>
      <c r="U9" s="204">
        <f t="shared" si="4"/>
        <v>0.20540710324435105</v>
      </c>
      <c r="V9" s="204">
        <f>(INDEX('Final allowances'!$T$29:$T$46, MATCH('Financial model inputs'!$B9, 'Final allowances'!$B$29:$B$46,0))/5) * T9</f>
        <v>207.16424435453004</v>
      </c>
      <c r="W9" s="204">
        <f>(INDEX('Final allowances'!$T$29:$T$46, MATCH('Financial model inputs'!$B9, 'Final allowances'!$B$29:$B$46,0))/5) * U9</f>
        <v>53.553218890345441</v>
      </c>
      <c r="X9" s="204">
        <f>(INDEX('Final allowances'!$Q$51:$Q$67,MATCH('Financial model inputs'!$B9,'Final allowances'!$B$51:$B$67,0))/5)</f>
        <v>101.36519377066296</v>
      </c>
      <c r="Y9" s="204">
        <f>INDEX('Final allowances'!$L$71:$N$89,MATCH('Financial model inputs'!$B9,'Final allowances'!$B$71:$B$89,0),MATCH('Financial model inputs'!$Y$3,'Final allowances'!$L$71:$N$71,0))/5</f>
        <v>2.1589999999999998</v>
      </c>
      <c r="Z9" s="204">
        <f t="shared" si="5"/>
        <v>157.0774126610084</v>
      </c>
      <c r="AA9" s="204">
        <f>INDEX('Final allowances'!$J$6:$J$22,MATCH('Financial model inputs'!$B9,'Final allowances'!$B$6:$B$22,0))/5</f>
        <v>381.28409454017816</v>
      </c>
      <c r="AB9" s="204">
        <f>INDEX('Final allowances'!$G$6:$G$22,MATCH('Financial model inputs'!$B9,'Final allowances'!$B$6:$B$22,0))/5</f>
        <v>362.08265701553847</v>
      </c>
      <c r="AC9" s="204">
        <v>0</v>
      </c>
      <c r="AD9" s="204">
        <v>0</v>
      </c>
      <c r="AE9" s="204">
        <f t="shared" si="6"/>
        <v>1.639</v>
      </c>
      <c r="AF9" s="204">
        <f t="shared" si="7"/>
        <v>12.216999999999999</v>
      </c>
      <c r="AG9" s="204">
        <v>0</v>
      </c>
      <c r="AH9" s="204">
        <v>1.639</v>
      </c>
      <c r="AI9" s="204">
        <v>0</v>
      </c>
      <c r="AJ9" s="204">
        <v>12.216999999999999</v>
      </c>
    </row>
    <row r="10" spans="1:36" s="205" customFormat="1" x14ac:dyDescent="0.2">
      <c r="A10" s="145" t="s">
        <v>173</v>
      </c>
      <c r="B10" s="182" t="s">
        <v>5</v>
      </c>
      <c r="C10" s="182" t="s">
        <v>24</v>
      </c>
      <c r="D10" s="203">
        <v>2021</v>
      </c>
      <c r="E10" s="204">
        <v>52.451999999999998</v>
      </c>
      <c r="F10" s="204">
        <v>0.35099999999999998</v>
      </c>
      <c r="G10" s="204">
        <v>2.23</v>
      </c>
      <c r="H10" s="204">
        <f t="shared" si="0"/>
        <v>0.95310086675267569</v>
      </c>
      <c r="I10" s="204">
        <f t="shared" si="1"/>
        <v>4.6899133247324337E-2</v>
      </c>
      <c r="J10" s="204">
        <f>(INDEX('Final allowances'!$S$29:$S$46, MATCH('Financial model inputs'!$B10, 'Final allowances'!$B$29:$B$46,0))/5) * H10</f>
        <v>47.622681689649276</v>
      </c>
      <c r="K10" s="204">
        <f>(INDEX('Final allowances'!$S$29:$S$46, MATCH('Financial model inputs'!$B10, 'Final allowances'!$B$29:$B$46,0))/5) * I10</f>
        <v>2.3433642461866997</v>
      </c>
      <c r="L10" s="204">
        <f>(INDEX('Final allowances'!$P$51:$P$67,MATCH('Financial model inputs'!$B10,'Final allowances'!$B$51:$B$67,0))/5)</f>
        <v>2.3414350758527762</v>
      </c>
      <c r="M10" s="204">
        <f>INDEX('Final allowances'!$L$71:$N$89,MATCH('Financial model inputs'!$B10,'Final allowances'!$B$71:$B$89,0),MATCH('Financial model inputs'!$M$3,'Final allowances'!$L$71:$N$71,0))/5</f>
        <v>0</v>
      </c>
      <c r="N10" s="204">
        <f t="shared" si="2"/>
        <v>4.6847993220394759</v>
      </c>
      <c r="O10" s="204">
        <f>INDEX('Final allowances'!$I$6:$I$22,MATCH('Financial model inputs'!$B10,'Final allowances'!$B$6:$B$22,0))/5</f>
        <v>57.588644749066454</v>
      </c>
      <c r="P10" s="204">
        <f>INDEX('Final allowances'!$F$6:$F$22,MATCH('Financial model inputs'!$B10,'Final allowances'!$B$6:$B$22,0))/5</f>
        <v>52.307481011688751</v>
      </c>
      <c r="Q10" s="204">
        <v>149.27099999999999</v>
      </c>
      <c r="R10" s="204">
        <v>23.727</v>
      </c>
      <c r="S10" s="204">
        <v>57.747</v>
      </c>
      <c r="T10" s="204">
        <f t="shared" si="3"/>
        <v>0.64690892543717082</v>
      </c>
      <c r="U10" s="204">
        <f t="shared" si="4"/>
        <v>0.35309107456282912</v>
      </c>
      <c r="V10" s="204">
        <f>(INDEX('Final allowances'!$T$29:$T$46, MATCH('Financial model inputs'!$B10, 'Final allowances'!$B$29:$B$46,0))/5) * T10</f>
        <v>156.99761772493966</v>
      </c>
      <c r="W10" s="204">
        <f>(INDEX('Final allowances'!$T$29:$T$46, MATCH('Financial model inputs'!$B10, 'Final allowances'!$B$29:$B$46,0))/5) * U10</f>
        <v>85.691285691941076</v>
      </c>
      <c r="X10" s="204">
        <f>(INDEX('Final allowances'!$Q$51:$Q$67,MATCH('Financial model inputs'!$B10,'Final allowances'!$B$51:$B$67,0))/5)</f>
        <v>27.239363139482037</v>
      </c>
      <c r="Y10" s="204">
        <f>INDEX('Final allowances'!$L$71:$N$89,MATCH('Financial model inputs'!$B10,'Final allowances'!$B$71:$B$89,0),MATCH('Financial model inputs'!$Y$3,'Final allowances'!$L$71:$N$71,0))/5</f>
        <v>0</v>
      </c>
      <c r="Z10" s="204">
        <f t="shared" si="5"/>
        <v>112.93064883142311</v>
      </c>
      <c r="AA10" s="204">
        <f>INDEX('Final allowances'!$J$6:$J$22,MATCH('Financial model inputs'!$B10,'Final allowances'!$B$6:$B$22,0))/5</f>
        <v>277.92690035793044</v>
      </c>
      <c r="AB10" s="204">
        <f>INDEX('Final allowances'!$G$6:$G$22,MATCH('Financial model inputs'!$B10,'Final allowances'!$B$6:$B$22,0))/5</f>
        <v>269.92826655636276</v>
      </c>
      <c r="AC10" s="204">
        <v>0.32397461046052983</v>
      </c>
      <c r="AD10" s="204">
        <v>4.8237106409702033</v>
      </c>
      <c r="AE10" s="204">
        <f t="shared" si="6"/>
        <v>4.9569999999999999</v>
      </c>
      <c r="AF10" s="204">
        <f t="shared" si="7"/>
        <v>3.1749999999999998</v>
      </c>
      <c r="AG10" s="204">
        <v>0</v>
      </c>
      <c r="AH10" s="204">
        <v>4.9569999999999999</v>
      </c>
      <c r="AI10" s="204">
        <v>0</v>
      </c>
      <c r="AJ10" s="204">
        <v>3.1749999999999998</v>
      </c>
    </row>
    <row r="11" spans="1:36" s="205" customFormat="1" x14ac:dyDescent="0.2">
      <c r="A11" s="145" t="s">
        <v>174</v>
      </c>
      <c r="B11" s="182" t="s">
        <v>5</v>
      </c>
      <c r="C11" s="182" t="s">
        <v>25</v>
      </c>
      <c r="D11" s="203">
        <v>2022</v>
      </c>
      <c r="E11" s="204">
        <v>52.25</v>
      </c>
      <c r="F11" s="204">
        <v>0.35</v>
      </c>
      <c r="G11" s="204">
        <v>2.2229999999999999</v>
      </c>
      <c r="H11" s="204">
        <f t="shared" si="0"/>
        <v>0.95306714335224263</v>
      </c>
      <c r="I11" s="204">
        <f t="shared" si="1"/>
        <v>4.6932856647757329E-2</v>
      </c>
      <c r="J11" s="204">
        <f>(INDEX('Final allowances'!$S$29:$S$46, MATCH('Financial model inputs'!$B11, 'Final allowances'!$B$29:$B$46,0))/5) * H11</f>
        <v>47.620996664674124</v>
      </c>
      <c r="K11" s="204">
        <f>(INDEX('Final allowances'!$S$29:$S$46, MATCH('Financial model inputs'!$B11, 'Final allowances'!$B$29:$B$46,0))/5) * I11</f>
        <v>2.3450492711618471</v>
      </c>
      <c r="L11" s="204">
        <f>(INDEX('Final allowances'!$P$51:$P$67,MATCH('Financial model inputs'!$B11,'Final allowances'!$B$51:$B$67,0))/5)</f>
        <v>2.3414350758527762</v>
      </c>
      <c r="M11" s="204">
        <f>INDEX('Final allowances'!$L$71:$N$89,MATCH('Financial model inputs'!$B11,'Final allowances'!$B$71:$B$89,0),MATCH('Financial model inputs'!$M$3,'Final allowances'!$L$71:$N$71,0))/5</f>
        <v>0</v>
      </c>
      <c r="N11" s="204">
        <f t="shared" si="2"/>
        <v>4.6864843470146234</v>
      </c>
      <c r="O11" s="204">
        <f>INDEX('Final allowances'!$I$6:$I$22,MATCH('Financial model inputs'!$B11,'Final allowances'!$B$6:$B$22,0))/5</f>
        <v>57.588644749066454</v>
      </c>
      <c r="P11" s="204">
        <f>INDEX('Final allowances'!$F$6:$F$22,MATCH('Financial model inputs'!$B11,'Final allowances'!$B$6:$B$22,0))/5</f>
        <v>52.307481011688751</v>
      </c>
      <c r="Q11" s="204">
        <v>147.58600000000001</v>
      </c>
      <c r="R11" s="204">
        <v>23.675999999999998</v>
      </c>
      <c r="S11" s="204">
        <v>57.573999999999998</v>
      </c>
      <c r="T11" s="204">
        <f t="shared" si="3"/>
        <v>0.64494222936950485</v>
      </c>
      <c r="U11" s="204">
        <f t="shared" si="4"/>
        <v>0.35505777063049521</v>
      </c>
      <c r="V11" s="204">
        <f>(INDEX('Final allowances'!$T$29:$T$46, MATCH('Financial model inputs'!$B11, 'Final allowances'!$B$29:$B$46,0))/5) * T11</f>
        <v>156.52032241292352</v>
      </c>
      <c r="W11" s="204">
        <f>(INDEX('Final allowances'!$T$29:$T$46, MATCH('Financial model inputs'!$B11, 'Final allowances'!$B$29:$B$46,0))/5) * U11</f>
        <v>86.168581003957243</v>
      </c>
      <c r="X11" s="204">
        <f>(INDEX('Final allowances'!$Q$51:$Q$67,MATCH('Financial model inputs'!$B11,'Final allowances'!$B$51:$B$67,0))/5)</f>
        <v>27.239363139482037</v>
      </c>
      <c r="Y11" s="204">
        <f>INDEX('Final allowances'!$L$71:$N$89,MATCH('Financial model inputs'!$B11,'Final allowances'!$B$71:$B$89,0),MATCH('Financial model inputs'!$Y$3,'Final allowances'!$L$71:$N$71,0))/5</f>
        <v>0</v>
      </c>
      <c r="Z11" s="204">
        <f t="shared" si="5"/>
        <v>113.40794414343928</v>
      </c>
      <c r="AA11" s="204">
        <f>INDEX('Final allowances'!$J$6:$J$22,MATCH('Financial model inputs'!$B11,'Final allowances'!$B$6:$B$22,0))/5</f>
        <v>277.92690035793044</v>
      </c>
      <c r="AB11" s="204">
        <f>INDEX('Final allowances'!$G$6:$G$22,MATCH('Financial model inputs'!$B11,'Final allowances'!$B$6:$B$22,0))/5</f>
        <v>269.92826655636276</v>
      </c>
      <c r="AC11" s="204">
        <v>0.32422160194256472</v>
      </c>
      <c r="AD11" s="204">
        <v>4.8238650106464762</v>
      </c>
      <c r="AE11" s="204">
        <f t="shared" si="6"/>
        <v>4.9569999999999999</v>
      </c>
      <c r="AF11" s="204">
        <f t="shared" si="7"/>
        <v>3.1749999999999998</v>
      </c>
      <c r="AG11" s="204">
        <v>0</v>
      </c>
      <c r="AH11" s="204">
        <v>4.9569999999999999</v>
      </c>
      <c r="AI11" s="204">
        <v>0</v>
      </c>
      <c r="AJ11" s="204">
        <v>3.1749999999999998</v>
      </c>
    </row>
    <row r="12" spans="1:36" s="205" customFormat="1" x14ac:dyDescent="0.2">
      <c r="A12" s="145" t="s">
        <v>175</v>
      </c>
      <c r="B12" s="182" t="s">
        <v>5</v>
      </c>
      <c r="C12" s="182" t="s">
        <v>26</v>
      </c>
      <c r="D12" s="203">
        <v>2023</v>
      </c>
      <c r="E12" s="204">
        <v>52.061</v>
      </c>
      <c r="F12" s="204">
        <v>0.34899999999999998</v>
      </c>
      <c r="G12" s="204">
        <v>2.2160000000000002</v>
      </c>
      <c r="H12" s="204">
        <f t="shared" si="0"/>
        <v>0.95304433786109177</v>
      </c>
      <c r="I12" s="204">
        <f t="shared" si="1"/>
        <v>4.695566213890822E-2</v>
      </c>
      <c r="J12" s="204">
        <f>(INDEX('Final allowances'!$S$29:$S$46, MATCH('Financial model inputs'!$B12, 'Final allowances'!$B$29:$B$46,0))/5) * H12</f>
        <v>47.619857164455688</v>
      </c>
      <c r="K12" s="204">
        <f>(INDEX('Final allowances'!$S$29:$S$46, MATCH('Financial model inputs'!$B12, 'Final allowances'!$B$29:$B$46,0))/5) * I12</f>
        <v>2.346188771380282</v>
      </c>
      <c r="L12" s="204">
        <f>(INDEX('Final allowances'!$P$51:$P$67,MATCH('Financial model inputs'!$B12,'Final allowances'!$B$51:$B$67,0))/5)</f>
        <v>2.3414350758527762</v>
      </c>
      <c r="M12" s="204">
        <f>INDEX('Final allowances'!$L$71:$N$89,MATCH('Financial model inputs'!$B12,'Final allowances'!$B$71:$B$89,0),MATCH('Financial model inputs'!$M$3,'Final allowances'!$L$71:$N$71,0))/5</f>
        <v>0</v>
      </c>
      <c r="N12" s="204">
        <f t="shared" si="2"/>
        <v>4.6876238472330582</v>
      </c>
      <c r="O12" s="204">
        <f>INDEX('Final allowances'!$I$6:$I$22,MATCH('Financial model inputs'!$B12,'Final allowances'!$B$6:$B$22,0))/5</f>
        <v>57.588644749066454</v>
      </c>
      <c r="P12" s="204">
        <f>INDEX('Final allowances'!$F$6:$F$22,MATCH('Financial model inputs'!$B12,'Final allowances'!$B$6:$B$22,0))/5</f>
        <v>52.307481011688751</v>
      </c>
      <c r="Q12" s="204">
        <v>146.18599999999998</v>
      </c>
      <c r="R12" s="204">
        <v>23.62</v>
      </c>
      <c r="S12" s="204">
        <v>57.388999999999996</v>
      </c>
      <c r="T12" s="204">
        <f t="shared" si="3"/>
        <v>0.6434384559519355</v>
      </c>
      <c r="U12" s="204">
        <f t="shared" si="4"/>
        <v>0.35656154404806445</v>
      </c>
      <c r="V12" s="204">
        <f>(INDEX('Final allowances'!$T$29:$T$46, MATCH('Financial model inputs'!$B12, 'Final allowances'!$B$29:$B$46,0))/5) * T12</f>
        <v>156.15537329122614</v>
      </c>
      <c r="W12" s="204">
        <f>(INDEX('Final allowances'!$T$29:$T$46, MATCH('Financial model inputs'!$B12, 'Final allowances'!$B$29:$B$46,0))/5) * U12</f>
        <v>86.533530125654579</v>
      </c>
      <c r="X12" s="204">
        <f>(INDEX('Final allowances'!$Q$51:$Q$67,MATCH('Financial model inputs'!$B12,'Final allowances'!$B$51:$B$67,0))/5)</f>
        <v>27.239363139482037</v>
      </c>
      <c r="Y12" s="204">
        <f>INDEX('Final allowances'!$L$71:$N$89,MATCH('Financial model inputs'!$B12,'Final allowances'!$B$71:$B$89,0),MATCH('Financial model inputs'!$Y$3,'Final allowances'!$L$71:$N$71,0))/5</f>
        <v>0</v>
      </c>
      <c r="Z12" s="204">
        <f t="shared" si="5"/>
        <v>113.77289326513662</v>
      </c>
      <c r="AA12" s="204">
        <f>INDEX('Final allowances'!$J$6:$J$22,MATCH('Financial model inputs'!$B12,'Final allowances'!$B$6:$B$22,0))/5</f>
        <v>277.92690035793044</v>
      </c>
      <c r="AB12" s="204">
        <f>INDEX('Final allowances'!$G$6:$G$22,MATCH('Financial model inputs'!$B12,'Final allowances'!$B$6:$B$22,0))/5</f>
        <v>269.92826655636276</v>
      </c>
      <c r="AC12" s="204">
        <v>0.32433658792528092</v>
      </c>
      <c r="AD12" s="204">
        <v>4.8233670083827915</v>
      </c>
      <c r="AE12" s="204">
        <f t="shared" si="6"/>
        <v>4.9569999999999999</v>
      </c>
      <c r="AF12" s="204">
        <f t="shared" si="7"/>
        <v>3.1749999999999998</v>
      </c>
      <c r="AG12" s="204">
        <v>0</v>
      </c>
      <c r="AH12" s="204">
        <v>4.9569999999999999</v>
      </c>
      <c r="AI12" s="204">
        <v>0</v>
      </c>
      <c r="AJ12" s="204">
        <v>3.1749999999999998</v>
      </c>
    </row>
    <row r="13" spans="1:36" s="205" customFormat="1" x14ac:dyDescent="0.2">
      <c r="A13" s="145" t="s">
        <v>176</v>
      </c>
      <c r="B13" s="182" t="s">
        <v>5</v>
      </c>
      <c r="C13" s="182" t="s">
        <v>27</v>
      </c>
      <c r="D13" s="203">
        <v>2024</v>
      </c>
      <c r="E13" s="204">
        <v>51.877000000000002</v>
      </c>
      <c r="F13" s="204">
        <v>0.34799999999999998</v>
      </c>
      <c r="G13" s="204">
        <v>2.2090000000000001</v>
      </c>
      <c r="H13" s="204">
        <f t="shared" si="0"/>
        <v>0.95302568247786301</v>
      </c>
      <c r="I13" s="204">
        <f t="shared" si="1"/>
        <v>4.6974317522136898E-2</v>
      </c>
      <c r="J13" s="204">
        <f>(INDEX('Final allowances'!$S$29:$S$46, MATCH('Financial model inputs'!$B13, 'Final allowances'!$B$29:$B$46,0))/5) * H13</f>
        <v>47.618925028720334</v>
      </c>
      <c r="K13" s="204">
        <f>(INDEX('Final allowances'!$S$29:$S$46, MATCH('Financial model inputs'!$B13, 'Final allowances'!$B$29:$B$46,0))/5) * I13</f>
        <v>2.3471209071156367</v>
      </c>
      <c r="L13" s="204">
        <f>(INDEX('Final allowances'!$P$51:$P$67,MATCH('Financial model inputs'!$B13,'Final allowances'!$B$51:$B$67,0))/5)</f>
        <v>2.3414350758527762</v>
      </c>
      <c r="M13" s="204">
        <f>INDEX('Final allowances'!$L$71:$N$89,MATCH('Financial model inputs'!$B13,'Final allowances'!$B$71:$B$89,0),MATCH('Financial model inputs'!$M$3,'Final allowances'!$L$71:$N$71,0))/5</f>
        <v>0</v>
      </c>
      <c r="N13" s="204">
        <f t="shared" si="2"/>
        <v>4.6885559829684134</v>
      </c>
      <c r="O13" s="204">
        <f>INDEX('Final allowances'!$I$6:$I$22,MATCH('Financial model inputs'!$B13,'Final allowances'!$B$6:$B$22,0))/5</f>
        <v>57.588644749066454</v>
      </c>
      <c r="P13" s="204">
        <f>INDEX('Final allowances'!$F$6:$F$22,MATCH('Financial model inputs'!$B13,'Final allowances'!$B$6:$B$22,0))/5</f>
        <v>52.307481011688751</v>
      </c>
      <c r="Q13" s="204">
        <v>144.738</v>
      </c>
      <c r="R13" s="204">
        <v>23.568000000000001</v>
      </c>
      <c r="S13" s="204">
        <v>57.212000000000003</v>
      </c>
      <c r="T13" s="204">
        <f t="shared" si="3"/>
        <v>0.6418024281875504</v>
      </c>
      <c r="U13" s="204">
        <f t="shared" si="4"/>
        <v>0.35819757181244954</v>
      </c>
      <c r="V13" s="204">
        <f>(INDEX('Final allowances'!$T$29:$T$46, MATCH('Financial model inputs'!$B13, 'Final allowances'!$B$29:$B$46,0))/5) * T13</f>
        <v>155.75832750712797</v>
      </c>
      <c r="W13" s="204">
        <f>(INDEX('Final allowances'!$T$29:$T$46, MATCH('Financial model inputs'!$B13, 'Final allowances'!$B$29:$B$46,0))/5) * U13</f>
        <v>86.930575909752775</v>
      </c>
      <c r="X13" s="204">
        <f>(INDEX('Final allowances'!$Q$51:$Q$67,MATCH('Financial model inputs'!$B13,'Final allowances'!$B$51:$B$67,0))/5)</f>
        <v>27.239363139482037</v>
      </c>
      <c r="Y13" s="204">
        <f>INDEX('Final allowances'!$L$71:$N$89,MATCH('Financial model inputs'!$B13,'Final allowances'!$B$71:$B$89,0),MATCH('Financial model inputs'!$Y$3,'Final allowances'!$L$71:$N$71,0))/5</f>
        <v>0</v>
      </c>
      <c r="Z13" s="204">
        <f t="shared" si="5"/>
        <v>114.16993904923481</v>
      </c>
      <c r="AA13" s="204">
        <f>INDEX('Final allowances'!$J$6:$J$22,MATCH('Financial model inputs'!$B13,'Final allowances'!$B$6:$B$22,0))/5</f>
        <v>277.92690035793044</v>
      </c>
      <c r="AB13" s="204">
        <f>INDEX('Final allowances'!$G$6:$G$22,MATCH('Financial model inputs'!$B13,'Final allowances'!$B$6:$B$22,0))/5</f>
        <v>269.92826655636276</v>
      </c>
      <c r="AC13" s="204">
        <v>0.3243927688435389</v>
      </c>
      <c r="AD13" s="204">
        <v>4.8233270739181462</v>
      </c>
      <c r="AE13" s="204">
        <f t="shared" si="6"/>
        <v>4.9569999999999999</v>
      </c>
      <c r="AF13" s="204">
        <f t="shared" si="7"/>
        <v>3.1749999999999998</v>
      </c>
      <c r="AG13" s="204">
        <v>0</v>
      </c>
      <c r="AH13" s="204">
        <v>4.9569999999999999</v>
      </c>
      <c r="AI13" s="204">
        <v>0</v>
      </c>
      <c r="AJ13" s="204">
        <v>3.1749999999999998</v>
      </c>
    </row>
    <row r="14" spans="1:36" s="205" customFormat="1" x14ac:dyDescent="0.2">
      <c r="A14" s="145" t="s">
        <v>177</v>
      </c>
      <c r="B14" s="182" t="s">
        <v>5</v>
      </c>
      <c r="C14" s="182" t="s">
        <v>28</v>
      </c>
      <c r="D14" s="203">
        <v>2025</v>
      </c>
      <c r="E14" s="204">
        <v>51.703000000000003</v>
      </c>
      <c r="F14" s="204">
        <v>0.34699999999999998</v>
      </c>
      <c r="G14" s="204">
        <v>2.202</v>
      </c>
      <c r="H14" s="204">
        <f t="shared" si="0"/>
        <v>0.95301555703015561</v>
      </c>
      <c r="I14" s="204">
        <f t="shared" si="1"/>
        <v>4.6984442969844428E-2</v>
      </c>
      <c r="J14" s="204">
        <f>(INDEX('Final allowances'!$S$29:$S$46, MATCH('Financial model inputs'!$B14, 'Final allowances'!$B$29:$B$46,0))/5) * H14</f>
        <v>47.618419100135064</v>
      </c>
      <c r="K14" s="204">
        <f>(INDEX('Final allowances'!$S$29:$S$46, MATCH('Financial model inputs'!$B14, 'Final allowances'!$B$29:$B$46,0))/5) * I14</f>
        <v>2.347626835700912</v>
      </c>
      <c r="L14" s="204">
        <f>(INDEX('Final allowances'!$P$51:$P$67,MATCH('Financial model inputs'!$B14,'Final allowances'!$B$51:$B$67,0))/5)</f>
        <v>2.3414350758527762</v>
      </c>
      <c r="M14" s="204">
        <f>INDEX('Final allowances'!$L$71:$N$89,MATCH('Financial model inputs'!$B14,'Final allowances'!$B$71:$B$89,0),MATCH('Financial model inputs'!$M$3,'Final allowances'!$L$71:$N$71,0))/5</f>
        <v>0</v>
      </c>
      <c r="N14" s="204">
        <f t="shared" si="2"/>
        <v>4.6890619115536882</v>
      </c>
      <c r="O14" s="204">
        <f>INDEX('Final allowances'!$I$6:$I$22,MATCH('Financial model inputs'!$B14,'Final allowances'!$B$6:$B$22,0))/5</f>
        <v>57.588644749066454</v>
      </c>
      <c r="P14" s="204">
        <f>INDEX('Final allowances'!$F$6:$F$22,MATCH('Financial model inputs'!$B14,'Final allowances'!$B$6:$B$22,0))/5</f>
        <v>52.307481011688751</v>
      </c>
      <c r="Q14" s="204">
        <v>143.601</v>
      </c>
      <c r="R14" s="204">
        <v>23.514000000000003</v>
      </c>
      <c r="S14" s="204">
        <v>57.029000000000003</v>
      </c>
      <c r="T14" s="204">
        <f t="shared" si="3"/>
        <v>0.6406640374045256</v>
      </c>
      <c r="U14" s="204">
        <f t="shared" si="4"/>
        <v>0.35933596259547435</v>
      </c>
      <c r="V14" s="204">
        <f>(INDEX('Final allowances'!$T$29:$T$46, MATCH('Financial model inputs'!$B14, 'Final allowances'!$B$29:$B$46,0))/5) * T14</f>
        <v>155.48205269633578</v>
      </c>
      <c r="W14" s="204">
        <f>(INDEX('Final allowances'!$T$29:$T$46, MATCH('Financial model inputs'!$B14, 'Final allowances'!$B$29:$B$46,0))/5) * U14</f>
        <v>87.206850720544949</v>
      </c>
      <c r="X14" s="204">
        <f>(INDEX('Final allowances'!$Q$51:$Q$67,MATCH('Financial model inputs'!$B14,'Final allowances'!$B$51:$B$67,0))/5)</f>
        <v>27.239363139482037</v>
      </c>
      <c r="Y14" s="204">
        <f>INDEX('Final allowances'!$L$71:$N$89,MATCH('Financial model inputs'!$B14,'Final allowances'!$B$71:$B$89,0),MATCH('Financial model inputs'!$Y$3,'Final allowances'!$L$71:$N$71,0))/5</f>
        <v>0</v>
      </c>
      <c r="Z14" s="204">
        <f t="shared" si="5"/>
        <v>114.44621386002699</v>
      </c>
      <c r="AA14" s="204">
        <f>INDEX('Final allowances'!$J$6:$J$22,MATCH('Financial model inputs'!$B14,'Final allowances'!$B$6:$B$22,0))/5</f>
        <v>277.92690035793044</v>
      </c>
      <c r="AB14" s="204">
        <f>INDEX('Final allowances'!$G$6:$G$22,MATCH('Financial model inputs'!$B14,'Final allowances'!$B$6:$B$22,0))/5</f>
        <v>269.92826655636276</v>
      </c>
      <c r="AC14" s="204">
        <v>0.32389311771656648</v>
      </c>
      <c r="AD14" s="204">
        <v>4.8238992739206976</v>
      </c>
      <c r="AE14" s="204">
        <f t="shared" si="6"/>
        <v>4.9569999999999999</v>
      </c>
      <c r="AF14" s="204">
        <f t="shared" si="7"/>
        <v>3.1749999999999998</v>
      </c>
      <c r="AG14" s="204">
        <v>0</v>
      </c>
      <c r="AH14" s="204">
        <v>4.9569999999999999</v>
      </c>
      <c r="AI14" s="204">
        <v>0</v>
      </c>
      <c r="AJ14" s="204">
        <v>3.1749999999999998</v>
      </c>
    </row>
    <row r="15" spans="1:36" s="205" customFormat="1" x14ac:dyDescent="0.2">
      <c r="A15" s="145" t="s">
        <v>178</v>
      </c>
      <c r="B15" s="182" t="s">
        <v>6</v>
      </c>
      <c r="C15" s="182" t="s">
        <v>24</v>
      </c>
      <c r="D15" s="203">
        <v>2021</v>
      </c>
      <c r="E15" s="204">
        <v>59.204235531041803</v>
      </c>
      <c r="F15" s="204">
        <v>0</v>
      </c>
      <c r="G15" s="204">
        <v>6.6787464404474397</v>
      </c>
      <c r="H15" s="204">
        <f t="shared" si="0"/>
        <v>0.89862713798629124</v>
      </c>
      <c r="I15" s="204">
        <f t="shared" si="1"/>
        <v>0.10137286201370874</v>
      </c>
      <c r="J15" s="204">
        <f>(INDEX('Final allowances'!$S$29:$S$46, MATCH('Financial model inputs'!$B15, 'Final allowances'!$B$29:$B$46,0))/5) * H15</f>
        <v>64.895975142255722</v>
      </c>
      <c r="K15" s="204">
        <f>(INDEX('Final allowances'!$S$29:$S$46, MATCH('Financial model inputs'!$B15, 'Final allowances'!$B$29:$B$46,0))/5) * I15</f>
        <v>7.3208235710341087</v>
      </c>
      <c r="L15" s="204">
        <f>(INDEX('Final allowances'!$P$51:$P$67,MATCH('Financial model inputs'!$B15,'Final allowances'!$B$51:$B$67,0))/5)</f>
        <v>4.0811832177003939</v>
      </c>
      <c r="M15" s="204">
        <f>INDEX('Final allowances'!$L$71:$N$89,MATCH('Financial model inputs'!$B15,'Final allowances'!$B$71:$B$89,0),MATCH('Financial model inputs'!$M$3,'Final allowances'!$L$71:$N$71,0))/5</f>
        <v>6.118291666666666</v>
      </c>
      <c r="N15" s="204">
        <f t="shared" si="2"/>
        <v>17.520298455401168</v>
      </c>
      <c r="O15" s="204">
        <f>INDEX('Final allowances'!$I$6:$I$22,MATCH('Financial model inputs'!$B15,'Final allowances'!$B$6:$B$22,0))/5</f>
        <v>82.422334388057948</v>
      </c>
      <c r="P15" s="204">
        <f>INDEX('Final allowances'!$F$6:$F$22,MATCH('Financial model inputs'!$B15,'Final allowances'!$B$6:$B$22,0))/5</f>
        <v>76.297981930990233</v>
      </c>
      <c r="Q15" s="204">
        <v>287.43984616217961</v>
      </c>
      <c r="R15" s="204">
        <v>0</v>
      </c>
      <c r="S15" s="204">
        <v>41.8561109158153</v>
      </c>
      <c r="T15" s="204">
        <f t="shared" si="3"/>
        <v>0.87289212024579599</v>
      </c>
      <c r="U15" s="204">
        <f t="shared" si="4"/>
        <v>0.12710787975420401</v>
      </c>
      <c r="V15" s="204">
        <f>(INDEX('Final allowances'!$T$29:$T$46, MATCH('Financial model inputs'!$B15, 'Final allowances'!$B$29:$B$46,0))/5) * T15</f>
        <v>343.91150308598446</v>
      </c>
      <c r="W15" s="204">
        <f>(INDEX('Final allowances'!$T$29:$T$46, MATCH('Financial model inputs'!$B15, 'Final allowances'!$B$29:$B$46,0))/5) * U15</f>
        <v>50.079340810215555</v>
      </c>
      <c r="X15" s="204">
        <f>(INDEX('Final allowances'!$Q$51:$Q$67,MATCH('Financial model inputs'!$B15,'Final allowances'!$B$51:$B$67,0))/5)</f>
        <v>29.27811384879676</v>
      </c>
      <c r="Y15" s="204">
        <f>INDEX('Final allowances'!$L$71:$N$89,MATCH('Financial model inputs'!$B15,'Final allowances'!$B$71:$B$89,0),MATCH('Financial model inputs'!$Y$3,'Final allowances'!$L$71:$N$71,0))/5</f>
        <v>0.74737499999999935</v>
      </c>
      <c r="Z15" s="204">
        <f t="shared" si="5"/>
        <v>80.104829659012324</v>
      </c>
      <c r="AA15" s="204">
        <f>INDEX('Final allowances'!$J$6:$J$22,MATCH('Financial model inputs'!$B15,'Final allowances'!$B$6:$B$22,0))/5</f>
        <v>425.30395389606213</v>
      </c>
      <c r="AB15" s="204">
        <f>INDEX('Final allowances'!$G$6:$G$22,MATCH('Financial model inputs'!$B15,'Final allowances'!$B$6:$B$22,0))/5</f>
        <v>423.26895774499678</v>
      </c>
      <c r="AC15" s="204">
        <v>0</v>
      </c>
      <c r="AD15" s="204">
        <v>0</v>
      </c>
      <c r="AE15" s="204">
        <f t="shared" si="6"/>
        <v>6.0607904010554397E-3</v>
      </c>
      <c r="AF15" s="204">
        <f t="shared" si="7"/>
        <v>1.2776161692052199</v>
      </c>
      <c r="AG15" s="204">
        <v>0</v>
      </c>
      <c r="AH15" s="204">
        <v>6.0607904010554397E-3</v>
      </c>
      <c r="AI15" s="204">
        <v>0</v>
      </c>
      <c r="AJ15" s="204">
        <v>1.2776161692052199</v>
      </c>
    </row>
    <row r="16" spans="1:36" s="205" customFormat="1" x14ac:dyDescent="0.2">
      <c r="A16" s="145" t="s">
        <v>179</v>
      </c>
      <c r="B16" s="182" t="s">
        <v>6</v>
      </c>
      <c r="C16" s="182" t="s">
        <v>25</v>
      </c>
      <c r="D16" s="203">
        <v>2022</v>
      </c>
      <c r="E16" s="204">
        <v>59.981646775479398</v>
      </c>
      <c r="F16" s="204">
        <v>0</v>
      </c>
      <c r="G16" s="204">
        <v>7.1680834404634401</v>
      </c>
      <c r="H16" s="204">
        <f t="shared" si="0"/>
        <v>0.89325223768715045</v>
      </c>
      <c r="I16" s="204">
        <f t="shared" si="1"/>
        <v>0.10674776231284959</v>
      </c>
      <c r="J16" s="204">
        <f>(INDEX('Final allowances'!$S$29:$S$46, MATCH('Financial model inputs'!$B16, 'Final allowances'!$B$29:$B$46,0))/5) * H16</f>
        <v>64.507817049248672</v>
      </c>
      <c r="K16" s="204">
        <f>(INDEX('Final allowances'!$S$29:$S$46, MATCH('Financial model inputs'!$B16, 'Final allowances'!$B$29:$B$46,0))/5) * I16</f>
        <v>7.7089816640411648</v>
      </c>
      <c r="L16" s="204">
        <f>(INDEX('Final allowances'!$P$51:$P$67,MATCH('Financial model inputs'!$B16,'Final allowances'!$B$51:$B$67,0))/5)</f>
        <v>4.0811832177003939</v>
      </c>
      <c r="M16" s="204">
        <f>INDEX('Final allowances'!$L$71:$N$89,MATCH('Financial model inputs'!$B16,'Final allowances'!$B$71:$B$89,0),MATCH('Financial model inputs'!$M$3,'Final allowances'!$L$71:$N$71,0))/5</f>
        <v>6.118291666666666</v>
      </c>
      <c r="N16" s="204">
        <f t="shared" si="2"/>
        <v>17.908456548408225</v>
      </c>
      <c r="O16" s="204">
        <f>INDEX('Final allowances'!$I$6:$I$22,MATCH('Financial model inputs'!$B16,'Final allowances'!$B$6:$B$22,0))/5</f>
        <v>82.422334388057948</v>
      </c>
      <c r="P16" s="204">
        <f>INDEX('Final allowances'!$F$6:$F$22,MATCH('Financial model inputs'!$B16,'Final allowances'!$B$6:$B$22,0))/5</f>
        <v>76.297981930990233</v>
      </c>
      <c r="Q16" s="204">
        <v>292.8194217535974</v>
      </c>
      <c r="R16" s="204">
        <v>0</v>
      </c>
      <c r="S16" s="204">
        <v>65.002144642517194</v>
      </c>
      <c r="T16" s="204">
        <f t="shared" si="3"/>
        <v>0.81833922058638942</v>
      </c>
      <c r="U16" s="204">
        <f t="shared" si="4"/>
        <v>0.18166077941361061</v>
      </c>
      <c r="V16" s="204">
        <f>(INDEX('Final allowances'!$T$29:$T$46, MATCH('Financial model inputs'!$B16, 'Final allowances'!$B$29:$B$46,0))/5) * T16</f>
        <v>322.41816011219015</v>
      </c>
      <c r="W16" s="204">
        <f>(INDEX('Final allowances'!$T$29:$T$46, MATCH('Financial model inputs'!$B16, 'Final allowances'!$B$29:$B$46,0))/5) * U16</f>
        <v>71.572683784009882</v>
      </c>
      <c r="X16" s="204">
        <f>(INDEX('Final allowances'!$Q$51:$Q$67,MATCH('Financial model inputs'!$B16,'Final allowances'!$B$51:$B$67,0))/5)</f>
        <v>29.27811384879676</v>
      </c>
      <c r="Y16" s="204">
        <f>INDEX('Final allowances'!$L$71:$N$89,MATCH('Financial model inputs'!$B16,'Final allowances'!$B$71:$B$89,0),MATCH('Financial model inputs'!$Y$3,'Final allowances'!$L$71:$N$71,0))/5</f>
        <v>0.74737499999999935</v>
      </c>
      <c r="Z16" s="204">
        <f t="shared" si="5"/>
        <v>101.59817263280665</v>
      </c>
      <c r="AA16" s="204">
        <f>INDEX('Final allowances'!$J$6:$J$22,MATCH('Financial model inputs'!$B16,'Final allowances'!$B$6:$B$22,0))/5</f>
        <v>425.30395389606213</v>
      </c>
      <c r="AB16" s="204">
        <f>INDEX('Final allowances'!$G$6:$G$22,MATCH('Financial model inputs'!$B16,'Final allowances'!$B$6:$B$22,0))/5</f>
        <v>423.26895774499678</v>
      </c>
      <c r="AC16" s="204">
        <v>0</v>
      </c>
      <c r="AD16" s="204">
        <v>0</v>
      </c>
      <c r="AE16" s="204">
        <f t="shared" si="6"/>
        <v>6.0607904010554397E-3</v>
      </c>
      <c r="AF16" s="204">
        <f t="shared" si="7"/>
        <v>1.2742073974720109</v>
      </c>
      <c r="AG16" s="204">
        <v>0</v>
      </c>
      <c r="AH16" s="204">
        <v>6.0607904010554397E-3</v>
      </c>
      <c r="AI16" s="204">
        <v>0</v>
      </c>
      <c r="AJ16" s="204">
        <v>1.2742073974720109</v>
      </c>
    </row>
    <row r="17" spans="1:36" s="205" customFormat="1" x14ac:dyDescent="0.2">
      <c r="A17" s="145" t="s">
        <v>180</v>
      </c>
      <c r="B17" s="182" t="s">
        <v>6</v>
      </c>
      <c r="C17" s="182" t="s">
        <v>26</v>
      </c>
      <c r="D17" s="203">
        <v>2023</v>
      </c>
      <c r="E17" s="204">
        <v>61.284822379089903</v>
      </c>
      <c r="F17" s="204">
        <v>0</v>
      </c>
      <c r="G17" s="204">
        <v>6.7227984404574403</v>
      </c>
      <c r="H17" s="204">
        <f t="shared" si="0"/>
        <v>0.90114639566210042</v>
      </c>
      <c r="I17" s="204">
        <f t="shared" si="1"/>
        <v>9.8853604337899664E-2</v>
      </c>
      <c r="J17" s="204">
        <f>(INDEX('Final allowances'!$S$29:$S$46, MATCH('Financial model inputs'!$B17, 'Final allowances'!$B$29:$B$46,0))/5) * H17</f>
        <v>65.077907866736538</v>
      </c>
      <c r="K17" s="204">
        <f>(INDEX('Final allowances'!$S$29:$S$46, MATCH('Financial model inputs'!$B17, 'Final allowances'!$B$29:$B$46,0))/5) * I17</f>
        <v>7.138890846553295</v>
      </c>
      <c r="L17" s="204">
        <f>(INDEX('Final allowances'!$P$51:$P$67,MATCH('Financial model inputs'!$B17,'Final allowances'!$B$51:$B$67,0))/5)</f>
        <v>4.0811832177003939</v>
      </c>
      <c r="M17" s="204">
        <f>INDEX('Final allowances'!$L$71:$N$89,MATCH('Financial model inputs'!$B17,'Final allowances'!$B$71:$B$89,0),MATCH('Financial model inputs'!$M$3,'Final allowances'!$L$71:$N$71,0))/5</f>
        <v>6.118291666666666</v>
      </c>
      <c r="N17" s="204">
        <f t="shared" si="2"/>
        <v>17.338365730920355</v>
      </c>
      <c r="O17" s="204">
        <f>INDEX('Final allowances'!$I$6:$I$22,MATCH('Financial model inputs'!$B17,'Final allowances'!$B$6:$B$22,0))/5</f>
        <v>82.422334388057948</v>
      </c>
      <c r="P17" s="204">
        <f>INDEX('Final allowances'!$F$6:$F$22,MATCH('Financial model inputs'!$B17,'Final allowances'!$B$6:$B$22,0))/5</f>
        <v>76.297981930990233</v>
      </c>
      <c r="Q17" s="204">
        <v>292.24040316808561</v>
      </c>
      <c r="R17" s="204">
        <v>0</v>
      </c>
      <c r="S17" s="204">
        <v>84.872575859107499</v>
      </c>
      <c r="T17" s="204">
        <f t="shared" si="3"/>
        <v>0.77494124949492271</v>
      </c>
      <c r="U17" s="204">
        <f t="shared" si="4"/>
        <v>0.22505875050507732</v>
      </c>
      <c r="V17" s="204">
        <f>(INDEX('Final allowances'!$T$29:$T$46, MATCH('Financial model inputs'!$B17, 'Final allowances'!$B$29:$B$46,0))/5) * T17</f>
        <v>305.31975685848028</v>
      </c>
      <c r="W17" s="204">
        <f>(INDEX('Final allowances'!$T$29:$T$46, MATCH('Financial model inputs'!$B17, 'Final allowances'!$B$29:$B$46,0))/5) * U17</f>
        <v>88.671087037719744</v>
      </c>
      <c r="X17" s="204">
        <f>(INDEX('Final allowances'!$Q$51:$Q$67,MATCH('Financial model inputs'!$B17,'Final allowances'!$B$51:$B$67,0))/5)</f>
        <v>29.27811384879676</v>
      </c>
      <c r="Y17" s="204">
        <f>INDEX('Final allowances'!$L$71:$N$89,MATCH('Financial model inputs'!$B17,'Final allowances'!$B$71:$B$89,0),MATCH('Financial model inputs'!$Y$3,'Final allowances'!$L$71:$N$71,0))/5</f>
        <v>0.74737499999999935</v>
      </c>
      <c r="Z17" s="204">
        <f t="shared" si="5"/>
        <v>118.69657588651651</v>
      </c>
      <c r="AA17" s="204">
        <f>INDEX('Final allowances'!$J$6:$J$22,MATCH('Financial model inputs'!$B17,'Final allowances'!$B$6:$B$22,0))/5</f>
        <v>425.30395389606213</v>
      </c>
      <c r="AB17" s="204">
        <f>INDEX('Final allowances'!$G$6:$G$22,MATCH('Financial model inputs'!$B17,'Final allowances'!$B$6:$B$22,0))/5</f>
        <v>423.26895774499678</v>
      </c>
      <c r="AC17" s="204">
        <v>0</v>
      </c>
      <c r="AD17" s="204">
        <v>0</v>
      </c>
      <c r="AE17" s="204">
        <f t="shared" si="6"/>
        <v>6.0607904010554397E-3</v>
      </c>
      <c r="AF17" s="204">
        <f t="shared" si="7"/>
        <v>1.282653639472946</v>
      </c>
      <c r="AG17" s="204">
        <v>0</v>
      </c>
      <c r="AH17" s="204">
        <v>6.0607904010554397E-3</v>
      </c>
      <c r="AI17" s="204">
        <v>0</v>
      </c>
      <c r="AJ17" s="204">
        <v>1.282653639472946</v>
      </c>
    </row>
    <row r="18" spans="1:36" s="205" customFormat="1" x14ac:dyDescent="0.2">
      <c r="A18" s="145" t="s">
        <v>181</v>
      </c>
      <c r="B18" s="182" t="s">
        <v>6</v>
      </c>
      <c r="C18" s="182" t="s">
        <v>27</v>
      </c>
      <c r="D18" s="203">
        <v>2024</v>
      </c>
      <c r="E18" s="204">
        <v>65.194762238872499</v>
      </c>
      <c r="F18" s="204">
        <v>0</v>
      </c>
      <c r="G18" s="204">
        <v>6.54958544044944</v>
      </c>
      <c r="H18" s="204">
        <f t="shared" si="0"/>
        <v>0.90870938753636277</v>
      </c>
      <c r="I18" s="204">
        <f t="shared" si="1"/>
        <v>9.1290612463637372E-2</v>
      </c>
      <c r="J18" s="204">
        <f>(INDEX('Final allowances'!$S$29:$S$46, MATCH('Financial model inputs'!$B18, 'Final allowances'!$B$29:$B$46,0))/5) * H18</f>
        <v>65.624082928590397</v>
      </c>
      <c r="K18" s="204">
        <f>(INDEX('Final allowances'!$S$29:$S$46, MATCH('Financial model inputs'!$B18, 'Final allowances'!$B$29:$B$46,0))/5) * I18</f>
        <v>6.5927157846994477</v>
      </c>
      <c r="L18" s="204">
        <f>(INDEX('Final allowances'!$P$51:$P$67,MATCH('Financial model inputs'!$B18,'Final allowances'!$B$51:$B$67,0))/5)</f>
        <v>4.0811832177003939</v>
      </c>
      <c r="M18" s="204">
        <f>INDEX('Final allowances'!$L$71:$N$89,MATCH('Financial model inputs'!$B18,'Final allowances'!$B$71:$B$89,0),MATCH('Financial model inputs'!$M$3,'Final allowances'!$L$71:$N$71,0))/5</f>
        <v>6.118291666666666</v>
      </c>
      <c r="N18" s="204">
        <f t="shared" si="2"/>
        <v>16.792190669066507</v>
      </c>
      <c r="O18" s="204">
        <f>INDEX('Final allowances'!$I$6:$I$22,MATCH('Financial model inputs'!$B18,'Final allowances'!$B$6:$B$22,0))/5</f>
        <v>82.422334388057948</v>
      </c>
      <c r="P18" s="204">
        <f>INDEX('Final allowances'!$F$6:$F$22,MATCH('Financial model inputs'!$B18,'Final allowances'!$B$6:$B$22,0))/5</f>
        <v>76.297981930990233</v>
      </c>
      <c r="Q18" s="204">
        <v>283.74608679059162</v>
      </c>
      <c r="R18" s="204">
        <v>0</v>
      </c>
      <c r="S18" s="204">
        <v>62.462443791031603</v>
      </c>
      <c r="T18" s="204">
        <f t="shared" si="3"/>
        <v>0.81958144218429285</v>
      </c>
      <c r="U18" s="204">
        <f t="shared" si="4"/>
        <v>0.18041855781570715</v>
      </c>
      <c r="V18" s="204">
        <f>(INDEX('Final allowances'!$T$29:$T$46, MATCH('Financial model inputs'!$B18, 'Final allowances'!$B$29:$B$46,0))/5) * T18</f>
        <v>322.90758404785424</v>
      </c>
      <c r="W18" s="204">
        <f>(INDEX('Final allowances'!$T$29:$T$46, MATCH('Financial model inputs'!$B18, 'Final allowances'!$B$29:$B$46,0))/5) * U18</f>
        <v>71.083259848345818</v>
      </c>
      <c r="X18" s="204">
        <f>(INDEX('Final allowances'!$Q$51:$Q$67,MATCH('Financial model inputs'!$B18,'Final allowances'!$B$51:$B$67,0))/5)</f>
        <v>29.27811384879676</v>
      </c>
      <c r="Y18" s="204">
        <f>INDEX('Final allowances'!$L$71:$N$89,MATCH('Financial model inputs'!$B18,'Final allowances'!$B$71:$B$89,0),MATCH('Financial model inputs'!$Y$3,'Final allowances'!$L$71:$N$71,0))/5</f>
        <v>0.74737499999999935</v>
      </c>
      <c r="Z18" s="204">
        <f t="shared" si="5"/>
        <v>101.10874869714259</v>
      </c>
      <c r="AA18" s="204">
        <f>INDEX('Final allowances'!$J$6:$J$22,MATCH('Financial model inputs'!$B18,'Final allowances'!$B$6:$B$22,0))/5</f>
        <v>425.30395389606213</v>
      </c>
      <c r="AB18" s="204">
        <f>INDEX('Final allowances'!$G$6:$G$22,MATCH('Financial model inputs'!$B18,'Final allowances'!$B$6:$B$22,0))/5</f>
        <v>423.26895774499678</v>
      </c>
      <c r="AC18" s="204">
        <v>0</v>
      </c>
      <c r="AD18" s="204">
        <v>0</v>
      </c>
      <c r="AE18" s="204">
        <f t="shared" si="6"/>
        <v>6.0607904010554397E-3</v>
      </c>
      <c r="AF18" s="204">
        <f t="shared" si="7"/>
        <v>1.295115191970815</v>
      </c>
      <c r="AG18" s="204">
        <v>0</v>
      </c>
      <c r="AH18" s="204">
        <v>6.0607904010554397E-3</v>
      </c>
      <c r="AI18" s="204">
        <v>0</v>
      </c>
      <c r="AJ18" s="204">
        <v>1.295115191970815</v>
      </c>
    </row>
    <row r="19" spans="1:36" s="205" customFormat="1" x14ac:dyDescent="0.2">
      <c r="A19" s="145" t="s">
        <v>182</v>
      </c>
      <c r="B19" s="182" t="s">
        <v>6</v>
      </c>
      <c r="C19" s="182" t="s">
        <v>28</v>
      </c>
      <c r="D19" s="203">
        <v>2025</v>
      </c>
      <c r="E19" s="204">
        <v>71.577713014301494</v>
      </c>
      <c r="F19" s="204">
        <v>0</v>
      </c>
      <c r="G19" s="204">
        <v>6.4860534404474404</v>
      </c>
      <c r="H19" s="204">
        <f t="shared" si="0"/>
        <v>0.91691339356259227</v>
      </c>
      <c r="I19" s="204">
        <f t="shared" si="1"/>
        <v>8.3086606437407784E-2</v>
      </c>
      <c r="J19" s="204">
        <f>(INDEX('Final allowances'!$S$29:$S$46, MATCH('Financial model inputs'!$B19, 'Final allowances'!$B$29:$B$46,0))/5) * H19</f>
        <v>66.216549980429221</v>
      </c>
      <c r="K19" s="204">
        <f>(INDEX('Final allowances'!$S$29:$S$46, MATCH('Financial model inputs'!$B19, 'Final allowances'!$B$29:$B$46,0))/5) * I19</f>
        <v>6.0002487328606096</v>
      </c>
      <c r="L19" s="204">
        <f>(INDEX('Final allowances'!$P$51:$P$67,MATCH('Financial model inputs'!$B19,'Final allowances'!$B$51:$B$67,0))/5)</f>
        <v>4.0811832177003939</v>
      </c>
      <c r="M19" s="204">
        <f>INDEX('Final allowances'!$L$71:$N$89,MATCH('Financial model inputs'!$B19,'Final allowances'!$B$71:$B$89,0),MATCH('Financial model inputs'!$M$3,'Final allowances'!$L$71:$N$71,0))/5</f>
        <v>6.118291666666666</v>
      </c>
      <c r="N19" s="204">
        <f t="shared" si="2"/>
        <v>16.199723617227669</v>
      </c>
      <c r="O19" s="204">
        <f>INDEX('Final allowances'!$I$6:$I$22,MATCH('Financial model inputs'!$B19,'Final allowances'!$B$6:$B$22,0))/5</f>
        <v>82.422334388057948</v>
      </c>
      <c r="P19" s="204">
        <f>INDEX('Final allowances'!$F$6:$F$22,MATCH('Financial model inputs'!$B19,'Final allowances'!$B$6:$B$22,0))/5</f>
        <v>76.297981930990233</v>
      </c>
      <c r="Q19" s="204">
        <v>276.46733158278619</v>
      </c>
      <c r="R19" s="204">
        <v>0</v>
      </c>
      <c r="S19" s="204">
        <v>42.356841068478403</v>
      </c>
      <c r="T19" s="204">
        <f t="shared" si="3"/>
        <v>0.86714670749005895</v>
      </c>
      <c r="U19" s="204">
        <f t="shared" si="4"/>
        <v>0.13285329250994105</v>
      </c>
      <c r="V19" s="204">
        <f>(INDEX('Final allowances'!$T$29:$T$46, MATCH('Financial model inputs'!$B19, 'Final allowances'!$B$29:$B$46,0))/5) * T19</f>
        <v>341.64786306581965</v>
      </c>
      <c r="W19" s="204">
        <f>(INDEX('Final allowances'!$T$29:$T$46, MATCH('Financial model inputs'!$B19, 'Final allowances'!$B$29:$B$46,0))/5) * U19</f>
        <v>52.342980830380384</v>
      </c>
      <c r="X19" s="204">
        <f>(INDEX('Final allowances'!$Q$51:$Q$67,MATCH('Financial model inputs'!$B19,'Final allowances'!$B$51:$B$67,0))/5)</f>
        <v>29.27811384879676</v>
      </c>
      <c r="Y19" s="204">
        <f>INDEX('Final allowances'!$L$71:$N$89,MATCH('Financial model inputs'!$B19,'Final allowances'!$B$71:$B$89,0),MATCH('Financial model inputs'!$Y$3,'Final allowances'!$L$71:$N$71,0))/5</f>
        <v>0.74737499999999935</v>
      </c>
      <c r="Z19" s="204">
        <f t="shared" si="5"/>
        <v>82.368469679177153</v>
      </c>
      <c r="AA19" s="204">
        <f>INDEX('Final allowances'!$J$6:$J$22,MATCH('Financial model inputs'!$B19,'Final allowances'!$B$6:$B$22,0))/5</f>
        <v>425.30395389606213</v>
      </c>
      <c r="AB19" s="204">
        <f>INDEX('Final allowances'!$G$6:$G$22,MATCH('Financial model inputs'!$B19,'Final allowances'!$B$6:$B$22,0))/5</f>
        <v>423.26895774499678</v>
      </c>
      <c r="AC19" s="204">
        <v>0</v>
      </c>
      <c r="AD19" s="204">
        <v>0</v>
      </c>
      <c r="AE19" s="204">
        <f t="shared" si="6"/>
        <v>6.0607904010554397E-3</v>
      </c>
      <c r="AF19" s="204">
        <f t="shared" si="7"/>
        <v>1.3085133572054419</v>
      </c>
      <c r="AG19" s="204">
        <v>0</v>
      </c>
      <c r="AH19" s="204">
        <v>6.0607904010554397E-3</v>
      </c>
      <c r="AI19" s="204">
        <v>0</v>
      </c>
      <c r="AJ19" s="204">
        <v>1.3085133572054419</v>
      </c>
    </row>
    <row r="20" spans="1:36" s="205" customFormat="1" x14ac:dyDescent="0.2">
      <c r="A20" s="145" t="s">
        <v>183</v>
      </c>
      <c r="B20" s="182" t="s">
        <v>7</v>
      </c>
      <c r="C20" s="182" t="s">
        <v>24</v>
      </c>
      <c r="D20" s="203">
        <v>2021</v>
      </c>
      <c r="E20" s="204">
        <v>16.899000000000001</v>
      </c>
      <c r="F20" s="204">
        <v>0</v>
      </c>
      <c r="G20" s="204">
        <v>4.4340000000000002</v>
      </c>
      <c r="H20" s="204">
        <f t="shared" si="0"/>
        <v>0.79215300239066233</v>
      </c>
      <c r="I20" s="204">
        <f t="shared" si="1"/>
        <v>0.20784699760933764</v>
      </c>
      <c r="J20" s="204">
        <f>(INDEX('Final allowances'!$S$29:$S$46, MATCH('Financial model inputs'!$B20, 'Final allowances'!$B$29:$B$46,0))/5) * H20</f>
        <v>13.277119056480885</v>
      </c>
      <c r="K20" s="204">
        <f>(INDEX('Final allowances'!$S$29:$S$46, MATCH('Financial model inputs'!$B20, 'Final allowances'!$B$29:$B$46,0))/5) * I20</f>
        <v>3.4836822235893394</v>
      </c>
      <c r="L20" s="204">
        <f>(INDEX('Final allowances'!$P$51:$P$67,MATCH('Financial model inputs'!$B20,'Final allowances'!$B$51:$B$67,0))/5)</f>
        <v>7.9098925511369798</v>
      </c>
      <c r="M20" s="204">
        <f>INDEX('Final allowances'!$L$71:$N$89,MATCH('Financial model inputs'!$B20,'Final allowances'!$B$71:$B$89,0),MATCH('Financial model inputs'!$M$3,'Final allowances'!$L$71:$N$71,0))/5</f>
        <v>7.7404871293441833</v>
      </c>
      <c r="N20" s="204">
        <f t="shared" si="2"/>
        <v>19.134061904070503</v>
      </c>
      <c r="O20" s="204">
        <f>INDEX('Final allowances'!$I$6:$I$22,MATCH('Financial model inputs'!$B20,'Final allowances'!$B$6:$B$22,0))/5</f>
        <v>33.937269000417999</v>
      </c>
      <c r="P20" s="204">
        <f>INDEX('Final allowances'!$F$6:$F$22,MATCH('Financial model inputs'!$B20,'Final allowances'!$B$6:$B$22,0))/5</f>
        <v>24.670693831207206</v>
      </c>
      <c r="Q20" s="204">
        <v>82.63300000000001</v>
      </c>
      <c r="R20" s="204">
        <v>8.9420000000000002</v>
      </c>
      <c r="S20" s="204">
        <v>68.218000000000004</v>
      </c>
      <c r="T20" s="204">
        <f t="shared" si="3"/>
        <v>0.51712528083207654</v>
      </c>
      <c r="U20" s="204">
        <f t="shared" si="4"/>
        <v>0.48287471916792346</v>
      </c>
      <c r="V20" s="204">
        <f>(INDEX('Final allowances'!$T$29:$T$46, MATCH('Financial model inputs'!$B20, 'Final allowances'!$B$29:$B$46,0))/5) * T20</f>
        <v>68.18468192736718</v>
      </c>
      <c r="W20" s="204">
        <f>(INDEX('Final allowances'!$T$29:$T$46, MATCH('Financial model inputs'!$B20, 'Final allowances'!$B$29:$B$46,0))/5) * U20</f>
        <v>63.668631872443832</v>
      </c>
      <c r="X20" s="204">
        <f>(INDEX('Final allowances'!$Q$51:$Q$67,MATCH('Financial model inputs'!$B20,'Final allowances'!$B$51:$B$67,0))/5)</f>
        <v>48.265269189581105</v>
      </c>
      <c r="Y20" s="204">
        <f>INDEX('Final allowances'!$L$71:$N$89,MATCH('Financial model inputs'!$B20,'Final allowances'!$B$71:$B$89,0),MATCH('Financial model inputs'!$Y$3,'Final allowances'!$L$71:$N$71,0))/5</f>
        <v>8.6621603991594043</v>
      </c>
      <c r="Z20" s="204">
        <f t="shared" si="5"/>
        <v>120.59606146118435</v>
      </c>
      <c r="AA20" s="204">
        <f>INDEX('Final allowances'!$J$6:$J$22,MATCH('Financial model inputs'!$B20,'Final allowances'!$B$6:$B$22,0))/5</f>
        <v>196.69925403929693</v>
      </c>
      <c r="AB20" s="204">
        <f>INDEX('Final allowances'!$G$6:$G$22,MATCH('Financial model inputs'!$B20,'Final allowances'!$B$6:$B$22,0))/5</f>
        <v>180.11858298939214</v>
      </c>
      <c r="AC20" s="204">
        <v>0.10870919699497539</v>
      </c>
      <c r="AD20" s="204">
        <v>2.8679684780247441</v>
      </c>
      <c r="AE20" s="204">
        <f t="shared" si="6"/>
        <v>1.768</v>
      </c>
      <c r="AF20" s="204">
        <f t="shared" si="7"/>
        <v>3.4089999999999998</v>
      </c>
      <c r="AG20" s="204">
        <v>0</v>
      </c>
      <c r="AH20" s="204">
        <v>1.768</v>
      </c>
      <c r="AI20" s="204">
        <v>0</v>
      </c>
      <c r="AJ20" s="204">
        <v>3.4089999999999998</v>
      </c>
    </row>
    <row r="21" spans="1:36" s="205" customFormat="1" x14ac:dyDescent="0.2">
      <c r="A21" s="145" t="s">
        <v>184</v>
      </c>
      <c r="B21" s="182" t="s">
        <v>7</v>
      </c>
      <c r="C21" s="182" t="s">
        <v>25</v>
      </c>
      <c r="D21" s="203">
        <v>2022</v>
      </c>
      <c r="E21" s="204">
        <v>16.698</v>
      </c>
      <c r="F21" s="204">
        <v>0</v>
      </c>
      <c r="G21" s="204">
        <v>4.423</v>
      </c>
      <c r="H21" s="204">
        <f t="shared" si="0"/>
        <v>0.79058756687656828</v>
      </c>
      <c r="I21" s="204">
        <f t="shared" si="1"/>
        <v>0.20941243312343163</v>
      </c>
      <c r="J21" s="204">
        <f>(INDEX('Final allowances'!$S$29:$S$46, MATCH('Financial model inputs'!$B21, 'Final allowances'!$B$29:$B$46,0))/5) * H21</f>
        <v>13.250881102912391</v>
      </c>
      <c r="K21" s="204">
        <f>(INDEX('Final allowances'!$S$29:$S$46, MATCH('Financial model inputs'!$B21, 'Final allowances'!$B$29:$B$46,0))/5) * I21</f>
        <v>3.5099201771578334</v>
      </c>
      <c r="L21" s="204">
        <f>(INDEX('Final allowances'!$P$51:$P$67,MATCH('Financial model inputs'!$B21,'Final allowances'!$B$51:$B$67,0))/5)</f>
        <v>7.9098925511369798</v>
      </c>
      <c r="M21" s="204">
        <f>INDEX('Final allowances'!$L$71:$N$89,MATCH('Financial model inputs'!$B21,'Final allowances'!$B$71:$B$89,0),MATCH('Financial model inputs'!$M$3,'Final allowances'!$L$71:$N$71,0))/5</f>
        <v>7.7404871293441833</v>
      </c>
      <c r="N21" s="204">
        <f t="shared" si="2"/>
        <v>19.160299857638996</v>
      </c>
      <c r="O21" s="204">
        <f>INDEX('Final allowances'!$I$6:$I$22,MATCH('Financial model inputs'!$B21,'Final allowances'!$B$6:$B$22,0))/5</f>
        <v>33.937269000417999</v>
      </c>
      <c r="P21" s="204">
        <f>INDEX('Final allowances'!$F$6:$F$22,MATCH('Financial model inputs'!$B21,'Final allowances'!$B$6:$B$22,0))/5</f>
        <v>24.670693831207206</v>
      </c>
      <c r="Q21" s="204">
        <v>81.031000000000006</v>
      </c>
      <c r="R21" s="204">
        <v>23.966000000000001</v>
      </c>
      <c r="S21" s="204">
        <v>55.741999999999997</v>
      </c>
      <c r="T21" s="204">
        <f t="shared" si="3"/>
        <v>0.50411536714798522</v>
      </c>
      <c r="U21" s="204">
        <f t="shared" si="4"/>
        <v>0.49588463285201473</v>
      </c>
      <c r="V21" s="204">
        <f>(INDEX('Final allowances'!$T$29:$T$46, MATCH('Financial model inputs'!$B21, 'Final allowances'!$B$29:$B$46,0))/5) * T21</f>
        <v>66.469281695870237</v>
      </c>
      <c r="W21" s="204">
        <f>(INDEX('Final allowances'!$T$29:$T$46, MATCH('Financial model inputs'!$B21, 'Final allowances'!$B$29:$B$46,0))/5) * U21</f>
        <v>65.384032103940768</v>
      </c>
      <c r="X21" s="204">
        <f>(INDEX('Final allowances'!$Q$51:$Q$67,MATCH('Financial model inputs'!$B21,'Final allowances'!$B$51:$B$67,0))/5)</f>
        <v>48.265269189581105</v>
      </c>
      <c r="Y21" s="204">
        <f>INDEX('Final allowances'!$L$71:$N$89,MATCH('Financial model inputs'!$B21,'Final allowances'!$B$71:$B$89,0),MATCH('Financial model inputs'!$Y$3,'Final allowances'!$L$71:$N$71,0))/5</f>
        <v>8.6621603991594043</v>
      </c>
      <c r="Z21" s="204">
        <f t="shared" si="5"/>
        <v>122.31146169268128</v>
      </c>
      <c r="AA21" s="204">
        <f>INDEX('Final allowances'!$J$6:$J$22,MATCH('Financial model inputs'!$B21,'Final allowances'!$B$6:$B$22,0))/5</f>
        <v>196.69925403929693</v>
      </c>
      <c r="AB21" s="204">
        <f>INDEX('Final allowances'!$G$6:$G$22,MATCH('Financial model inputs'!$B21,'Final allowances'!$B$6:$B$22,0))/5</f>
        <v>180.11858298939214</v>
      </c>
      <c r="AC21" s="204">
        <v>0.10578402512131681</v>
      </c>
      <c r="AD21" s="204">
        <v>2.7962243973734746</v>
      </c>
      <c r="AE21" s="204">
        <f t="shared" si="6"/>
        <v>1.4870000000000001</v>
      </c>
      <c r="AF21" s="204">
        <f t="shared" si="7"/>
        <v>5.3339999999999996</v>
      </c>
      <c r="AG21" s="204">
        <v>0</v>
      </c>
      <c r="AH21" s="204">
        <v>1.4870000000000001</v>
      </c>
      <c r="AI21" s="204">
        <v>0</v>
      </c>
      <c r="AJ21" s="204">
        <v>5.3339999999999996</v>
      </c>
    </row>
    <row r="22" spans="1:36" s="205" customFormat="1" x14ac:dyDescent="0.2">
      <c r="A22" s="145" t="s">
        <v>185</v>
      </c>
      <c r="B22" s="182" t="s">
        <v>7</v>
      </c>
      <c r="C22" s="182" t="s">
        <v>26</v>
      </c>
      <c r="D22" s="203">
        <v>2023</v>
      </c>
      <c r="E22" s="204">
        <v>16.573</v>
      </c>
      <c r="F22" s="204">
        <v>0</v>
      </c>
      <c r="G22" s="204">
        <v>3.8149999999999999</v>
      </c>
      <c r="H22" s="204">
        <f t="shared" si="0"/>
        <v>0.8128801255640572</v>
      </c>
      <c r="I22" s="204">
        <f t="shared" si="1"/>
        <v>0.18711987443594269</v>
      </c>
      <c r="J22" s="204">
        <f>(INDEX('Final allowances'!$S$29:$S$46, MATCH('Financial model inputs'!$B22, 'Final allowances'!$B$29:$B$46,0))/5) * H22</f>
        <v>13.624522249097696</v>
      </c>
      <c r="K22" s="204">
        <f>(INDEX('Final allowances'!$S$29:$S$46, MATCH('Financial model inputs'!$B22, 'Final allowances'!$B$29:$B$46,0))/5) * I22</f>
        <v>3.1362790309725281</v>
      </c>
      <c r="L22" s="204">
        <f>(INDEX('Final allowances'!$P$51:$P$67,MATCH('Financial model inputs'!$B22,'Final allowances'!$B$51:$B$67,0))/5)</f>
        <v>7.9098925511369798</v>
      </c>
      <c r="M22" s="204">
        <f>INDEX('Final allowances'!$L$71:$N$89,MATCH('Financial model inputs'!$B22,'Final allowances'!$B$71:$B$89,0),MATCH('Financial model inputs'!$M$3,'Final allowances'!$L$71:$N$71,0))/5</f>
        <v>7.7404871293441833</v>
      </c>
      <c r="N22" s="204">
        <f t="shared" si="2"/>
        <v>18.78665871145369</v>
      </c>
      <c r="O22" s="204">
        <f>INDEX('Final allowances'!$I$6:$I$22,MATCH('Financial model inputs'!$B22,'Final allowances'!$B$6:$B$22,0))/5</f>
        <v>33.937269000417999</v>
      </c>
      <c r="P22" s="204">
        <f>INDEX('Final allowances'!$F$6:$F$22,MATCH('Financial model inputs'!$B22,'Final allowances'!$B$6:$B$22,0))/5</f>
        <v>24.670693831207206</v>
      </c>
      <c r="Q22" s="204">
        <v>79.94</v>
      </c>
      <c r="R22" s="204">
        <v>20.986999999999998</v>
      </c>
      <c r="S22" s="204">
        <v>47.701000000000001</v>
      </c>
      <c r="T22" s="204">
        <f t="shared" si="3"/>
        <v>0.53785289447479612</v>
      </c>
      <c r="U22" s="204">
        <f t="shared" si="4"/>
        <v>0.46214710552520394</v>
      </c>
      <c r="V22" s="204">
        <f>(INDEX('Final allowances'!$T$29:$T$46, MATCH('Financial model inputs'!$B22, 'Final allowances'!$B$29:$B$46,0))/5) * T22</f>
        <v>70.917686473321936</v>
      </c>
      <c r="W22" s="204">
        <f>(INDEX('Final allowances'!$T$29:$T$46, MATCH('Financial model inputs'!$B22, 'Final allowances'!$B$29:$B$46,0))/5) * U22</f>
        <v>60.93562732648909</v>
      </c>
      <c r="X22" s="204">
        <f>(INDEX('Final allowances'!$Q$51:$Q$67,MATCH('Financial model inputs'!$B22,'Final allowances'!$B$51:$B$67,0))/5)</f>
        <v>48.265269189581105</v>
      </c>
      <c r="Y22" s="204">
        <f>INDEX('Final allowances'!$L$71:$N$89,MATCH('Financial model inputs'!$B22,'Final allowances'!$B$71:$B$89,0),MATCH('Financial model inputs'!$Y$3,'Final allowances'!$L$71:$N$71,0))/5</f>
        <v>8.6621603991594043</v>
      </c>
      <c r="Z22" s="204">
        <f t="shared" si="5"/>
        <v>117.86305691522961</v>
      </c>
      <c r="AA22" s="204">
        <f>INDEX('Final allowances'!$J$6:$J$22,MATCH('Financial model inputs'!$B22,'Final allowances'!$B$6:$B$22,0))/5</f>
        <v>196.69925403929693</v>
      </c>
      <c r="AB22" s="204">
        <f>INDEX('Final allowances'!$G$6:$G$22,MATCH('Financial model inputs'!$B22,'Final allowances'!$B$6:$B$22,0))/5</f>
        <v>180.11858298939214</v>
      </c>
      <c r="AC22" s="204">
        <v>0.1036114686414919</v>
      </c>
      <c r="AD22" s="204">
        <v>2.7259952157253382</v>
      </c>
      <c r="AE22" s="204">
        <f t="shared" si="6"/>
        <v>1.3620000000000001</v>
      </c>
      <c r="AF22" s="204">
        <f t="shared" si="7"/>
        <v>7.4820000000000002</v>
      </c>
      <c r="AG22" s="204">
        <v>0</v>
      </c>
      <c r="AH22" s="204">
        <v>1.3620000000000001</v>
      </c>
      <c r="AI22" s="204">
        <v>0</v>
      </c>
      <c r="AJ22" s="204">
        <v>7.4820000000000002</v>
      </c>
    </row>
    <row r="23" spans="1:36" s="205" customFormat="1" x14ac:dyDescent="0.2">
      <c r="A23" s="145" t="s">
        <v>186</v>
      </c>
      <c r="B23" s="182" t="s">
        <v>7</v>
      </c>
      <c r="C23" s="182" t="s">
        <v>27</v>
      </c>
      <c r="D23" s="203">
        <v>2024</v>
      </c>
      <c r="E23" s="204">
        <v>16.387</v>
      </c>
      <c r="F23" s="204">
        <v>0</v>
      </c>
      <c r="G23" s="204">
        <v>3.1720000000000002</v>
      </c>
      <c r="H23" s="204">
        <f t="shared" si="0"/>
        <v>0.83782401963290554</v>
      </c>
      <c r="I23" s="204">
        <f t="shared" si="1"/>
        <v>0.16217598036709444</v>
      </c>
      <c r="J23" s="204">
        <f>(INDEX('Final allowances'!$S$29:$S$46, MATCH('Financial model inputs'!$B23, 'Final allowances'!$B$29:$B$46,0))/5) * H23</f>
        <v>14.042601900736784</v>
      </c>
      <c r="K23" s="204">
        <f>(INDEX('Final allowances'!$S$29:$S$46, MATCH('Financial model inputs'!$B23, 'Final allowances'!$B$29:$B$46,0))/5) * I23</f>
        <v>2.71819937933344</v>
      </c>
      <c r="L23" s="204">
        <f>(INDEX('Final allowances'!$P$51:$P$67,MATCH('Financial model inputs'!$B23,'Final allowances'!$B$51:$B$67,0))/5)</f>
        <v>7.9098925511369798</v>
      </c>
      <c r="M23" s="204">
        <f>INDEX('Final allowances'!$L$71:$N$89,MATCH('Financial model inputs'!$B23,'Final allowances'!$B$71:$B$89,0),MATCH('Financial model inputs'!$M$3,'Final allowances'!$L$71:$N$71,0))/5</f>
        <v>7.7404871293441833</v>
      </c>
      <c r="N23" s="204">
        <f t="shared" si="2"/>
        <v>18.368579059814603</v>
      </c>
      <c r="O23" s="204">
        <f>INDEX('Final allowances'!$I$6:$I$22,MATCH('Financial model inputs'!$B23,'Final allowances'!$B$6:$B$22,0))/5</f>
        <v>33.937269000417999</v>
      </c>
      <c r="P23" s="204">
        <f>INDEX('Final allowances'!$F$6:$F$22,MATCH('Financial model inputs'!$B23,'Final allowances'!$B$6:$B$22,0))/5</f>
        <v>24.670693831207206</v>
      </c>
      <c r="Q23" s="204">
        <v>80.228999999999999</v>
      </c>
      <c r="R23" s="204">
        <v>7.327</v>
      </c>
      <c r="S23" s="204">
        <v>33.075000000000003</v>
      </c>
      <c r="T23" s="204">
        <f t="shared" si="3"/>
        <v>0.66507779923900157</v>
      </c>
      <c r="U23" s="204">
        <f t="shared" si="4"/>
        <v>0.33492220076099843</v>
      </c>
      <c r="V23" s="204">
        <f>(INDEX('Final allowances'!$T$29:$T$46, MATCH('Financial model inputs'!$B23, 'Final allowances'!$B$29:$B$46,0))/5) * T23</f>
        <v>87.692711764347791</v>
      </c>
      <c r="W23" s="204">
        <f>(INDEX('Final allowances'!$T$29:$T$46, MATCH('Financial model inputs'!$B23, 'Final allowances'!$B$29:$B$46,0))/5) * U23</f>
        <v>44.160602035463235</v>
      </c>
      <c r="X23" s="204">
        <f>(INDEX('Final allowances'!$Q$51:$Q$67,MATCH('Financial model inputs'!$B23,'Final allowances'!$B$51:$B$67,0))/5)</f>
        <v>48.265269189581105</v>
      </c>
      <c r="Y23" s="204">
        <f>INDEX('Final allowances'!$L$71:$N$89,MATCH('Financial model inputs'!$B23,'Final allowances'!$B$71:$B$89,0),MATCH('Financial model inputs'!$Y$3,'Final allowances'!$L$71:$N$71,0))/5</f>
        <v>8.6621603991594043</v>
      </c>
      <c r="Z23" s="204">
        <f t="shared" si="5"/>
        <v>101.08803162420375</v>
      </c>
      <c r="AA23" s="204">
        <f>INDEX('Final allowances'!$J$6:$J$22,MATCH('Financial model inputs'!$B23,'Final allowances'!$B$6:$B$22,0))/5</f>
        <v>196.69925403929693</v>
      </c>
      <c r="AB23" s="204">
        <f>INDEX('Final allowances'!$G$6:$G$22,MATCH('Financial model inputs'!$B23,'Final allowances'!$B$6:$B$22,0))/5</f>
        <v>180.11858298939214</v>
      </c>
      <c r="AC23" s="204">
        <v>0.10091395605965631</v>
      </c>
      <c r="AD23" s="204">
        <v>2.6579522852871231</v>
      </c>
      <c r="AE23" s="204">
        <f t="shared" si="6"/>
        <v>1.3540000000000001</v>
      </c>
      <c r="AF23" s="204">
        <f t="shared" si="7"/>
        <v>5.4729999999999999</v>
      </c>
      <c r="AG23" s="204">
        <v>0</v>
      </c>
      <c r="AH23" s="204">
        <v>1.3540000000000001</v>
      </c>
      <c r="AI23" s="204">
        <v>0</v>
      </c>
      <c r="AJ23" s="204">
        <v>5.4729999999999999</v>
      </c>
    </row>
    <row r="24" spans="1:36" s="205" customFormat="1" x14ac:dyDescent="0.2">
      <c r="A24" s="145" t="s">
        <v>187</v>
      </c>
      <c r="B24" s="182" t="s">
        <v>7</v>
      </c>
      <c r="C24" s="182" t="s">
        <v>28</v>
      </c>
      <c r="D24" s="203">
        <v>2025</v>
      </c>
      <c r="E24" s="204">
        <v>16.138000000000002</v>
      </c>
      <c r="F24" s="204">
        <v>0</v>
      </c>
      <c r="G24" s="204">
        <v>3.2080000000000002</v>
      </c>
      <c r="H24" s="204">
        <f t="shared" si="0"/>
        <v>0.83417760777421679</v>
      </c>
      <c r="I24" s="204">
        <f t="shared" si="1"/>
        <v>0.1658223922257831</v>
      </c>
      <c r="J24" s="204">
        <f>(INDEX('Final allowances'!$S$29:$S$46, MATCH('Financial model inputs'!$B24, 'Final allowances'!$B$29:$B$46,0))/5) * H24</f>
        <v>13.981485116188011</v>
      </c>
      <c r="K24" s="204">
        <f>(INDEX('Final allowances'!$S$29:$S$46, MATCH('Financial model inputs'!$B24, 'Final allowances'!$B$29:$B$46,0))/5) * I24</f>
        <v>2.7793161638822124</v>
      </c>
      <c r="L24" s="204">
        <f>(INDEX('Final allowances'!$P$51:$P$67,MATCH('Financial model inputs'!$B24,'Final allowances'!$B$51:$B$67,0))/5)</f>
        <v>7.9098925511369798</v>
      </c>
      <c r="M24" s="204">
        <f>INDEX('Final allowances'!$L$71:$N$89,MATCH('Financial model inputs'!$B24,'Final allowances'!$B$71:$B$89,0),MATCH('Financial model inputs'!$M$3,'Final allowances'!$L$71:$N$71,0))/5</f>
        <v>7.7404871293441833</v>
      </c>
      <c r="N24" s="204">
        <f t="shared" si="2"/>
        <v>18.429695844363373</v>
      </c>
      <c r="O24" s="204">
        <f>INDEX('Final allowances'!$I$6:$I$22,MATCH('Financial model inputs'!$B24,'Final allowances'!$B$6:$B$22,0))/5</f>
        <v>33.937269000417999</v>
      </c>
      <c r="P24" s="204">
        <f>INDEX('Final allowances'!$F$6:$F$22,MATCH('Financial model inputs'!$B24,'Final allowances'!$B$6:$B$22,0))/5</f>
        <v>24.670693831207206</v>
      </c>
      <c r="Q24" s="204">
        <v>78.49799999999999</v>
      </c>
      <c r="R24" s="204">
        <v>5.8620000000000001</v>
      </c>
      <c r="S24" s="204">
        <v>30.01</v>
      </c>
      <c r="T24" s="204">
        <f t="shared" si="3"/>
        <v>0.68635131590452036</v>
      </c>
      <c r="U24" s="204">
        <f t="shared" si="4"/>
        <v>0.31364868409547964</v>
      </c>
      <c r="V24" s="204">
        <f>(INDEX('Final allowances'!$T$29:$T$46, MATCH('Financial model inputs'!$B24, 'Final allowances'!$B$29:$B$46,0))/5) * T24</f>
        <v>90.49769543287195</v>
      </c>
      <c r="W24" s="204">
        <f>(INDEX('Final allowances'!$T$29:$T$46, MATCH('Financial model inputs'!$B24, 'Final allowances'!$B$29:$B$46,0))/5) * U24</f>
        <v>41.355618366939069</v>
      </c>
      <c r="X24" s="204">
        <f>(INDEX('Final allowances'!$Q$51:$Q$67,MATCH('Financial model inputs'!$B24,'Final allowances'!$B$51:$B$67,0))/5)</f>
        <v>48.265269189581105</v>
      </c>
      <c r="Y24" s="204">
        <f>INDEX('Final allowances'!$L$71:$N$89,MATCH('Financial model inputs'!$B24,'Final allowances'!$B$71:$B$89,0),MATCH('Financial model inputs'!$Y$3,'Final allowances'!$L$71:$N$71,0))/5</f>
        <v>8.6621603991594043</v>
      </c>
      <c r="Z24" s="204">
        <f t="shared" si="5"/>
        <v>98.283047955679578</v>
      </c>
      <c r="AA24" s="204">
        <f>INDEX('Final allowances'!$J$6:$J$22,MATCH('Financial model inputs'!$B24,'Final allowances'!$B$6:$B$22,0))/5</f>
        <v>196.69925403929693</v>
      </c>
      <c r="AB24" s="204">
        <f>INDEX('Final allowances'!$G$6:$G$22,MATCH('Financial model inputs'!$B24,'Final allowances'!$B$6:$B$22,0))/5</f>
        <v>180.11858298939214</v>
      </c>
      <c r="AC24" s="204">
        <v>9.8421552515605082E-2</v>
      </c>
      <c r="AD24" s="204">
        <v>2.5914128773162832</v>
      </c>
      <c r="AE24" s="204">
        <f t="shared" si="6"/>
        <v>1.1419999999999999</v>
      </c>
      <c r="AF24" s="204">
        <f t="shared" si="7"/>
        <v>4.2549999999999999</v>
      </c>
      <c r="AG24" s="204">
        <v>0</v>
      </c>
      <c r="AH24" s="204">
        <v>1.1419999999999999</v>
      </c>
      <c r="AI24" s="204">
        <v>0</v>
      </c>
      <c r="AJ24" s="204">
        <v>4.2549999999999999</v>
      </c>
    </row>
    <row r="25" spans="1:36" s="205" customFormat="1" x14ac:dyDescent="0.2">
      <c r="A25" s="145" t="s">
        <v>188</v>
      </c>
      <c r="B25" s="182" t="s">
        <v>19</v>
      </c>
      <c r="C25" s="182" t="s">
        <v>24</v>
      </c>
      <c r="D25" s="203">
        <v>2021</v>
      </c>
      <c r="E25" s="204">
        <v>11.154999999999999</v>
      </c>
      <c r="F25" s="204">
        <v>1.1419999999999999</v>
      </c>
      <c r="G25" s="204">
        <v>1.5049999999999999</v>
      </c>
      <c r="H25" s="204">
        <f t="shared" si="0"/>
        <v>0.8082162005506448</v>
      </c>
      <c r="I25" s="204">
        <f t="shared" si="1"/>
        <v>0.19178379944935517</v>
      </c>
      <c r="J25" s="204">
        <f>(INDEX('Final allowances'!$S$29:$S$46, MATCH('Financial model inputs'!$B25, 'Final allowances'!$B$29:$B$46,0))/5) * H25</f>
        <v>11.090205439006395</v>
      </c>
      <c r="K25" s="204">
        <f>(INDEX('Final allowances'!$S$29:$S$46, MATCH('Financial model inputs'!$B25, 'Final allowances'!$B$29:$B$46,0))/5) * I25</f>
        <v>2.6316247240744</v>
      </c>
      <c r="L25" s="204">
        <f>(INDEX('Final allowances'!$P$51:$P$67,MATCH('Financial model inputs'!$B25,'Final allowances'!$B$51:$B$67,0))/5)</f>
        <v>1.6770995499614458</v>
      </c>
      <c r="M25" s="204">
        <f>INDEX('Final allowances'!$L$71:$N$89,MATCH('Financial model inputs'!$B25,'Final allowances'!$B$71:$B$89,0),MATCH('Financial model inputs'!$M$3,'Final allowances'!$L$71:$N$71,0))/5</f>
        <v>9.1999999999999998E-2</v>
      </c>
      <c r="N25" s="204">
        <f t="shared" si="2"/>
        <v>4.4007242740358459</v>
      </c>
      <c r="O25" s="204">
        <f>INDEX('Final allowances'!$I$6:$I$22,MATCH('Financial model inputs'!$B25,'Final allowances'!$B$6:$B$22,0))/5</f>
        <v>15.572137983652533</v>
      </c>
      <c r="P25" s="204">
        <f>INDEX('Final allowances'!$F$6:$F$22,MATCH('Financial model inputs'!$B25,'Final allowances'!$B$6:$B$22,0))/5</f>
        <v>15.398929713042241</v>
      </c>
      <c r="Q25" s="204">
        <v>80.33</v>
      </c>
      <c r="R25" s="204">
        <v>7.7969999999999997</v>
      </c>
      <c r="S25" s="204">
        <v>26.682000000000002</v>
      </c>
      <c r="T25" s="204">
        <f t="shared" si="3"/>
        <v>0.69968382269682694</v>
      </c>
      <c r="U25" s="204">
        <f t="shared" si="4"/>
        <v>0.30031617730317312</v>
      </c>
      <c r="V25" s="204">
        <f>(INDEX('Final allowances'!$T$29:$T$46, MATCH('Financial model inputs'!$B25, 'Final allowances'!$B$29:$B$46,0))/5) * T25</f>
        <v>97.166236487151181</v>
      </c>
      <c r="W25" s="204">
        <f>(INDEX('Final allowances'!$T$29:$T$46, MATCH('Financial model inputs'!$B25, 'Final allowances'!$B$29:$B$46,0))/5) * U25</f>
        <v>41.705398578868241</v>
      </c>
      <c r="X25" s="204">
        <f>(INDEX('Final allowances'!$Q$51:$Q$67,MATCH('Financial model inputs'!$B25,'Final allowances'!$B$51:$B$67,0))/5)</f>
        <v>23.728345633148816</v>
      </c>
      <c r="Y25" s="204">
        <f>INDEX('Final allowances'!$L$71:$N$89,MATCH('Financial model inputs'!$B25,'Final allowances'!$B$71:$B$89,0),MATCH('Financial model inputs'!$Y$3,'Final allowances'!$L$71:$N$71,0))/5</f>
        <v>0.17199999999999999</v>
      </c>
      <c r="Z25" s="204">
        <f t="shared" si="5"/>
        <v>65.605744212017058</v>
      </c>
      <c r="AA25" s="204">
        <f>INDEX('Final allowances'!$J$6:$J$22,MATCH('Financial model inputs'!$B25,'Final allowances'!$B$6:$B$22,0))/5</f>
        <v>169.5019051956362</v>
      </c>
      <c r="AB25" s="204">
        <f>INDEX('Final allowances'!$G$6:$G$22,MATCH('Financial model inputs'!$B25,'Final allowances'!$B$6:$B$22,0))/5</f>
        <v>162.59998069916824</v>
      </c>
      <c r="AC25" s="204">
        <v>0.20303680109070174</v>
      </c>
      <c r="AD25" s="204">
        <v>4.4299843218368311</v>
      </c>
      <c r="AE25" s="204">
        <f t="shared" si="6"/>
        <v>0</v>
      </c>
      <c r="AF25" s="204">
        <f t="shared" si="7"/>
        <v>4.9580000000000002</v>
      </c>
      <c r="AG25" s="204">
        <v>0</v>
      </c>
      <c r="AH25" s="204">
        <v>0</v>
      </c>
      <c r="AI25" s="204">
        <v>0</v>
      </c>
      <c r="AJ25" s="204">
        <v>4.9580000000000002</v>
      </c>
    </row>
    <row r="26" spans="1:36" s="205" customFormat="1" x14ac:dyDescent="0.2">
      <c r="A26" s="145" t="s">
        <v>189</v>
      </c>
      <c r="B26" s="182" t="s">
        <v>19</v>
      </c>
      <c r="C26" s="182" t="s">
        <v>25</v>
      </c>
      <c r="D26" s="203">
        <v>2022</v>
      </c>
      <c r="E26" s="204">
        <v>11.218999999999999</v>
      </c>
      <c r="F26" s="204">
        <v>0.629</v>
      </c>
      <c r="G26" s="204">
        <v>2.4849999999999999</v>
      </c>
      <c r="H26" s="204">
        <f t="shared" si="0"/>
        <v>0.78273913346822022</v>
      </c>
      <c r="I26" s="204">
        <f t="shared" si="1"/>
        <v>0.21726086653177981</v>
      </c>
      <c r="J26" s="204">
        <f>(INDEX('Final allowances'!$S$29:$S$46, MATCH('Financial model inputs'!$B26, 'Final allowances'!$B$29:$B$46,0))/5) * H26</f>
        <v>10.740613451447949</v>
      </c>
      <c r="K26" s="204">
        <f>(INDEX('Final allowances'!$S$29:$S$46, MATCH('Financial model inputs'!$B26, 'Final allowances'!$B$29:$B$46,0))/5) * I26</f>
        <v>2.9812167116328472</v>
      </c>
      <c r="L26" s="204">
        <f>(INDEX('Final allowances'!$P$51:$P$67,MATCH('Financial model inputs'!$B26,'Final allowances'!$B$51:$B$67,0))/5)</f>
        <v>1.6770995499614458</v>
      </c>
      <c r="M26" s="204">
        <f>INDEX('Final allowances'!$L$71:$N$89,MATCH('Financial model inputs'!$B26,'Final allowances'!$B$71:$B$89,0),MATCH('Financial model inputs'!$M$3,'Final allowances'!$L$71:$N$71,0))/5</f>
        <v>9.1999999999999998E-2</v>
      </c>
      <c r="N26" s="204">
        <f t="shared" si="2"/>
        <v>4.7503162615942927</v>
      </c>
      <c r="O26" s="204">
        <f>INDEX('Final allowances'!$I$6:$I$22,MATCH('Financial model inputs'!$B26,'Final allowances'!$B$6:$B$22,0))/5</f>
        <v>15.572137983652533</v>
      </c>
      <c r="P26" s="204">
        <f>INDEX('Final allowances'!$F$6:$F$22,MATCH('Financial model inputs'!$B26,'Final allowances'!$B$6:$B$22,0))/5</f>
        <v>15.398929713042241</v>
      </c>
      <c r="Q26" s="204">
        <v>80.656999999999996</v>
      </c>
      <c r="R26" s="204">
        <v>8.8669999999999991</v>
      </c>
      <c r="S26" s="204">
        <v>32.497</v>
      </c>
      <c r="T26" s="204">
        <f t="shared" si="3"/>
        <v>0.66100917055260977</v>
      </c>
      <c r="U26" s="204">
        <f t="shared" si="4"/>
        <v>0.33899082944739017</v>
      </c>
      <c r="V26" s="204">
        <f>(INDEX('Final allowances'!$T$29:$T$46, MATCH('Financial model inputs'!$B26, 'Final allowances'!$B$29:$B$46,0))/5) * T26</f>
        <v>91.795424308274221</v>
      </c>
      <c r="W26" s="204">
        <f>(INDEX('Final allowances'!$T$29:$T$46, MATCH('Financial model inputs'!$B26, 'Final allowances'!$B$29:$B$46,0))/5) * U26</f>
        <v>47.076210757745201</v>
      </c>
      <c r="X26" s="204">
        <f>(INDEX('Final allowances'!$Q$51:$Q$67,MATCH('Financial model inputs'!$B26,'Final allowances'!$B$51:$B$67,0))/5)</f>
        <v>23.728345633148816</v>
      </c>
      <c r="Y26" s="204">
        <f>INDEX('Final allowances'!$L$71:$N$89,MATCH('Financial model inputs'!$B26,'Final allowances'!$B$71:$B$89,0),MATCH('Financial model inputs'!$Y$3,'Final allowances'!$L$71:$N$71,0))/5</f>
        <v>0.17199999999999999</v>
      </c>
      <c r="Z26" s="204">
        <f t="shared" si="5"/>
        <v>70.976556390894018</v>
      </c>
      <c r="AA26" s="204">
        <f>INDEX('Final allowances'!$J$6:$J$22,MATCH('Financial model inputs'!$B26,'Final allowances'!$B$6:$B$22,0))/5</f>
        <v>169.5019051956362</v>
      </c>
      <c r="AB26" s="204">
        <f>INDEX('Final allowances'!$G$6:$G$22,MATCH('Financial model inputs'!$B26,'Final allowances'!$B$6:$B$22,0))/5</f>
        <v>162.59998069916824</v>
      </c>
      <c r="AC26" s="204">
        <v>0.20300455196075509</v>
      </c>
      <c r="AD26" s="204">
        <v>4.4296381605028845</v>
      </c>
      <c r="AE26" s="204">
        <f t="shared" si="6"/>
        <v>0</v>
      </c>
      <c r="AF26" s="204">
        <f t="shared" si="7"/>
        <v>4.9580000000000002</v>
      </c>
      <c r="AG26" s="204">
        <v>0</v>
      </c>
      <c r="AH26" s="204">
        <v>0</v>
      </c>
      <c r="AI26" s="204">
        <v>0</v>
      </c>
      <c r="AJ26" s="204">
        <v>4.9580000000000002</v>
      </c>
    </row>
    <row r="27" spans="1:36" s="205" customFormat="1" x14ac:dyDescent="0.2">
      <c r="A27" s="145" t="s">
        <v>190</v>
      </c>
      <c r="B27" s="182" t="s">
        <v>19</v>
      </c>
      <c r="C27" s="182" t="s">
        <v>26</v>
      </c>
      <c r="D27" s="203">
        <v>2023</v>
      </c>
      <c r="E27" s="204">
        <v>11.236000000000001</v>
      </c>
      <c r="F27" s="204">
        <v>0.79</v>
      </c>
      <c r="G27" s="204">
        <v>1.4450000000000001</v>
      </c>
      <c r="H27" s="204">
        <f t="shared" si="0"/>
        <v>0.83408804097691336</v>
      </c>
      <c r="I27" s="204">
        <f t="shared" si="1"/>
        <v>0.16591195902308664</v>
      </c>
      <c r="J27" s="204">
        <f>(INDEX('Final allowances'!$S$29:$S$46, MATCH('Financial model inputs'!$B27, 'Final allowances'!$B$29:$B$46,0))/5) * H27</f>
        <v>11.44521443934198</v>
      </c>
      <c r="K27" s="204">
        <f>(INDEX('Final allowances'!$S$29:$S$46, MATCH('Financial model inputs'!$B27, 'Final allowances'!$B$29:$B$46,0))/5) * I27</f>
        <v>2.2766157237388152</v>
      </c>
      <c r="L27" s="204">
        <f>(INDEX('Final allowances'!$P$51:$P$67,MATCH('Financial model inputs'!$B27,'Final allowances'!$B$51:$B$67,0))/5)</f>
        <v>1.6770995499614458</v>
      </c>
      <c r="M27" s="204">
        <f>INDEX('Final allowances'!$L$71:$N$89,MATCH('Financial model inputs'!$B27,'Final allowances'!$B$71:$B$89,0),MATCH('Financial model inputs'!$M$3,'Final allowances'!$L$71:$N$71,0))/5</f>
        <v>9.1999999999999998E-2</v>
      </c>
      <c r="N27" s="204">
        <f t="shared" si="2"/>
        <v>4.0457152737002611</v>
      </c>
      <c r="O27" s="204">
        <f>INDEX('Final allowances'!$I$6:$I$22,MATCH('Financial model inputs'!$B27,'Final allowances'!$B$6:$B$22,0))/5</f>
        <v>15.572137983652533</v>
      </c>
      <c r="P27" s="204">
        <f>INDEX('Final allowances'!$F$6:$F$22,MATCH('Financial model inputs'!$B27,'Final allowances'!$B$6:$B$22,0))/5</f>
        <v>15.398929713042241</v>
      </c>
      <c r="Q27" s="204">
        <v>80.408000000000001</v>
      </c>
      <c r="R27" s="204">
        <v>9.234</v>
      </c>
      <c r="S27" s="204">
        <v>37.342999999999996</v>
      </c>
      <c r="T27" s="204">
        <f t="shared" si="3"/>
        <v>0.6332086466905541</v>
      </c>
      <c r="U27" s="204">
        <f t="shared" si="4"/>
        <v>0.36679135330944601</v>
      </c>
      <c r="V27" s="204">
        <f>(INDEX('Final allowances'!$T$29:$T$46, MATCH('Financial model inputs'!$B27, 'Final allowances'!$B$29:$B$46,0))/5) * T27</f>
        <v>87.934720103858652</v>
      </c>
      <c r="W27" s="204">
        <f>(INDEX('Final allowances'!$T$29:$T$46, MATCH('Financial model inputs'!$B27, 'Final allowances'!$B$29:$B$46,0))/5) * U27</f>
        <v>50.936914962160785</v>
      </c>
      <c r="X27" s="204">
        <f>(INDEX('Final allowances'!$Q$51:$Q$67,MATCH('Financial model inputs'!$B27,'Final allowances'!$B$51:$B$67,0))/5)</f>
        <v>23.728345633148816</v>
      </c>
      <c r="Y27" s="204">
        <f>INDEX('Final allowances'!$L$71:$N$89,MATCH('Financial model inputs'!$B27,'Final allowances'!$B$71:$B$89,0),MATCH('Financial model inputs'!$Y$3,'Final allowances'!$L$71:$N$71,0))/5</f>
        <v>0.17199999999999999</v>
      </c>
      <c r="Z27" s="204">
        <f t="shared" si="5"/>
        <v>74.837260595309601</v>
      </c>
      <c r="AA27" s="204">
        <f>INDEX('Final allowances'!$J$6:$J$22,MATCH('Financial model inputs'!$B27,'Final allowances'!$B$6:$B$22,0))/5</f>
        <v>169.5019051956362</v>
      </c>
      <c r="AB27" s="204">
        <f>INDEX('Final allowances'!$G$6:$G$22,MATCH('Financial model inputs'!$B27,'Final allowances'!$B$6:$B$22,0))/5</f>
        <v>162.59998069916824</v>
      </c>
      <c r="AC27" s="204">
        <v>0</v>
      </c>
      <c r="AD27" s="204">
        <v>0</v>
      </c>
      <c r="AE27" s="204">
        <f t="shared" si="6"/>
        <v>0</v>
      </c>
      <c r="AF27" s="204">
        <f t="shared" si="7"/>
        <v>4.9580000000000002</v>
      </c>
      <c r="AG27" s="204">
        <v>0</v>
      </c>
      <c r="AH27" s="204">
        <v>0</v>
      </c>
      <c r="AI27" s="204">
        <v>0</v>
      </c>
      <c r="AJ27" s="204">
        <v>4.9580000000000002</v>
      </c>
    </row>
    <row r="28" spans="1:36" s="205" customFormat="1" x14ac:dyDescent="0.2">
      <c r="A28" s="145" t="s">
        <v>191</v>
      </c>
      <c r="B28" s="182" t="s">
        <v>19</v>
      </c>
      <c r="C28" s="182" t="s">
        <v>27</v>
      </c>
      <c r="D28" s="203">
        <v>2024</v>
      </c>
      <c r="E28" s="204">
        <v>11.269</v>
      </c>
      <c r="F28" s="204">
        <v>0.43</v>
      </c>
      <c r="G28" s="204">
        <v>0.72299999999999998</v>
      </c>
      <c r="H28" s="204">
        <f t="shared" si="0"/>
        <v>0.90718080824343905</v>
      </c>
      <c r="I28" s="204">
        <f t="shared" si="1"/>
        <v>9.2819191756560934E-2</v>
      </c>
      <c r="J28" s="204">
        <f>(INDEX('Final allowances'!$S$29:$S$46, MATCH('Financial model inputs'!$B28, 'Final allowances'!$B$29:$B$46,0))/5) * H28</f>
        <v>12.448180977922837</v>
      </c>
      <c r="K28" s="204">
        <f>(INDEX('Final allowances'!$S$29:$S$46, MATCH('Financial model inputs'!$B28, 'Final allowances'!$B$29:$B$46,0))/5) * I28</f>
        <v>1.2736491851579581</v>
      </c>
      <c r="L28" s="204">
        <f>(INDEX('Final allowances'!$P$51:$P$67,MATCH('Financial model inputs'!$B28,'Final allowances'!$B$51:$B$67,0))/5)</f>
        <v>1.6770995499614458</v>
      </c>
      <c r="M28" s="204">
        <f>INDEX('Final allowances'!$L$71:$N$89,MATCH('Financial model inputs'!$B28,'Final allowances'!$B$71:$B$89,0),MATCH('Financial model inputs'!$M$3,'Final allowances'!$L$71:$N$71,0))/5</f>
        <v>9.1999999999999998E-2</v>
      </c>
      <c r="N28" s="204">
        <f t="shared" si="2"/>
        <v>3.042748735119404</v>
      </c>
      <c r="O28" s="204">
        <f>INDEX('Final allowances'!$I$6:$I$22,MATCH('Financial model inputs'!$B28,'Final allowances'!$B$6:$B$22,0))/5</f>
        <v>15.572137983652533</v>
      </c>
      <c r="P28" s="204">
        <f>INDEX('Final allowances'!$F$6:$F$22,MATCH('Financial model inputs'!$B28,'Final allowances'!$B$6:$B$22,0))/5</f>
        <v>15.398929713042241</v>
      </c>
      <c r="Q28" s="204">
        <v>79.600999999999999</v>
      </c>
      <c r="R28" s="204">
        <v>6.798</v>
      </c>
      <c r="S28" s="204">
        <v>36.676000000000002</v>
      </c>
      <c r="T28" s="204">
        <f t="shared" si="3"/>
        <v>0.64676823075360546</v>
      </c>
      <c r="U28" s="204">
        <f t="shared" si="4"/>
        <v>0.35323176924639449</v>
      </c>
      <c r="V28" s="204">
        <f>(INDEX('Final allowances'!$T$29:$T$46, MATCH('Financial model inputs'!$B28, 'Final allowances'!$B$29:$B$46,0))/5) * T28</f>
        <v>89.817761713509739</v>
      </c>
      <c r="W28" s="204">
        <f>(INDEX('Final allowances'!$T$29:$T$46, MATCH('Financial model inputs'!$B28, 'Final allowances'!$B$29:$B$46,0))/5) * U28</f>
        <v>49.053873352509676</v>
      </c>
      <c r="X28" s="204">
        <f>(INDEX('Final allowances'!$Q$51:$Q$67,MATCH('Financial model inputs'!$B28,'Final allowances'!$B$51:$B$67,0))/5)</f>
        <v>23.728345633148816</v>
      </c>
      <c r="Y28" s="204">
        <f>INDEX('Final allowances'!$L$71:$N$89,MATCH('Financial model inputs'!$B28,'Final allowances'!$B$71:$B$89,0),MATCH('Financial model inputs'!$Y$3,'Final allowances'!$L$71:$N$71,0))/5</f>
        <v>0.17199999999999999</v>
      </c>
      <c r="Z28" s="204">
        <f t="shared" si="5"/>
        <v>72.954218985658486</v>
      </c>
      <c r="AA28" s="204">
        <f>INDEX('Final allowances'!$J$6:$J$22,MATCH('Financial model inputs'!$B28,'Final allowances'!$B$6:$B$22,0))/5</f>
        <v>169.5019051956362</v>
      </c>
      <c r="AB28" s="204">
        <f>INDEX('Final allowances'!$G$6:$G$22,MATCH('Financial model inputs'!$B28,'Final allowances'!$B$6:$B$22,0))/5</f>
        <v>162.59998069916824</v>
      </c>
      <c r="AC28" s="204">
        <v>0</v>
      </c>
      <c r="AD28" s="204">
        <v>0</v>
      </c>
      <c r="AE28" s="204">
        <f t="shared" si="6"/>
        <v>0</v>
      </c>
      <c r="AF28" s="204">
        <f t="shared" si="7"/>
        <v>4.9580000000000002</v>
      </c>
      <c r="AG28" s="204">
        <v>0</v>
      </c>
      <c r="AH28" s="204">
        <v>0</v>
      </c>
      <c r="AI28" s="204">
        <v>0</v>
      </c>
      <c r="AJ28" s="204">
        <v>4.9580000000000002</v>
      </c>
    </row>
    <row r="29" spans="1:36" s="205" customFormat="1" x14ac:dyDescent="0.2">
      <c r="A29" s="145" t="s">
        <v>192</v>
      </c>
      <c r="B29" s="182" t="s">
        <v>19</v>
      </c>
      <c r="C29" s="182" t="s">
        <v>28</v>
      </c>
      <c r="D29" s="203">
        <v>2025</v>
      </c>
      <c r="E29" s="204">
        <v>11.311999999999999</v>
      </c>
      <c r="F29" s="204">
        <v>0.28199999999999997</v>
      </c>
      <c r="G29" s="204">
        <v>0.48399999999999999</v>
      </c>
      <c r="H29" s="204">
        <f t="shared" si="0"/>
        <v>0.93657890379201858</v>
      </c>
      <c r="I29" s="204">
        <f t="shared" si="1"/>
        <v>6.3421096207981462E-2</v>
      </c>
      <c r="J29" s="204">
        <f>(INDEX('Final allowances'!$S$29:$S$46, MATCH('Financial model inputs'!$B29, 'Final allowances'!$B$29:$B$46,0))/5) * H29</f>
        <v>12.851576652158467</v>
      </c>
      <c r="K29" s="204">
        <f>(INDEX('Final allowances'!$S$29:$S$46, MATCH('Financial model inputs'!$B29, 'Final allowances'!$B$29:$B$46,0))/5) * I29</f>
        <v>0.87025351092232905</v>
      </c>
      <c r="L29" s="204">
        <f>(INDEX('Final allowances'!$P$51:$P$67,MATCH('Financial model inputs'!$B29,'Final allowances'!$B$51:$B$67,0))/5)</f>
        <v>1.6770995499614458</v>
      </c>
      <c r="M29" s="204">
        <f>INDEX('Final allowances'!$L$71:$N$89,MATCH('Financial model inputs'!$B29,'Final allowances'!$B$71:$B$89,0),MATCH('Financial model inputs'!$M$3,'Final allowances'!$L$71:$N$71,0))/5</f>
        <v>9.1999999999999998E-2</v>
      </c>
      <c r="N29" s="204">
        <f t="shared" si="2"/>
        <v>2.6393530608837747</v>
      </c>
      <c r="O29" s="204">
        <f>INDEX('Final allowances'!$I$6:$I$22,MATCH('Financial model inputs'!$B29,'Final allowances'!$B$6:$B$22,0))/5</f>
        <v>15.572137983652533</v>
      </c>
      <c r="P29" s="204">
        <f>INDEX('Final allowances'!$F$6:$F$22,MATCH('Financial model inputs'!$B29,'Final allowances'!$B$6:$B$22,0))/5</f>
        <v>15.398929713042241</v>
      </c>
      <c r="Q29" s="204">
        <v>79.292000000000002</v>
      </c>
      <c r="R29" s="204">
        <v>6.306</v>
      </c>
      <c r="S29" s="204">
        <v>38.110999999999997</v>
      </c>
      <c r="T29" s="204">
        <f t="shared" si="3"/>
        <v>0.64095579141372094</v>
      </c>
      <c r="U29" s="204">
        <f t="shared" si="4"/>
        <v>0.35904420858627906</v>
      </c>
      <c r="V29" s="204">
        <f>(INDEX('Final allowances'!$T$29:$T$46, MATCH('Financial model inputs'!$B29, 'Final allowances'!$B$29:$B$46,0))/5) * T29</f>
        <v>89.010578758657914</v>
      </c>
      <c r="W29" s="204">
        <f>(INDEX('Final allowances'!$T$29:$T$46, MATCH('Financial model inputs'!$B29, 'Final allowances'!$B$29:$B$46,0))/5) * U29</f>
        <v>49.861056307361501</v>
      </c>
      <c r="X29" s="204">
        <f>(INDEX('Final allowances'!$Q$51:$Q$67,MATCH('Financial model inputs'!$B29,'Final allowances'!$B$51:$B$67,0))/5)</f>
        <v>23.728345633148816</v>
      </c>
      <c r="Y29" s="204">
        <f>INDEX('Final allowances'!$L$71:$N$89,MATCH('Financial model inputs'!$B29,'Final allowances'!$B$71:$B$89,0),MATCH('Financial model inputs'!$Y$3,'Final allowances'!$L$71:$N$71,0))/5</f>
        <v>0.17199999999999999</v>
      </c>
      <c r="Z29" s="204">
        <f t="shared" si="5"/>
        <v>73.761401940510311</v>
      </c>
      <c r="AA29" s="204">
        <f>INDEX('Final allowances'!$J$6:$J$22,MATCH('Financial model inputs'!$B29,'Final allowances'!$B$6:$B$22,0))/5</f>
        <v>169.5019051956362</v>
      </c>
      <c r="AB29" s="204">
        <f>INDEX('Final allowances'!$G$6:$G$22,MATCH('Financial model inputs'!$B29,'Final allowances'!$B$6:$B$22,0))/5</f>
        <v>162.59998069916824</v>
      </c>
      <c r="AC29" s="204">
        <v>0</v>
      </c>
      <c r="AD29" s="204">
        <v>0</v>
      </c>
      <c r="AE29" s="204">
        <f t="shared" si="6"/>
        <v>0</v>
      </c>
      <c r="AF29" s="204">
        <f t="shared" si="7"/>
        <v>4.9580000000000002</v>
      </c>
      <c r="AG29" s="204">
        <v>0</v>
      </c>
      <c r="AH29" s="204">
        <v>0</v>
      </c>
      <c r="AI29" s="204">
        <v>0</v>
      </c>
      <c r="AJ29" s="204">
        <v>4.9580000000000002</v>
      </c>
    </row>
    <row r="30" spans="1:36" s="205" customFormat="1" x14ac:dyDescent="0.2">
      <c r="A30" s="145" t="s">
        <v>193</v>
      </c>
      <c r="B30" s="182" t="s">
        <v>9</v>
      </c>
      <c r="C30" s="182" t="s">
        <v>24</v>
      </c>
      <c r="D30" s="203">
        <v>2021</v>
      </c>
      <c r="E30" s="204">
        <v>70.263574420979296</v>
      </c>
      <c r="F30" s="204">
        <v>11.7930176186</v>
      </c>
      <c r="G30" s="204">
        <v>18.404272216599999</v>
      </c>
      <c r="H30" s="204">
        <f t="shared" si="0"/>
        <v>0.69941240244364533</v>
      </c>
      <c r="I30" s="204">
        <f t="shared" si="1"/>
        <v>0.30058759755635472</v>
      </c>
      <c r="J30" s="204">
        <f>(INDEX('Final allowances'!$S$29:$S$46, MATCH('Financial model inputs'!$B30, 'Final allowances'!$B$29:$B$46,0))/5) * H30</f>
        <v>49.297088713330602</v>
      </c>
      <c r="K30" s="204">
        <f>(INDEX('Final allowances'!$S$29:$S$46, MATCH('Financial model inputs'!$B30, 'Final allowances'!$B$29:$B$46,0))/5) * I30</f>
        <v>21.186489417531444</v>
      </c>
      <c r="L30" s="204">
        <f>(INDEX('Final allowances'!$P$51:$P$67,MATCH('Financial model inputs'!$B30,'Final allowances'!$B$51:$B$67,0))/5)</f>
        <v>26.119303718280172</v>
      </c>
      <c r="M30" s="204">
        <f>INDEX('Final allowances'!$L$71:$N$89,MATCH('Financial model inputs'!$B30,'Final allowances'!$B$71:$B$89,0),MATCH('Financial model inputs'!$M$3,'Final allowances'!$L$71:$N$71,0))/5</f>
        <v>33.807866666666669</v>
      </c>
      <c r="N30" s="204">
        <f t="shared" si="2"/>
        <v>81.113659802478281</v>
      </c>
      <c r="O30" s="204">
        <f>INDEX('Final allowances'!$I$6:$I$22,MATCH('Financial model inputs'!$B30,'Final allowances'!$B$6:$B$22,0))/5</f>
        <v>134.12703013397987</v>
      </c>
      <c r="P30" s="204">
        <f>INDEX('Final allowances'!$F$6:$F$22,MATCH('Financial model inputs'!$B30,'Final allowances'!$B$6:$B$22,0))/5</f>
        <v>96.602881849142221</v>
      </c>
      <c r="Q30" s="204">
        <v>394.24945051211182</v>
      </c>
      <c r="R30" s="204">
        <v>129.27081244480001</v>
      </c>
      <c r="S30" s="204">
        <v>233.75988293690011</v>
      </c>
      <c r="T30" s="204">
        <f t="shared" si="3"/>
        <v>0.52061242150589093</v>
      </c>
      <c r="U30" s="204">
        <f t="shared" si="4"/>
        <v>0.47938757849410901</v>
      </c>
      <c r="V30" s="204">
        <f>(INDEX('Final allowances'!$T$29:$T$46, MATCH('Financial model inputs'!$B30, 'Final allowances'!$B$29:$B$46,0))/5) * T30</f>
        <v>332.77987911420871</v>
      </c>
      <c r="W30" s="204">
        <f>(INDEX('Final allowances'!$T$29:$T$46, MATCH('Financial model inputs'!$B30, 'Final allowances'!$B$29:$B$46,0))/5) * U30</f>
        <v>306.42860951852583</v>
      </c>
      <c r="X30" s="204">
        <f>(INDEX('Final allowances'!$Q$51:$Q$67,MATCH('Financial model inputs'!$B30,'Final allowances'!$B$51:$B$67,0))/5)</f>
        <v>96.967442682362488</v>
      </c>
      <c r="Y30" s="204">
        <f>INDEX('Final allowances'!$L$71:$N$89,MATCH('Financial model inputs'!$B30,'Final allowances'!$B$71:$B$89,0),MATCH('Financial model inputs'!$Y$3,'Final allowances'!$L$71:$N$71,0))/5</f>
        <v>2.0405999999999991</v>
      </c>
      <c r="Z30" s="204">
        <f t="shared" si="5"/>
        <v>405.43665220088832</v>
      </c>
      <c r="AA30" s="204">
        <f>INDEX('Final allowances'!$J$6:$J$22,MATCH('Financial model inputs'!$B30,'Final allowances'!$B$6:$B$22,0))/5</f>
        <v>748.02666732237265</v>
      </c>
      <c r="AB30" s="204">
        <f>INDEX('Final allowances'!$G$6:$G$22,MATCH('Financial model inputs'!$B30,'Final allowances'!$B$6:$B$22,0))/5</f>
        <v>736.17593131509705</v>
      </c>
      <c r="AC30" s="204">
        <v>1.1368805550205505</v>
      </c>
      <c r="AD30" s="204">
        <v>9.9512285700137646</v>
      </c>
      <c r="AE30" s="204">
        <f t="shared" si="6"/>
        <v>2.7831840249554198</v>
      </c>
      <c r="AF30" s="204">
        <f t="shared" si="7"/>
        <v>3.771663660904129</v>
      </c>
      <c r="AG30" s="204">
        <v>0</v>
      </c>
      <c r="AH30" s="204">
        <v>2.7831840249554198</v>
      </c>
      <c r="AI30" s="204">
        <v>0</v>
      </c>
      <c r="AJ30" s="204">
        <v>3.771663660904129</v>
      </c>
    </row>
    <row r="31" spans="1:36" s="205" customFormat="1" x14ac:dyDescent="0.2">
      <c r="A31" s="145" t="s">
        <v>194</v>
      </c>
      <c r="B31" s="182" t="s">
        <v>9</v>
      </c>
      <c r="C31" s="182" t="s">
        <v>25</v>
      </c>
      <c r="D31" s="203">
        <v>2022</v>
      </c>
      <c r="E31" s="204">
        <v>71.8741557919206</v>
      </c>
      <c r="F31" s="204">
        <v>12.808241818600001</v>
      </c>
      <c r="G31" s="204">
        <v>13.465655109</v>
      </c>
      <c r="H31" s="204">
        <f t="shared" si="0"/>
        <v>0.73230343140191112</v>
      </c>
      <c r="I31" s="204">
        <f t="shared" si="1"/>
        <v>0.26769656859808899</v>
      </c>
      <c r="J31" s="204">
        <f>(INDEX('Final allowances'!$S$29:$S$46, MATCH('Financial model inputs'!$B31, 'Final allowances'!$B$29:$B$46,0))/5) * H31</f>
        <v>51.615366122714974</v>
      </c>
      <c r="K31" s="204">
        <f>(INDEX('Final allowances'!$S$29:$S$46, MATCH('Financial model inputs'!$B31, 'Final allowances'!$B$29:$B$46,0))/5) * I31</f>
        <v>18.868212008147076</v>
      </c>
      <c r="L31" s="204">
        <f>(INDEX('Final allowances'!$P$51:$P$67,MATCH('Financial model inputs'!$B31,'Final allowances'!$B$51:$B$67,0))/5)</f>
        <v>26.119303718280172</v>
      </c>
      <c r="M31" s="204">
        <f>INDEX('Final allowances'!$L$71:$N$89,MATCH('Financial model inputs'!$B31,'Final allowances'!$B$71:$B$89,0),MATCH('Financial model inputs'!$M$3,'Final allowances'!$L$71:$N$71,0))/5</f>
        <v>33.807866666666669</v>
      </c>
      <c r="N31" s="204">
        <f t="shared" si="2"/>
        <v>78.795382393093917</v>
      </c>
      <c r="O31" s="204">
        <f>INDEX('Final allowances'!$I$6:$I$22,MATCH('Financial model inputs'!$B31,'Final allowances'!$B$6:$B$22,0))/5</f>
        <v>134.12703013397987</v>
      </c>
      <c r="P31" s="204">
        <f>INDEX('Final allowances'!$F$6:$F$22,MATCH('Financial model inputs'!$B31,'Final allowances'!$B$6:$B$22,0))/5</f>
        <v>96.602881849142221</v>
      </c>
      <c r="Q31" s="204">
        <v>384.214567256929</v>
      </c>
      <c r="R31" s="204">
        <v>152.6123800924</v>
      </c>
      <c r="S31" s="204">
        <v>229.0698818205</v>
      </c>
      <c r="T31" s="204">
        <f t="shared" si="3"/>
        <v>0.5016531634859841</v>
      </c>
      <c r="U31" s="204">
        <f t="shared" si="4"/>
        <v>0.49834683651401601</v>
      </c>
      <c r="V31" s="204">
        <f>(INDEX('Final allowances'!$T$29:$T$46, MATCH('Financial model inputs'!$B31, 'Final allowances'!$B$29:$B$46,0))/5) * T31</f>
        <v>320.66096044970601</v>
      </c>
      <c r="W31" s="204">
        <f>(INDEX('Final allowances'!$T$29:$T$46, MATCH('Financial model inputs'!$B31, 'Final allowances'!$B$29:$B$46,0))/5) * U31</f>
        <v>318.54752818302865</v>
      </c>
      <c r="X31" s="204">
        <f>(INDEX('Final allowances'!$Q$51:$Q$67,MATCH('Financial model inputs'!$B31,'Final allowances'!$B$51:$B$67,0))/5)</f>
        <v>96.967442682362488</v>
      </c>
      <c r="Y31" s="204">
        <f>INDEX('Final allowances'!$L$71:$N$89,MATCH('Financial model inputs'!$B31,'Final allowances'!$B$71:$B$89,0),MATCH('Financial model inputs'!$Y$3,'Final allowances'!$L$71:$N$71,0))/5</f>
        <v>2.0405999999999991</v>
      </c>
      <c r="Z31" s="204">
        <f t="shared" si="5"/>
        <v>417.55557086539113</v>
      </c>
      <c r="AA31" s="204">
        <f>INDEX('Final allowances'!$J$6:$J$22,MATCH('Financial model inputs'!$B31,'Final allowances'!$B$6:$B$22,0))/5</f>
        <v>748.02666732237265</v>
      </c>
      <c r="AB31" s="204">
        <f>INDEX('Final allowances'!$G$6:$G$22,MATCH('Financial model inputs'!$B31,'Final allowances'!$B$6:$B$22,0))/5</f>
        <v>736.17593131509705</v>
      </c>
      <c r="AC31" s="204">
        <v>1.1368805550205463</v>
      </c>
      <c r="AD31" s="204">
        <v>9.951228570013738</v>
      </c>
      <c r="AE31" s="204">
        <f t="shared" si="6"/>
        <v>2.9523159271177501</v>
      </c>
      <c r="AF31" s="204">
        <f t="shared" si="7"/>
        <v>3.8086837982243709</v>
      </c>
      <c r="AG31" s="204">
        <v>0</v>
      </c>
      <c r="AH31" s="204">
        <v>2.9523159271177501</v>
      </c>
      <c r="AI31" s="204">
        <v>0</v>
      </c>
      <c r="AJ31" s="204">
        <v>3.8086837982243709</v>
      </c>
    </row>
    <row r="32" spans="1:36" s="205" customFormat="1" x14ac:dyDescent="0.2">
      <c r="A32" s="145" t="s">
        <v>195</v>
      </c>
      <c r="B32" s="182" t="s">
        <v>9</v>
      </c>
      <c r="C32" s="182" t="s">
        <v>26</v>
      </c>
      <c r="D32" s="203">
        <v>2023</v>
      </c>
      <c r="E32" s="204">
        <v>67.744320660203201</v>
      </c>
      <c r="F32" s="204">
        <v>13.824414236000001</v>
      </c>
      <c r="G32" s="204">
        <v>7.1031113135000004</v>
      </c>
      <c r="H32" s="204">
        <f t="shared" si="0"/>
        <v>0.76398906254858234</v>
      </c>
      <c r="I32" s="204">
        <f t="shared" si="1"/>
        <v>0.23601093745141782</v>
      </c>
      <c r="J32" s="204">
        <f>(INDEX('Final allowances'!$S$29:$S$46, MATCH('Financial model inputs'!$B32, 'Final allowances'!$B$29:$B$46,0))/5) * H32</f>
        <v>53.848682781267051</v>
      </c>
      <c r="K32" s="204">
        <f>(INDEX('Final allowances'!$S$29:$S$46, MATCH('Financial model inputs'!$B32, 'Final allowances'!$B$29:$B$46,0))/5) * I32</f>
        <v>16.634895349595002</v>
      </c>
      <c r="L32" s="204">
        <f>(INDEX('Final allowances'!$P$51:$P$67,MATCH('Financial model inputs'!$B32,'Final allowances'!$B$51:$B$67,0))/5)</f>
        <v>26.119303718280172</v>
      </c>
      <c r="M32" s="204">
        <f>INDEX('Final allowances'!$L$71:$N$89,MATCH('Financial model inputs'!$B32,'Final allowances'!$B$71:$B$89,0),MATCH('Financial model inputs'!$M$3,'Final allowances'!$L$71:$N$71,0))/5</f>
        <v>33.807866666666669</v>
      </c>
      <c r="N32" s="204">
        <f t="shared" si="2"/>
        <v>76.562065734541846</v>
      </c>
      <c r="O32" s="204">
        <f>INDEX('Final allowances'!$I$6:$I$22,MATCH('Financial model inputs'!$B32,'Final allowances'!$B$6:$B$22,0))/5</f>
        <v>134.12703013397987</v>
      </c>
      <c r="P32" s="204">
        <f>INDEX('Final allowances'!$F$6:$F$22,MATCH('Financial model inputs'!$B32,'Final allowances'!$B$6:$B$22,0))/5</f>
        <v>96.602881849142221</v>
      </c>
      <c r="Q32" s="204">
        <v>371.47835836566355</v>
      </c>
      <c r="R32" s="204">
        <v>131.35252795860001</v>
      </c>
      <c r="S32" s="204">
        <v>192.87554431150022</v>
      </c>
      <c r="T32" s="204">
        <f t="shared" si="3"/>
        <v>0.53395849457103917</v>
      </c>
      <c r="U32" s="204">
        <f t="shared" si="4"/>
        <v>0.46604150542896078</v>
      </c>
      <c r="V32" s="204">
        <f>(INDEX('Final allowances'!$T$29:$T$46, MATCH('Financial model inputs'!$B32, 'Final allowances'!$B$29:$B$46,0))/5) * T32</f>
        <v>341.31080230736416</v>
      </c>
      <c r="W32" s="204">
        <f>(INDEX('Final allowances'!$T$29:$T$46, MATCH('Financial model inputs'!$B32, 'Final allowances'!$B$29:$B$46,0))/5) * U32</f>
        <v>297.89768632537039</v>
      </c>
      <c r="X32" s="204">
        <f>(INDEX('Final allowances'!$Q$51:$Q$67,MATCH('Financial model inputs'!$B32,'Final allowances'!$B$51:$B$67,0))/5)</f>
        <v>96.967442682362488</v>
      </c>
      <c r="Y32" s="204">
        <f>INDEX('Final allowances'!$L$71:$N$89,MATCH('Financial model inputs'!$B32,'Final allowances'!$B$71:$B$89,0),MATCH('Financial model inputs'!$Y$3,'Final allowances'!$L$71:$N$71,0))/5</f>
        <v>2.0405999999999991</v>
      </c>
      <c r="Z32" s="204">
        <f t="shared" si="5"/>
        <v>396.90572900773287</v>
      </c>
      <c r="AA32" s="204">
        <f>INDEX('Final allowances'!$J$6:$J$22,MATCH('Financial model inputs'!$B32,'Final allowances'!$B$6:$B$22,0))/5</f>
        <v>748.02666732237265</v>
      </c>
      <c r="AB32" s="204">
        <f>INDEX('Final allowances'!$G$6:$G$22,MATCH('Financial model inputs'!$B32,'Final allowances'!$B$6:$B$22,0))/5</f>
        <v>736.17593131509705</v>
      </c>
      <c r="AC32" s="204">
        <v>1.1368805550205534</v>
      </c>
      <c r="AD32" s="204">
        <v>9.9512285700137433</v>
      </c>
      <c r="AE32" s="204">
        <f t="shared" si="6"/>
        <v>3.0919136764552202</v>
      </c>
      <c r="AF32" s="204">
        <f t="shared" si="7"/>
        <v>3.8571300790302749</v>
      </c>
      <c r="AG32" s="204">
        <v>0</v>
      </c>
      <c r="AH32" s="204">
        <v>3.0919136764552202</v>
      </c>
      <c r="AI32" s="204">
        <v>0</v>
      </c>
      <c r="AJ32" s="204">
        <v>3.8571300790302749</v>
      </c>
    </row>
    <row r="33" spans="1:36" s="205" customFormat="1" x14ac:dyDescent="0.2">
      <c r="A33" s="145" t="s">
        <v>196</v>
      </c>
      <c r="B33" s="182" t="s">
        <v>9</v>
      </c>
      <c r="C33" s="182" t="s">
        <v>27</v>
      </c>
      <c r="D33" s="203">
        <v>2024</v>
      </c>
      <c r="E33" s="204">
        <v>65.474435440685895</v>
      </c>
      <c r="F33" s="204">
        <v>4.9033508540000001</v>
      </c>
      <c r="G33" s="204">
        <v>6.1344392859000001</v>
      </c>
      <c r="H33" s="204">
        <f t="shared" si="0"/>
        <v>0.85573821626356261</v>
      </c>
      <c r="I33" s="204">
        <f t="shared" si="1"/>
        <v>0.14426178373643747</v>
      </c>
      <c r="J33" s="204">
        <f>(INDEX('Final allowances'!$S$29:$S$46, MATCH('Financial model inputs'!$B33, 'Final allowances'!$B$29:$B$46,0))/5) * H33</f>
        <v>60.315491425577335</v>
      </c>
      <c r="K33" s="204">
        <f>(INDEX('Final allowances'!$S$29:$S$46, MATCH('Financial model inputs'!$B33, 'Final allowances'!$B$29:$B$46,0))/5) * I33</f>
        <v>10.168086705284713</v>
      </c>
      <c r="L33" s="204">
        <f>(INDEX('Final allowances'!$P$51:$P$67,MATCH('Financial model inputs'!$B33,'Final allowances'!$B$51:$B$67,0))/5)</f>
        <v>26.119303718280172</v>
      </c>
      <c r="M33" s="204">
        <f>INDEX('Final allowances'!$L$71:$N$89,MATCH('Financial model inputs'!$B33,'Final allowances'!$B$71:$B$89,0),MATCH('Financial model inputs'!$M$3,'Final allowances'!$L$71:$N$71,0))/5</f>
        <v>33.807866666666669</v>
      </c>
      <c r="N33" s="204">
        <f t="shared" si="2"/>
        <v>70.095257090231556</v>
      </c>
      <c r="O33" s="204">
        <f>INDEX('Final allowances'!$I$6:$I$22,MATCH('Financial model inputs'!$B33,'Final allowances'!$B$6:$B$22,0))/5</f>
        <v>134.12703013397987</v>
      </c>
      <c r="P33" s="204">
        <f>INDEX('Final allowances'!$F$6:$F$22,MATCH('Financial model inputs'!$B33,'Final allowances'!$B$6:$B$22,0))/5</f>
        <v>96.602881849142221</v>
      </c>
      <c r="Q33" s="204">
        <v>359.71279410229886</v>
      </c>
      <c r="R33" s="204">
        <v>133.82224172779999</v>
      </c>
      <c r="S33" s="204">
        <v>168.72721300239999</v>
      </c>
      <c r="T33" s="204">
        <f t="shared" si="3"/>
        <v>0.54315763088781821</v>
      </c>
      <c r="U33" s="204">
        <f t="shared" si="4"/>
        <v>0.45684236911218162</v>
      </c>
      <c r="V33" s="204">
        <f>(INDEX('Final allowances'!$T$29:$T$46, MATCH('Financial model inputs'!$B33, 'Final allowances'!$B$29:$B$46,0))/5) * T33</f>
        <v>347.19096832913897</v>
      </c>
      <c r="W33" s="204">
        <f>(INDEX('Final allowances'!$T$29:$T$46, MATCH('Financial model inputs'!$B33, 'Final allowances'!$B$29:$B$46,0))/5) * U33</f>
        <v>292.01752030359546</v>
      </c>
      <c r="X33" s="204">
        <f>(INDEX('Final allowances'!$Q$51:$Q$67,MATCH('Financial model inputs'!$B33,'Final allowances'!$B$51:$B$67,0))/5)</f>
        <v>96.967442682362488</v>
      </c>
      <c r="Y33" s="204">
        <f>INDEX('Final allowances'!$L$71:$N$89,MATCH('Financial model inputs'!$B33,'Final allowances'!$B$71:$B$89,0),MATCH('Financial model inputs'!$Y$3,'Final allowances'!$L$71:$N$71,0))/5</f>
        <v>2.0405999999999991</v>
      </c>
      <c r="Z33" s="204">
        <f t="shared" si="5"/>
        <v>391.02556298595795</v>
      </c>
      <c r="AA33" s="204">
        <f>INDEX('Final allowances'!$J$6:$J$22,MATCH('Financial model inputs'!$B33,'Final allowances'!$B$6:$B$22,0))/5</f>
        <v>748.02666732237265</v>
      </c>
      <c r="AB33" s="204">
        <f>INDEX('Final allowances'!$G$6:$G$22,MATCH('Financial model inputs'!$B33,'Final allowances'!$B$6:$B$22,0))/5</f>
        <v>736.17593131509705</v>
      </c>
      <c r="AC33" s="204">
        <v>0</v>
      </c>
      <c r="AD33" s="204">
        <v>0</v>
      </c>
      <c r="AE33" s="204">
        <f t="shared" si="6"/>
        <v>3.1478080545360898</v>
      </c>
      <c r="AF33" s="204">
        <f t="shared" si="7"/>
        <v>3.8757577917302832</v>
      </c>
      <c r="AG33" s="204">
        <v>0</v>
      </c>
      <c r="AH33" s="204">
        <v>3.1478080545360898</v>
      </c>
      <c r="AI33" s="204">
        <v>0</v>
      </c>
      <c r="AJ33" s="204">
        <v>3.8757577917302832</v>
      </c>
    </row>
    <row r="34" spans="1:36" s="205" customFormat="1" x14ac:dyDescent="0.2">
      <c r="A34" s="145" t="s">
        <v>197</v>
      </c>
      <c r="B34" s="182" t="s">
        <v>9</v>
      </c>
      <c r="C34" s="182" t="s">
        <v>28</v>
      </c>
      <c r="D34" s="203">
        <v>2025</v>
      </c>
      <c r="E34" s="204">
        <v>68.057811506527202</v>
      </c>
      <c r="F34" s="204">
        <v>2.5597685838999999</v>
      </c>
      <c r="G34" s="204">
        <v>3.0479399036000001</v>
      </c>
      <c r="H34" s="204">
        <f t="shared" si="0"/>
        <v>0.92387607542911987</v>
      </c>
      <c r="I34" s="204">
        <f t="shared" si="1"/>
        <v>7.6123924570880297E-2</v>
      </c>
      <c r="J34" s="204">
        <f>(INDEX('Final allowances'!$S$29:$S$46, MATCH('Financial model inputs'!$B34, 'Final allowances'!$B$29:$B$46,0))/5) * H34</f>
        <v>65.118091545742558</v>
      </c>
      <c r="K34" s="204">
        <f>(INDEX('Final allowances'!$S$29:$S$46, MATCH('Financial model inputs'!$B34, 'Final allowances'!$B$29:$B$46,0))/5) * I34</f>
        <v>5.3654865851194904</v>
      </c>
      <c r="L34" s="204">
        <f>(INDEX('Final allowances'!$P$51:$P$67,MATCH('Financial model inputs'!$B34,'Final allowances'!$B$51:$B$67,0))/5)</f>
        <v>26.119303718280172</v>
      </c>
      <c r="M34" s="204">
        <f>INDEX('Final allowances'!$L$71:$N$89,MATCH('Financial model inputs'!$B34,'Final allowances'!$B$71:$B$89,0),MATCH('Financial model inputs'!$M$3,'Final allowances'!$L$71:$N$71,0))/5</f>
        <v>33.807866666666669</v>
      </c>
      <c r="N34" s="204">
        <f t="shared" si="2"/>
        <v>65.292656970066332</v>
      </c>
      <c r="O34" s="204">
        <f>INDEX('Final allowances'!$I$6:$I$22,MATCH('Financial model inputs'!$B34,'Final allowances'!$B$6:$B$22,0))/5</f>
        <v>134.12703013397987</v>
      </c>
      <c r="P34" s="204">
        <f>INDEX('Final allowances'!$F$6:$F$22,MATCH('Financial model inputs'!$B34,'Final allowances'!$B$6:$B$22,0))/5</f>
        <v>96.602881849142221</v>
      </c>
      <c r="Q34" s="204">
        <v>355.17914692161514</v>
      </c>
      <c r="R34" s="204">
        <v>123.96977430219999</v>
      </c>
      <c r="S34" s="204">
        <v>155.4817820147</v>
      </c>
      <c r="T34" s="204">
        <f t="shared" si="3"/>
        <v>0.55966272212979762</v>
      </c>
      <c r="U34" s="204">
        <f t="shared" si="4"/>
        <v>0.44033727787020238</v>
      </c>
      <c r="V34" s="204">
        <f>(INDEX('Final allowances'!$T$29:$T$46, MATCH('Financial model inputs'!$B34, 'Final allowances'!$B$29:$B$46,0))/5) * T34</f>
        <v>357.74116275667001</v>
      </c>
      <c r="W34" s="204">
        <f>(INDEX('Final allowances'!$T$29:$T$46, MATCH('Financial model inputs'!$B34, 'Final allowances'!$B$29:$B$46,0))/5) * U34</f>
        <v>281.46732587606454</v>
      </c>
      <c r="X34" s="204">
        <f>(INDEX('Final allowances'!$Q$51:$Q$67,MATCH('Financial model inputs'!$B34,'Final allowances'!$B$51:$B$67,0))/5)</f>
        <v>96.967442682362488</v>
      </c>
      <c r="Y34" s="204">
        <f>INDEX('Final allowances'!$L$71:$N$89,MATCH('Financial model inputs'!$B34,'Final allowances'!$B$71:$B$89,0),MATCH('Financial model inputs'!$Y$3,'Final allowances'!$L$71:$N$71,0))/5</f>
        <v>2.0405999999999991</v>
      </c>
      <c r="Z34" s="204">
        <f t="shared" si="5"/>
        <v>380.47536855842702</v>
      </c>
      <c r="AA34" s="204">
        <f>INDEX('Final allowances'!$J$6:$J$22,MATCH('Financial model inputs'!$B34,'Final allowances'!$B$6:$B$22,0))/5</f>
        <v>748.02666732237265</v>
      </c>
      <c r="AB34" s="204">
        <f>INDEX('Final allowances'!$G$6:$G$22,MATCH('Financial model inputs'!$B34,'Final allowances'!$B$6:$B$22,0))/5</f>
        <v>736.17593131509705</v>
      </c>
      <c r="AC34" s="204">
        <v>0</v>
      </c>
      <c r="AD34" s="204">
        <v>0</v>
      </c>
      <c r="AE34" s="204">
        <f t="shared" si="6"/>
        <v>3.1955447427287802</v>
      </c>
      <c r="AF34" s="204">
        <f t="shared" si="7"/>
        <v>3.8837589964478711</v>
      </c>
      <c r="AG34" s="204">
        <v>0</v>
      </c>
      <c r="AH34" s="204">
        <v>3.1955447427287802</v>
      </c>
      <c r="AI34" s="204">
        <v>0</v>
      </c>
      <c r="AJ34" s="204">
        <v>3.8837589964478711</v>
      </c>
    </row>
    <row r="35" spans="1:36" s="205" customFormat="1" x14ac:dyDescent="0.2">
      <c r="A35" s="145" t="s">
        <v>198</v>
      </c>
      <c r="B35" s="182" t="s">
        <v>23</v>
      </c>
      <c r="C35" s="182" t="s">
        <v>24</v>
      </c>
      <c r="D35" s="203">
        <v>2021</v>
      </c>
      <c r="E35" s="204">
        <v>32.396999999999998</v>
      </c>
      <c r="F35" s="204">
        <v>1.8049999999999999</v>
      </c>
      <c r="G35" s="204">
        <v>3.61</v>
      </c>
      <c r="H35" s="204">
        <f t="shared" si="0"/>
        <v>0.85679149476356709</v>
      </c>
      <c r="I35" s="204">
        <f t="shared" si="1"/>
        <v>0.14320850523643289</v>
      </c>
      <c r="J35" s="204">
        <f>(INDEX('Final allowances'!$S$29:$S$46, MATCH('Financial model inputs'!$B35, 'Final allowances'!$B$29:$B$46,0))/5) * H35</f>
        <v>26.609895054948502</v>
      </c>
      <c r="K35" s="204">
        <f>(INDEX('Final allowances'!$S$29:$S$46, MATCH('Financial model inputs'!$B35, 'Final allowances'!$B$29:$B$46,0))/5) * I35</f>
        <v>4.4477137303622607</v>
      </c>
      <c r="L35" s="204">
        <f>(INDEX('Final allowances'!$P$51:$P$67,MATCH('Financial model inputs'!$B35,'Final allowances'!$B$51:$B$67,0))/5)</f>
        <v>26.581406226922223</v>
      </c>
      <c r="M35" s="204">
        <f>INDEX('Final allowances'!$L$71:$N$89,MATCH('Financial model inputs'!$B35,'Final allowances'!$B$71:$B$89,0),MATCH('Financial model inputs'!$M$3,'Final allowances'!$L$71:$N$71,0))/5</f>
        <v>0</v>
      </c>
      <c r="N35" s="204">
        <f t="shared" si="2"/>
        <v>31.029119957284482</v>
      </c>
      <c r="O35" s="204">
        <f>INDEX('Final allowances'!$I$6:$I$22,MATCH('Financial model inputs'!$B35,'Final allowances'!$B$6:$B$22,0))/5</f>
        <v>66.771015012232994</v>
      </c>
      <c r="P35" s="204">
        <f>INDEX('Final allowances'!$F$6:$F$22,MATCH('Financial model inputs'!$B35,'Final allowances'!$B$6:$B$22,0))/5</f>
        <v>57.639015012232996</v>
      </c>
      <c r="Q35" s="204">
        <v>119.679</v>
      </c>
      <c r="R35" s="204">
        <v>9.4909999999999997</v>
      </c>
      <c r="S35" s="204">
        <v>64.236999999999995</v>
      </c>
      <c r="T35" s="204">
        <f t="shared" si="3"/>
        <v>0.61879352867269533</v>
      </c>
      <c r="U35" s="204">
        <f t="shared" si="4"/>
        <v>0.38120647132730456</v>
      </c>
      <c r="V35" s="204">
        <f>(INDEX('Final allowances'!$T$29:$T$46, MATCH('Financial model inputs'!$B35, 'Final allowances'!$B$29:$B$46,0))/5) * T35</f>
        <v>116.25732476837382</v>
      </c>
      <c r="W35" s="204">
        <f>(INDEX('Final allowances'!$T$29:$T$46, MATCH('Financial model inputs'!$B35, 'Final allowances'!$B$29:$B$46,0))/5) * U35</f>
        <v>71.620084062556217</v>
      </c>
      <c r="X35" s="204">
        <f>(INDEX('Final allowances'!$Q$51:$Q$67,MATCH('Financial model inputs'!$B35,'Final allowances'!$B$51:$B$67,0))/5)</f>
        <v>22.485288202324483</v>
      </c>
      <c r="Y35" s="204">
        <f>INDEX('Final allowances'!$L$71:$N$89,MATCH('Financial model inputs'!$B35,'Final allowances'!$B$71:$B$89,0),MATCH('Financial model inputs'!$Y$3,'Final allowances'!$L$71:$N$71,0))/5</f>
        <v>0</v>
      </c>
      <c r="Z35" s="204">
        <f t="shared" si="5"/>
        <v>94.1053722648807</v>
      </c>
      <c r="AA35" s="204">
        <f>INDEX('Final allowances'!$J$6:$J$22,MATCH('Financial model inputs'!$B35,'Final allowances'!$B$6:$B$22,0))/5</f>
        <v>212.2726970332545</v>
      </c>
      <c r="AB35" s="204">
        <f>INDEX('Final allowances'!$G$6:$G$22,MATCH('Financial model inputs'!$B35,'Final allowances'!$B$6:$B$22,0))/5</f>
        <v>210.36269703325451</v>
      </c>
      <c r="AC35" s="204">
        <v>0</v>
      </c>
      <c r="AD35" s="204">
        <v>0</v>
      </c>
      <c r="AE35" s="204">
        <f t="shared" si="6"/>
        <v>9.1319999999999997</v>
      </c>
      <c r="AF35" s="204">
        <f t="shared" si="7"/>
        <v>1.91</v>
      </c>
      <c r="AG35" s="204">
        <v>0</v>
      </c>
      <c r="AH35" s="204">
        <v>9.1319999999999997</v>
      </c>
      <c r="AI35" s="204">
        <v>0</v>
      </c>
      <c r="AJ35" s="204">
        <v>1.91</v>
      </c>
    </row>
    <row r="36" spans="1:36" s="205" customFormat="1" x14ac:dyDescent="0.2">
      <c r="A36" s="145" t="s">
        <v>199</v>
      </c>
      <c r="B36" s="182" t="s">
        <v>23</v>
      </c>
      <c r="C36" s="182" t="s">
        <v>25</v>
      </c>
      <c r="D36" s="203">
        <v>2022</v>
      </c>
      <c r="E36" s="204">
        <v>33.597999999999999</v>
      </c>
      <c r="F36" s="204">
        <v>1.8</v>
      </c>
      <c r="G36" s="204">
        <v>3.3410000000000002</v>
      </c>
      <c r="H36" s="204">
        <f t="shared" si="0"/>
        <v>0.86729136012803643</v>
      </c>
      <c r="I36" s="204">
        <f t="shared" si="1"/>
        <v>0.13270863987196366</v>
      </c>
      <c r="J36" s="204">
        <f>(INDEX('Final allowances'!$S$29:$S$46, MATCH('Financial model inputs'!$B36, 'Final allowances'!$B$29:$B$46,0))/5) * H36</f>
        <v>26.935995765736628</v>
      </c>
      <c r="K36" s="204">
        <f>(INDEX('Final allowances'!$S$29:$S$46, MATCH('Financial model inputs'!$B36, 'Final allowances'!$B$29:$B$46,0))/5) * I36</f>
        <v>4.1216130195741414</v>
      </c>
      <c r="L36" s="204">
        <f>(INDEX('Final allowances'!$P$51:$P$67,MATCH('Financial model inputs'!$B36,'Final allowances'!$B$51:$B$67,0))/5)</f>
        <v>26.581406226922223</v>
      </c>
      <c r="M36" s="204">
        <f>INDEX('Final allowances'!$L$71:$N$89,MATCH('Financial model inputs'!$B36,'Final allowances'!$B$71:$B$89,0),MATCH('Financial model inputs'!$M$3,'Final allowances'!$L$71:$N$71,0))/5</f>
        <v>0</v>
      </c>
      <c r="N36" s="204">
        <f t="shared" si="2"/>
        <v>30.703019246496364</v>
      </c>
      <c r="O36" s="204">
        <f>INDEX('Final allowances'!$I$6:$I$22,MATCH('Financial model inputs'!$B36,'Final allowances'!$B$6:$B$22,0))/5</f>
        <v>66.771015012232994</v>
      </c>
      <c r="P36" s="204">
        <f>INDEX('Final allowances'!$F$6:$F$22,MATCH('Financial model inputs'!$B36,'Final allowances'!$B$6:$B$22,0))/5</f>
        <v>57.639015012232996</v>
      </c>
      <c r="Q36" s="204">
        <v>115.5</v>
      </c>
      <c r="R36" s="204">
        <v>9.0500000000000007</v>
      </c>
      <c r="S36" s="204">
        <v>60.861000000000004</v>
      </c>
      <c r="T36" s="204">
        <f t="shared" si="3"/>
        <v>0.62294038649271077</v>
      </c>
      <c r="U36" s="204">
        <f t="shared" si="4"/>
        <v>0.37705961350728923</v>
      </c>
      <c r="V36" s="204">
        <f>(INDEX('Final allowances'!$T$29:$T$46, MATCH('Financial model inputs'!$B36, 'Final allowances'!$B$29:$B$46,0))/5) * T36</f>
        <v>117.0364256703886</v>
      </c>
      <c r="W36" s="204">
        <f>(INDEX('Final allowances'!$T$29:$T$46, MATCH('Financial model inputs'!$B36, 'Final allowances'!$B$29:$B$46,0))/5) * U36</f>
        <v>70.840983160541455</v>
      </c>
      <c r="X36" s="204">
        <f>(INDEX('Final allowances'!$Q$51:$Q$67,MATCH('Financial model inputs'!$B36,'Final allowances'!$B$51:$B$67,0))/5)</f>
        <v>22.485288202324483</v>
      </c>
      <c r="Y36" s="204">
        <f>INDEX('Final allowances'!$L$71:$N$89,MATCH('Financial model inputs'!$B36,'Final allowances'!$B$71:$B$89,0),MATCH('Financial model inputs'!$Y$3,'Final allowances'!$L$71:$N$71,0))/5</f>
        <v>0</v>
      </c>
      <c r="Z36" s="204">
        <f t="shared" si="5"/>
        <v>93.326271362865938</v>
      </c>
      <c r="AA36" s="204">
        <f>INDEX('Final allowances'!$J$6:$J$22,MATCH('Financial model inputs'!$B36,'Final allowances'!$B$6:$B$22,0))/5</f>
        <v>212.2726970332545</v>
      </c>
      <c r="AB36" s="204">
        <f>INDEX('Final allowances'!$G$6:$G$22,MATCH('Financial model inputs'!$B36,'Final allowances'!$B$6:$B$22,0))/5</f>
        <v>210.36269703325451</v>
      </c>
      <c r="AC36" s="204">
        <v>0</v>
      </c>
      <c r="AD36" s="204">
        <v>0</v>
      </c>
      <c r="AE36" s="204">
        <f t="shared" si="6"/>
        <v>9.1319999999999997</v>
      </c>
      <c r="AF36" s="204">
        <f t="shared" si="7"/>
        <v>1.91</v>
      </c>
      <c r="AG36" s="204">
        <v>0</v>
      </c>
      <c r="AH36" s="204">
        <v>9.1319999999999997</v>
      </c>
      <c r="AI36" s="204">
        <v>0</v>
      </c>
      <c r="AJ36" s="204">
        <v>1.91</v>
      </c>
    </row>
    <row r="37" spans="1:36" s="205" customFormat="1" x14ac:dyDescent="0.2">
      <c r="A37" s="145" t="s">
        <v>200</v>
      </c>
      <c r="B37" s="182" t="s">
        <v>23</v>
      </c>
      <c r="C37" s="182" t="s">
        <v>26</v>
      </c>
      <c r="D37" s="203">
        <v>2023</v>
      </c>
      <c r="E37" s="204">
        <v>34.396999999999998</v>
      </c>
      <c r="F37" s="204">
        <v>1.6619999999999999</v>
      </c>
      <c r="G37" s="204">
        <v>3.6989999999999998</v>
      </c>
      <c r="H37" s="204">
        <f t="shared" si="0"/>
        <v>0.8651592132401027</v>
      </c>
      <c r="I37" s="204">
        <f t="shared" si="1"/>
        <v>0.13484078675989739</v>
      </c>
      <c r="J37" s="204">
        <f>(INDEX('Final allowances'!$S$29:$S$46, MATCH('Financial model inputs'!$B37, 'Final allowances'!$B$29:$B$46,0))/5) * H37</f>
        <v>26.869776381818365</v>
      </c>
      <c r="K37" s="204">
        <f>(INDEX('Final allowances'!$S$29:$S$46, MATCH('Financial model inputs'!$B37, 'Final allowances'!$B$29:$B$46,0))/5) * I37</f>
        <v>4.187832403492405</v>
      </c>
      <c r="L37" s="204">
        <f>(INDEX('Final allowances'!$P$51:$P$67,MATCH('Financial model inputs'!$B37,'Final allowances'!$B$51:$B$67,0))/5)</f>
        <v>26.581406226922223</v>
      </c>
      <c r="M37" s="204">
        <f>INDEX('Final allowances'!$L$71:$N$89,MATCH('Financial model inputs'!$B37,'Final allowances'!$B$71:$B$89,0),MATCH('Financial model inputs'!$M$3,'Final allowances'!$L$71:$N$71,0))/5</f>
        <v>0</v>
      </c>
      <c r="N37" s="204">
        <f t="shared" si="2"/>
        <v>30.769238630414627</v>
      </c>
      <c r="O37" s="204">
        <f>INDEX('Final allowances'!$I$6:$I$22,MATCH('Financial model inputs'!$B37,'Final allowances'!$B$6:$B$22,0))/5</f>
        <v>66.771015012232994</v>
      </c>
      <c r="P37" s="204">
        <f>INDEX('Final allowances'!$F$6:$F$22,MATCH('Financial model inputs'!$B37,'Final allowances'!$B$6:$B$22,0))/5</f>
        <v>57.639015012232996</v>
      </c>
      <c r="Q37" s="204">
        <v>112.11799999999999</v>
      </c>
      <c r="R37" s="204">
        <v>9.0169999999999995</v>
      </c>
      <c r="S37" s="204">
        <v>55.132999999999996</v>
      </c>
      <c r="T37" s="204">
        <f t="shared" si="3"/>
        <v>0.63606553656931497</v>
      </c>
      <c r="U37" s="204">
        <f t="shared" si="4"/>
        <v>0.36393446343068508</v>
      </c>
      <c r="V37" s="204">
        <f>(INDEX('Final allowances'!$T$29:$T$46, MATCH('Financial model inputs'!$B37, 'Final allowances'!$B$29:$B$46,0))/5) * T37</f>
        <v>119.50234485729808</v>
      </c>
      <c r="W37" s="204">
        <f>(INDEX('Final allowances'!$T$29:$T$46, MATCH('Financial model inputs'!$B37, 'Final allowances'!$B$29:$B$46,0))/5) * U37</f>
        <v>68.375063973631981</v>
      </c>
      <c r="X37" s="204">
        <f>(INDEX('Final allowances'!$Q$51:$Q$67,MATCH('Financial model inputs'!$B37,'Final allowances'!$B$51:$B$67,0))/5)</f>
        <v>22.485288202324483</v>
      </c>
      <c r="Y37" s="204">
        <f>INDEX('Final allowances'!$L$71:$N$89,MATCH('Financial model inputs'!$B37,'Final allowances'!$B$71:$B$89,0),MATCH('Financial model inputs'!$Y$3,'Final allowances'!$L$71:$N$71,0))/5</f>
        <v>0</v>
      </c>
      <c r="Z37" s="204">
        <f t="shared" si="5"/>
        <v>90.860352175956464</v>
      </c>
      <c r="AA37" s="204">
        <f>INDEX('Final allowances'!$J$6:$J$22,MATCH('Financial model inputs'!$B37,'Final allowances'!$B$6:$B$22,0))/5</f>
        <v>212.2726970332545</v>
      </c>
      <c r="AB37" s="204">
        <f>INDEX('Final allowances'!$G$6:$G$22,MATCH('Financial model inputs'!$B37,'Final allowances'!$B$6:$B$22,0))/5</f>
        <v>210.36269703325451</v>
      </c>
      <c r="AC37" s="204">
        <v>0</v>
      </c>
      <c r="AD37" s="204">
        <v>0</v>
      </c>
      <c r="AE37" s="204">
        <f t="shared" si="6"/>
        <v>9.1319999999999997</v>
      </c>
      <c r="AF37" s="204">
        <f t="shared" si="7"/>
        <v>1.91</v>
      </c>
      <c r="AG37" s="204">
        <v>0</v>
      </c>
      <c r="AH37" s="204">
        <v>9.1319999999999997</v>
      </c>
      <c r="AI37" s="204">
        <v>0</v>
      </c>
      <c r="AJ37" s="204">
        <v>1.91</v>
      </c>
    </row>
    <row r="38" spans="1:36" s="205" customFormat="1" x14ac:dyDescent="0.2">
      <c r="A38" s="145" t="s">
        <v>201</v>
      </c>
      <c r="B38" s="182" t="s">
        <v>23</v>
      </c>
      <c r="C38" s="182" t="s">
        <v>27</v>
      </c>
      <c r="D38" s="203">
        <v>2024</v>
      </c>
      <c r="E38" s="204">
        <v>34.47</v>
      </c>
      <c r="F38" s="204">
        <v>1.623</v>
      </c>
      <c r="G38" s="204">
        <v>3.169</v>
      </c>
      <c r="H38" s="204">
        <f t="shared" si="0"/>
        <v>0.87794814324283033</v>
      </c>
      <c r="I38" s="204">
        <f t="shared" si="1"/>
        <v>0.1220518567571698</v>
      </c>
      <c r="J38" s="204">
        <f>(INDEX('Final allowances'!$S$29:$S$46, MATCH('Financial model inputs'!$B38, 'Final allowances'!$B$29:$B$46,0))/5) * H38</f>
        <v>27.266969966625801</v>
      </c>
      <c r="K38" s="204">
        <f>(INDEX('Final allowances'!$S$29:$S$46, MATCH('Financial model inputs'!$B38, 'Final allowances'!$B$29:$B$46,0))/5) * I38</f>
        <v>3.7906388186849678</v>
      </c>
      <c r="L38" s="204">
        <f>(INDEX('Final allowances'!$P$51:$P$67,MATCH('Financial model inputs'!$B38,'Final allowances'!$B$51:$B$67,0))/5)</f>
        <v>26.581406226922223</v>
      </c>
      <c r="M38" s="204">
        <f>INDEX('Final allowances'!$L$71:$N$89,MATCH('Financial model inputs'!$B38,'Final allowances'!$B$71:$B$89,0),MATCH('Financial model inputs'!$M$3,'Final allowances'!$L$71:$N$71,0))/5</f>
        <v>0</v>
      </c>
      <c r="N38" s="204">
        <f t="shared" si="2"/>
        <v>30.372045045607191</v>
      </c>
      <c r="O38" s="204">
        <f>INDEX('Final allowances'!$I$6:$I$22,MATCH('Financial model inputs'!$B38,'Final allowances'!$B$6:$B$22,0))/5</f>
        <v>66.771015012232994</v>
      </c>
      <c r="P38" s="204">
        <f>INDEX('Final allowances'!$F$6:$F$22,MATCH('Financial model inputs'!$B38,'Final allowances'!$B$6:$B$22,0))/5</f>
        <v>57.639015012232996</v>
      </c>
      <c r="Q38" s="204">
        <v>109.39699999999999</v>
      </c>
      <c r="R38" s="204">
        <v>8.9179999999999993</v>
      </c>
      <c r="S38" s="204">
        <v>53.040000000000006</v>
      </c>
      <c r="T38" s="204">
        <f t="shared" si="3"/>
        <v>0.63842315660470939</v>
      </c>
      <c r="U38" s="204">
        <f t="shared" si="4"/>
        <v>0.36157684339529045</v>
      </c>
      <c r="V38" s="204">
        <f>(INDEX('Final allowances'!$T$29:$T$46, MATCH('Financial model inputs'!$B38, 'Final allowances'!$B$29:$B$46,0))/5) * T38</f>
        <v>119.94528840055587</v>
      </c>
      <c r="W38" s="204">
        <f>(INDEX('Final allowances'!$T$29:$T$46, MATCH('Financial model inputs'!$B38, 'Final allowances'!$B$29:$B$46,0))/5) * U38</f>
        <v>67.932120430374155</v>
      </c>
      <c r="X38" s="204">
        <f>(INDEX('Final allowances'!$Q$51:$Q$67,MATCH('Financial model inputs'!$B38,'Final allowances'!$B$51:$B$67,0))/5)</f>
        <v>22.485288202324483</v>
      </c>
      <c r="Y38" s="204">
        <f>INDEX('Final allowances'!$L$71:$N$89,MATCH('Financial model inputs'!$B38,'Final allowances'!$B$71:$B$89,0),MATCH('Financial model inputs'!$Y$3,'Final allowances'!$L$71:$N$71,0))/5</f>
        <v>0</v>
      </c>
      <c r="Z38" s="204">
        <f t="shared" si="5"/>
        <v>90.417408632698638</v>
      </c>
      <c r="AA38" s="204">
        <f>INDEX('Final allowances'!$J$6:$J$22,MATCH('Financial model inputs'!$B38,'Final allowances'!$B$6:$B$22,0))/5</f>
        <v>212.2726970332545</v>
      </c>
      <c r="AB38" s="204">
        <f>INDEX('Final allowances'!$G$6:$G$22,MATCH('Financial model inputs'!$B38,'Final allowances'!$B$6:$B$22,0))/5</f>
        <v>210.36269703325451</v>
      </c>
      <c r="AC38" s="204">
        <v>0</v>
      </c>
      <c r="AD38" s="204">
        <v>0</v>
      </c>
      <c r="AE38" s="204">
        <f t="shared" si="6"/>
        <v>9.1319999999999997</v>
      </c>
      <c r="AF38" s="204">
        <f t="shared" si="7"/>
        <v>1.91</v>
      </c>
      <c r="AG38" s="204">
        <v>0</v>
      </c>
      <c r="AH38" s="204">
        <v>9.1319999999999997</v>
      </c>
      <c r="AI38" s="204">
        <v>0</v>
      </c>
      <c r="AJ38" s="204">
        <v>1.91</v>
      </c>
    </row>
    <row r="39" spans="1:36" s="205" customFormat="1" x14ac:dyDescent="0.2">
      <c r="A39" s="145" t="s">
        <v>202</v>
      </c>
      <c r="B39" s="182" t="s">
        <v>23</v>
      </c>
      <c r="C39" s="182" t="s">
        <v>28</v>
      </c>
      <c r="D39" s="203">
        <v>2025</v>
      </c>
      <c r="E39" s="204">
        <v>31.698</v>
      </c>
      <c r="F39" s="204">
        <v>1.5469999999999999</v>
      </c>
      <c r="G39" s="204">
        <v>2.54</v>
      </c>
      <c r="H39" s="204">
        <f t="shared" si="0"/>
        <v>0.88579013553164743</v>
      </c>
      <c r="I39" s="204">
        <f t="shared" si="1"/>
        <v>0.11420986446835267</v>
      </c>
      <c r="J39" s="204">
        <f>(INDEX('Final allowances'!$S$29:$S$46, MATCH('Financial model inputs'!$B39, 'Final allowances'!$B$29:$B$46,0))/5) * H39</f>
        <v>27.510523495229307</v>
      </c>
      <c r="K39" s="204">
        <f>(INDEX('Final allowances'!$S$29:$S$46, MATCH('Financial model inputs'!$B39, 'Final allowances'!$B$29:$B$46,0))/5) * I39</f>
        <v>3.5470852900814616</v>
      </c>
      <c r="L39" s="204">
        <f>(INDEX('Final allowances'!$P$51:$P$67,MATCH('Financial model inputs'!$B39,'Final allowances'!$B$51:$B$67,0))/5)</f>
        <v>26.581406226922223</v>
      </c>
      <c r="M39" s="204">
        <f>INDEX('Final allowances'!$L$71:$N$89,MATCH('Financial model inputs'!$B39,'Final allowances'!$B$71:$B$89,0),MATCH('Financial model inputs'!$M$3,'Final allowances'!$L$71:$N$71,0))/5</f>
        <v>0</v>
      </c>
      <c r="N39" s="204">
        <f t="shared" si="2"/>
        <v>30.128491517003685</v>
      </c>
      <c r="O39" s="204">
        <f>INDEX('Final allowances'!$I$6:$I$22,MATCH('Financial model inputs'!$B39,'Final allowances'!$B$6:$B$22,0))/5</f>
        <v>66.771015012232994</v>
      </c>
      <c r="P39" s="204">
        <f>INDEX('Final allowances'!$F$6:$F$22,MATCH('Financial model inputs'!$B39,'Final allowances'!$B$6:$B$22,0))/5</f>
        <v>57.639015012232996</v>
      </c>
      <c r="Q39" s="204">
        <v>111.21300000000001</v>
      </c>
      <c r="R39" s="204">
        <v>8.8469999999999995</v>
      </c>
      <c r="S39" s="204">
        <v>50.366</v>
      </c>
      <c r="T39" s="204">
        <f t="shared" si="3"/>
        <v>0.65255888186074906</v>
      </c>
      <c r="U39" s="204">
        <f t="shared" si="4"/>
        <v>0.3474411181392511</v>
      </c>
      <c r="V39" s="204">
        <f>(INDEX('Final allowances'!$T$29:$T$46, MATCH('Financial model inputs'!$B39, 'Final allowances'!$B$29:$B$46,0))/5) * T39</f>
        <v>122.60107183360654</v>
      </c>
      <c r="W39" s="204">
        <f>(INDEX('Final allowances'!$T$29:$T$46, MATCH('Financial model inputs'!$B39, 'Final allowances'!$B$29:$B$46,0))/5) * U39</f>
        <v>65.27633699732354</v>
      </c>
      <c r="X39" s="204">
        <f>(INDEX('Final allowances'!$Q$51:$Q$67,MATCH('Financial model inputs'!$B39,'Final allowances'!$B$51:$B$67,0))/5)</f>
        <v>22.485288202324483</v>
      </c>
      <c r="Y39" s="204">
        <f>INDEX('Final allowances'!$L$71:$N$89,MATCH('Financial model inputs'!$B39,'Final allowances'!$B$71:$B$89,0),MATCH('Financial model inputs'!$Y$3,'Final allowances'!$L$71:$N$71,0))/5</f>
        <v>0</v>
      </c>
      <c r="Z39" s="204">
        <f t="shared" si="5"/>
        <v>87.761625199648023</v>
      </c>
      <c r="AA39" s="204">
        <f>INDEX('Final allowances'!$J$6:$J$22,MATCH('Financial model inputs'!$B39,'Final allowances'!$B$6:$B$22,0))/5</f>
        <v>212.2726970332545</v>
      </c>
      <c r="AB39" s="204">
        <f>INDEX('Final allowances'!$G$6:$G$22,MATCH('Financial model inputs'!$B39,'Final allowances'!$B$6:$B$22,0))/5</f>
        <v>210.36269703325451</v>
      </c>
      <c r="AC39" s="204">
        <v>0</v>
      </c>
      <c r="AD39" s="204">
        <v>0</v>
      </c>
      <c r="AE39" s="204">
        <f t="shared" si="6"/>
        <v>9.1319999999999997</v>
      </c>
      <c r="AF39" s="204">
        <f t="shared" si="7"/>
        <v>1.91</v>
      </c>
      <c r="AG39" s="204">
        <v>0</v>
      </c>
      <c r="AH39" s="204">
        <v>9.1319999999999997</v>
      </c>
      <c r="AI39" s="204">
        <v>0</v>
      </c>
      <c r="AJ39" s="204">
        <v>1.91</v>
      </c>
    </row>
    <row r="40" spans="1:36" s="205" customFormat="1" x14ac:dyDescent="0.2">
      <c r="A40" s="145" t="s">
        <v>203</v>
      </c>
      <c r="B40" s="182" t="s">
        <v>10</v>
      </c>
      <c r="C40" s="182" t="s">
        <v>24</v>
      </c>
      <c r="D40" s="203">
        <v>2021</v>
      </c>
      <c r="E40" s="204">
        <v>10.156848225017001</v>
      </c>
      <c r="F40" s="204">
        <v>0.136408024038462</v>
      </c>
      <c r="G40" s="204">
        <v>2.7209801898995001</v>
      </c>
      <c r="H40" s="204">
        <f t="shared" si="0"/>
        <v>0.78044134764717643</v>
      </c>
      <c r="I40" s="204">
        <f t="shared" si="1"/>
        <v>0.21955865235282365</v>
      </c>
      <c r="J40" s="204">
        <f>(INDEX('Final allowances'!$S$29:$S$46, MATCH('Financial model inputs'!$B40, 'Final allowances'!$B$29:$B$46,0))/5) * H40</f>
        <v>10.024502612478178</v>
      </c>
      <c r="K40" s="204">
        <f>(INDEX('Final allowances'!$S$29:$S$46, MATCH('Financial model inputs'!$B40, 'Final allowances'!$B$29:$B$46,0))/5) * I40</f>
        <v>2.8201559165700258</v>
      </c>
      <c r="L40" s="204">
        <f>(INDEX('Final allowances'!$P$51:$P$67,MATCH('Financial model inputs'!$B40,'Final allowances'!$B$51:$B$67,0))/5)</f>
        <v>3.6413896855590648</v>
      </c>
      <c r="M40" s="204">
        <f>INDEX('Final allowances'!$L$71:$N$89,MATCH('Financial model inputs'!$B40,'Final allowances'!$B$71:$B$89,0),MATCH('Financial model inputs'!$M$3,'Final allowances'!$L$71:$N$71,0))/5</f>
        <v>9.1999999999999998E-2</v>
      </c>
      <c r="N40" s="204">
        <f t="shared" si="2"/>
        <v>6.5535456021290903</v>
      </c>
      <c r="O40" s="204">
        <f>INDEX('Final allowances'!$I$6:$I$22,MATCH('Financial model inputs'!$B40,'Final allowances'!$B$6:$B$22,0))/5</f>
        <v>17.264916504460391</v>
      </c>
      <c r="P40" s="204">
        <f>INDEX('Final allowances'!$F$6:$F$22,MATCH('Financial model inputs'!$B40,'Final allowances'!$B$6:$B$22,0))/5</f>
        <v>16.486048214607269</v>
      </c>
      <c r="Q40" s="204">
        <v>63.534844567199201</v>
      </c>
      <c r="R40" s="204">
        <v>8.9195941883875705</v>
      </c>
      <c r="S40" s="204">
        <v>19.92353841987109</v>
      </c>
      <c r="T40" s="204">
        <f t="shared" si="3"/>
        <v>0.68777046770059125</v>
      </c>
      <c r="U40" s="204">
        <f t="shared" si="4"/>
        <v>0.31222953229940864</v>
      </c>
      <c r="V40" s="204">
        <f>(INDEX('Final allowances'!$T$29:$T$46, MATCH('Financial model inputs'!$B40, 'Final allowances'!$B$29:$B$46,0))/5) * T40</f>
        <v>66.862724981945703</v>
      </c>
      <c r="W40" s="204">
        <f>(INDEX('Final allowances'!$T$29:$T$46, MATCH('Financial model inputs'!$B40, 'Final allowances'!$B$29:$B$46,0))/5) * U40</f>
        <v>30.353901962631401</v>
      </c>
      <c r="X40" s="204">
        <f>(INDEX('Final allowances'!$Q$51:$Q$67,MATCH('Financial model inputs'!$B40,'Final allowances'!$B$51:$B$67,0))/5)</f>
        <v>8.3687244382939134</v>
      </c>
      <c r="Y40" s="204">
        <f>INDEX('Final allowances'!$L$71:$N$89,MATCH('Financial model inputs'!$B40,'Final allowances'!$B$71:$B$89,0),MATCH('Financial model inputs'!$Y$3,'Final allowances'!$L$71:$N$71,0))/5</f>
        <v>0.17199999999999999</v>
      </c>
      <c r="Z40" s="204">
        <f t="shared" si="5"/>
        <v>38.894626400925311</v>
      </c>
      <c r="AA40" s="204">
        <f>INDEX('Final allowances'!$J$6:$J$22,MATCH('Financial model inputs'!$B40,'Final allowances'!$B$6:$B$22,0))/5</f>
        <v>107.26493921434216</v>
      </c>
      <c r="AB40" s="204">
        <f>INDEX('Final allowances'!$G$6:$G$22,MATCH('Financial model inputs'!$B40,'Final allowances'!$B$6:$B$22,0))/5</f>
        <v>105.58535138287102</v>
      </c>
      <c r="AC40" s="204">
        <v>0.22915166393699976</v>
      </c>
      <c r="AD40" s="204">
        <v>1.7099988255298733</v>
      </c>
      <c r="AE40" s="204">
        <f t="shared" si="6"/>
        <v>0.55315236690799996</v>
      </c>
      <c r="AF40" s="204">
        <f t="shared" si="7"/>
        <v>0.51005</v>
      </c>
      <c r="AG40" s="204">
        <v>0</v>
      </c>
      <c r="AH40" s="204">
        <v>0.55315236690799996</v>
      </c>
      <c r="AI40" s="204">
        <v>0</v>
      </c>
      <c r="AJ40" s="204">
        <v>0.51005</v>
      </c>
    </row>
    <row r="41" spans="1:36" s="205" customFormat="1" x14ac:dyDescent="0.2">
      <c r="A41" s="145" t="s">
        <v>204</v>
      </c>
      <c r="B41" s="182" t="s">
        <v>10</v>
      </c>
      <c r="C41" s="182" t="s">
        <v>25</v>
      </c>
      <c r="D41" s="203">
        <v>2022</v>
      </c>
      <c r="E41" s="204">
        <v>10.308945952261899</v>
      </c>
      <c r="F41" s="204">
        <v>0.136408024038462</v>
      </c>
      <c r="G41" s="204">
        <v>4.1145955745148797</v>
      </c>
      <c r="H41" s="204">
        <f t="shared" si="0"/>
        <v>0.70803445549608246</v>
      </c>
      <c r="I41" s="204">
        <f t="shared" si="1"/>
        <v>0.2919655445039176</v>
      </c>
      <c r="J41" s="204">
        <f>(INDEX('Final allowances'!$S$29:$S$46, MATCH('Financial model inputs'!$B41, 'Final allowances'!$B$29:$B$46,0))/5) * H41</f>
        <v>9.0944608076477564</v>
      </c>
      <c r="K41" s="204">
        <f>(INDEX('Final allowances'!$S$29:$S$46, MATCH('Financial model inputs'!$B41, 'Final allowances'!$B$29:$B$46,0))/5) * I41</f>
        <v>3.7501977214004478</v>
      </c>
      <c r="L41" s="204">
        <f>(INDEX('Final allowances'!$P$51:$P$67,MATCH('Financial model inputs'!$B41,'Final allowances'!$B$51:$B$67,0))/5)</f>
        <v>3.6413896855590648</v>
      </c>
      <c r="M41" s="204">
        <f>INDEX('Final allowances'!$L$71:$N$89,MATCH('Financial model inputs'!$B41,'Final allowances'!$B$71:$B$89,0),MATCH('Financial model inputs'!$M$3,'Final allowances'!$L$71:$N$71,0))/5</f>
        <v>9.1999999999999998E-2</v>
      </c>
      <c r="N41" s="204">
        <f t="shared" si="2"/>
        <v>7.4835874069595123</v>
      </c>
      <c r="O41" s="204">
        <f>INDEX('Final allowances'!$I$6:$I$22,MATCH('Financial model inputs'!$B41,'Final allowances'!$B$6:$B$22,0))/5</f>
        <v>17.264916504460391</v>
      </c>
      <c r="P41" s="204">
        <f>INDEX('Final allowances'!$F$6:$F$22,MATCH('Financial model inputs'!$B41,'Final allowances'!$B$6:$B$22,0))/5</f>
        <v>16.486048214607269</v>
      </c>
      <c r="Q41" s="204">
        <v>64.240272637074199</v>
      </c>
      <c r="R41" s="204">
        <v>8.9195941883875705</v>
      </c>
      <c r="S41" s="204">
        <v>16.019011356409589</v>
      </c>
      <c r="T41" s="204">
        <f t="shared" si="3"/>
        <v>0.72035300226655263</v>
      </c>
      <c r="U41" s="204">
        <f t="shared" si="4"/>
        <v>0.27964699773344737</v>
      </c>
      <c r="V41" s="204">
        <f>(INDEX('Final allowances'!$T$29:$T$46, MATCH('Financial model inputs'!$B41, 'Final allowances'!$B$29:$B$46,0))/5) * T41</f>
        <v>70.030289089753566</v>
      </c>
      <c r="W41" s="204">
        <f>(INDEX('Final allowances'!$T$29:$T$46, MATCH('Financial model inputs'!$B41, 'Final allowances'!$B$29:$B$46,0))/5) * U41</f>
        <v>27.186337854823556</v>
      </c>
      <c r="X41" s="204">
        <f>(INDEX('Final allowances'!$Q$51:$Q$67,MATCH('Financial model inputs'!$B41,'Final allowances'!$B$51:$B$67,0))/5)</f>
        <v>8.3687244382939134</v>
      </c>
      <c r="Y41" s="204">
        <f>INDEX('Final allowances'!$L$71:$N$89,MATCH('Financial model inputs'!$B41,'Final allowances'!$B$71:$B$89,0),MATCH('Financial model inputs'!$Y$3,'Final allowances'!$L$71:$N$71,0))/5</f>
        <v>0.17199999999999999</v>
      </c>
      <c r="Z41" s="204">
        <f t="shared" si="5"/>
        <v>35.72706229311747</v>
      </c>
      <c r="AA41" s="204">
        <f>INDEX('Final allowances'!$J$6:$J$22,MATCH('Financial model inputs'!$B41,'Final allowances'!$B$6:$B$22,0))/5</f>
        <v>107.26493921434216</v>
      </c>
      <c r="AB41" s="204">
        <f>INDEX('Final allowances'!$G$6:$G$22,MATCH('Financial model inputs'!$B41,'Final allowances'!$B$6:$B$22,0))/5</f>
        <v>105.58535138287102</v>
      </c>
      <c r="AC41" s="204">
        <v>0.22289932897759576</v>
      </c>
      <c r="AD41" s="204">
        <v>1.6620536921590292</v>
      </c>
      <c r="AE41" s="204">
        <f t="shared" si="6"/>
        <v>0.55315236690799996</v>
      </c>
      <c r="AF41" s="204">
        <f t="shared" si="7"/>
        <v>0.51005</v>
      </c>
      <c r="AG41" s="204">
        <v>0</v>
      </c>
      <c r="AH41" s="204">
        <v>0.55315236690799996</v>
      </c>
      <c r="AI41" s="204">
        <v>0</v>
      </c>
      <c r="AJ41" s="204">
        <v>0.51005</v>
      </c>
    </row>
    <row r="42" spans="1:36" s="205" customFormat="1" x14ac:dyDescent="0.2">
      <c r="A42" s="145" t="s">
        <v>205</v>
      </c>
      <c r="B42" s="182" t="s">
        <v>10</v>
      </c>
      <c r="C42" s="182" t="s">
        <v>26</v>
      </c>
      <c r="D42" s="203">
        <v>2023</v>
      </c>
      <c r="E42" s="204">
        <v>11.329471866757601</v>
      </c>
      <c r="F42" s="204">
        <v>1.0198730769230799</v>
      </c>
      <c r="G42" s="204">
        <v>2.3855095168225802</v>
      </c>
      <c r="H42" s="204">
        <f t="shared" si="0"/>
        <v>0.76888929559000541</v>
      </c>
      <c r="I42" s="204">
        <f t="shared" si="1"/>
        <v>0.23111070440999465</v>
      </c>
      <c r="J42" s="204">
        <f>(INDEX('Final allowances'!$S$29:$S$46, MATCH('Financial model inputs'!$B42, 'Final allowances'!$B$29:$B$46,0))/5) * H42</f>
        <v>9.8761204484940279</v>
      </c>
      <c r="K42" s="204">
        <f>(INDEX('Final allowances'!$S$29:$S$46, MATCH('Financial model inputs'!$B42, 'Final allowances'!$B$29:$B$46,0))/5) * I42</f>
        <v>2.9685380805541759</v>
      </c>
      <c r="L42" s="204">
        <f>(INDEX('Final allowances'!$P$51:$P$67,MATCH('Financial model inputs'!$B42,'Final allowances'!$B$51:$B$67,0))/5)</f>
        <v>3.6413896855590648</v>
      </c>
      <c r="M42" s="204">
        <f>INDEX('Final allowances'!$L$71:$N$89,MATCH('Financial model inputs'!$B42,'Final allowances'!$B$71:$B$89,0),MATCH('Financial model inputs'!$M$3,'Final allowances'!$L$71:$N$71,0))/5</f>
        <v>9.1999999999999998E-2</v>
      </c>
      <c r="N42" s="204">
        <f t="shared" si="2"/>
        <v>6.7019277661132408</v>
      </c>
      <c r="O42" s="204">
        <f>INDEX('Final allowances'!$I$6:$I$22,MATCH('Financial model inputs'!$B42,'Final allowances'!$B$6:$B$22,0))/5</f>
        <v>17.264916504460391</v>
      </c>
      <c r="P42" s="204">
        <f>INDEX('Final allowances'!$F$6:$F$22,MATCH('Financial model inputs'!$B42,'Final allowances'!$B$6:$B$22,0))/5</f>
        <v>16.486048214607269</v>
      </c>
      <c r="Q42" s="204">
        <v>65.077746521202798</v>
      </c>
      <c r="R42" s="204">
        <v>8.9195941883875705</v>
      </c>
      <c r="S42" s="204">
        <v>33.237675477178797</v>
      </c>
      <c r="T42" s="204">
        <f t="shared" si="3"/>
        <v>0.60687030072209014</v>
      </c>
      <c r="U42" s="204">
        <f t="shared" si="4"/>
        <v>0.39312969927790997</v>
      </c>
      <c r="V42" s="204">
        <f>(INDEX('Final allowances'!$T$29:$T$46, MATCH('Financial model inputs'!$B42, 'Final allowances'!$B$29:$B$46,0))/5) * T42</f>
        <v>58.997883629042768</v>
      </c>
      <c r="W42" s="204">
        <f>(INDEX('Final allowances'!$T$29:$T$46, MATCH('Financial model inputs'!$B42, 'Final allowances'!$B$29:$B$46,0))/5) * U42</f>
        <v>38.218743315534361</v>
      </c>
      <c r="X42" s="204">
        <f>(INDEX('Final allowances'!$Q$51:$Q$67,MATCH('Financial model inputs'!$B42,'Final allowances'!$B$51:$B$67,0))/5)</f>
        <v>8.3687244382939134</v>
      </c>
      <c r="Y42" s="204">
        <f>INDEX('Final allowances'!$L$71:$N$89,MATCH('Financial model inputs'!$B42,'Final allowances'!$B$71:$B$89,0),MATCH('Financial model inputs'!$Y$3,'Final allowances'!$L$71:$N$71,0))/5</f>
        <v>0.17199999999999999</v>
      </c>
      <c r="Z42" s="204">
        <f t="shared" si="5"/>
        <v>46.759467753828275</v>
      </c>
      <c r="AA42" s="204">
        <f>INDEX('Final allowances'!$J$6:$J$22,MATCH('Financial model inputs'!$B42,'Final allowances'!$B$6:$B$22,0))/5</f>
        <v>107.26493921434216</v>
      </c>
      <c r="AB42" s="204">
        <f>INDEX('Final allowances'!$G$6:$G$22,MATCH('Financial model inputs'!$B42,'Final allowances'!$B$6:$B$22,0))/5</f>
        <v>105.58535138287102</v>
      </c>
      <c r="AC42" s="204">
        <v>0.21652862181102139</v>
      </c>
      <c r="AD42" s="204">
        <v>1.6156366396668518</v>
      </c>
      <c r="AE42" s="204">
        <f t="shared" si="6"/>
        <v>0.55315236690799996</v>
      </c>
      <c r="AF42" s="204">
        <f t="shared" si="7"/>
        <v>0.51005</v>
      </c>
      <c r="AG42" s="204">
        <v>0</v>
      </c>
      <c r="AH42" s="204">
        <v>0.55315236690799996</v>
      </c>
      <c r="AI42" s="204">
        <v>0</v>
      </c>
      <c r="AJ42" s="204">
        <v>0.51005</v>
      </c>
    </row>
    <row r="43" spans="1:36" s="205" customFormat="1" x14ac:dyDescent="0.2">
      <c r="A43" s="145" t="s">
        <v>206</v>
      </c>
      <c r="B43" s="182" t="s">
        <v>10</v>
      </c>
      <c r="C43" s="182" t="s">
        <v>27</v>
      </c>
      <c r="D43" s="203">
        <v>2024</v>
      </c>
      <c r="E43" s="204">
        <v>10.313953205651799</v>
      </c>
      <c r="F43" s="204">
        <v>0</v>
      </c>
      <c r="G43" s="204">
        <v>2.10942586297642</v>
      </c>
      <c r="H43" s="204">
        <f t="shared" si="0"/>
        <v>0.83020514375970489</v>
      </c>
      <c r="I43" s="204">
        <f t="shared" si="1"/>
        <v>0.16979485624029514</v>
      </c>
      <c r="J43" s="204">
        <f>(INDEX('Final allowances'!$S$29:$S$46, MATCH('Financial model inputs'!$B43, 'Final allowances'!$B$29:$B$46,0))/5) * H43</f>
        <v>10.663701580652782</v>
      </c>
      <c r="K43" s="204">
        <f>(INDEX('Final allowances'!$S$29:$S$46, MATCH('Financial model inputs'!$B43, 'Final allowances'!$B$29:$B$46,0))/5) * I43</f>
        <v>2.1809569483954205</v>
      </c>
      <c r="L43" s="204">
        <f>(INDEX('Final allowances'!$P$51:$P$67,MATCH('Financial model inputs'!$B43,'Final allowances'!$B$51:$B$67,0))/5)</f>
        <v>3.6413896855590648</v>
      </c>
      <c r="M43" s="204">
        <f>INDEX('Final allowances'!$L$71:$N$89,MATCH('Financial model inputs'!$B43,'Final allowances'!$B$71:$B$89,0),MATCH('Financial model inputs'!$M$3,'Final allowances'!$L$71:$N$71,0))/5</f>
        <v>9.1999999999999998E-2</v>
      </c>
      <c r="N43" s="204">
        <f t="shared" si="2"/>
        <v>5.9143466339544846</v>
      </c>
      <c r="O43" s="204">
        <f>INDEX('Final allowances'!$I$6:$I$22,MATCH('Financial model inputs'!$B43,'Final allowances'!$B$6:$B$22,0))/5</f>
        <v>17.264916504460391</v>
      </c>
      <c r="P43" s="204">
        <f>INDEX('Final allowances'!$F$6:$F$22,MATCH('Financial model inputs'!$B43,'Final allowances'!$B$6:$B$22,0))/5</f>
        <v>16.486048214607269</v>
      </c>
      <c r="Q43" s="204">
        <v>66.139887819616007</v>
      </c>
      <c r="R43" s="204">
        <v>8.9195941883875705</v>
      </c>
      <c r="S43" s="204">
        <v>19.076476184486538</v>
      </c>
      <c r="T43" s="204">
        <f t="shared" si="3"/>
        <v>0.70259961325695031</v>
      </c>
      <c r="U43" s="204">
        <f t="shared" si="4"/>
        <v>0.29740038674304958</v>
      </c>
      <c r="V43" s="204">
        <f>(INDEX('Final allowances'!$T$29:$T$46, MATCH('Financial model inputs'!$B43, 'Final allowances'!$B$29:$B$46,0))/5) * T43</f>
        <v>68.304364493405089</v>
      </c>
      <c r="W43" s="204">
        <f>(INDEX('Final allowances'!$T$29:$T$46, MATCH('Financial model inputs'!$B43, 'Final allowances'!$B$29:$B$46,0))/5) * U43</f>
        <v>28.912262451172008</v>
      </c>
      <c r="X43" s="204">
        <f>(INDEX('Final allowances'!$Q$51:$Q$67,MATCH('Financial model inputs'!$B43,'Final allowances'!$B$51:$B$67,0))/5)</f>
        <v>8.3687244382939134</v>
      </c>
      <c r="Y43" s="204">
        <f>INDEX('Final allowances'!$L$71:$N$89,MATCH('Financial model inputs'!$B43,'Final allowances'!$B$71:$B$89,0),MATCH('Financial model inputs'!$Y$3,'Final allowances'!$L$71:$N$71,0))/5</f>
        <v>0.17199999999999999</v>
      </c>
      <c r="Z43" s="204">
        <f t="shared" si="5"/>
        <v>37.452986889465919</v>
      </c>
      <c r="AA43" s="204">
        <f>INDEX('Final allowances'!$J$6:$J$22,MATCH('Financial model inputs'!$B43,'Final allowances'!$B$6:$B$22,0))/5</f>
        <v>107.26493921434216</v>
      </c>
      <c r="AB43" s="204">
        <f>INDEX('Final allowances'!$G$6:$G$22,MATCH('Financial model inputs'!$B43,'Final allowances'!$B$6:$B$22,0))/5</f>
        <v>105.58535138287102</v>
      </c>
      <c r="AC43" s="204">
        <v>0</v>
      </c>
      <c r="AD43" s="204">
        <v>0</v>
      </c>
      <c r="AE43" s="204">
        <f t="shared" si="6"/>
        <v>0.55315236690799996</v>
      </c>
      <c r="AF43" s="204">
        <f t="shared" si="7"/>
        <v>0.51005</v>
      </c>
      <c r="AG43" s="204">
        <v>0</v>
      </c>
      <c r="AH43" s="204">
        <v>0.55315236690799996</v>
      </c>
      <c r="AI43" s="204">
        <v>0</v>
      </c>
      <c r="AJ43" s="204">
        <v>0.51005</v>
      </c>
    </row>
    <row r="44" spans="1:36" s="205" customFormat="1" x14ac:dyDescent="0.2">
      <c r="A44" s="145" t="s">
        <v>207</v>
      </c>
      <c r="B44" s="182" t="s">
        <v>10</v>
      </c>
      <c r="C44" s="182" t="s">
        <v>28</v>
      </c>
      <c r="D44" s="203">
        <v>2025</v>
      </c>
      <c r="E44" s="204">
        <v>10.391398068270499</v>
      </c>
      <c r="F44" s="204">
        <v>0</v>
      </c>
      <c r="G44" s="204">
        <v>2.0962287475918102</v>
      </c>
      <c r="H44" s="204">
        <f t="shared" si="0"/>
        <v>0.8321355387615289</v>
      </c>
      <c r="I44" s="204">
        <f t="shared" si="1"/>
        <v>0.16786446123847104</v>
      </c>
      <c r="J44" s="204">
        <f>(INDEX('Final allowances'!$S$29:$S$46, MATCH('Financial model inputs'!$B44, 'Final allowances'!$B$29:$B$46,0))/5) * H44</f>
        <v>10.688496845277394</v>
      </c>
      <c r="K44" s="204">
        <f>(INDEX('Final allowances'!$S$29:$S$46, MATCH('Financial model inputs'!$B44, 'Final allowances'!$B$29:$B$46,0))/5) * I44</f>
        <v>2.1561616837708084</v>
      </c>
      <c r="L44" s="204">
        <f>(INDEX('Final allowances'!$P$51:$P$67,MATCH('Financial model inputs'!$B44,'Final allowances'!$B$51:$B$67,0))/5)</f>
        <v>3.6413896855590648</v>
      </c>
      <c r="M44" s="204">
        <f>INDEX('Final allowances'!$L$71:$N$89,MATCH('Financial model inputs'!$B44,'Final allowances'!$B$71:$B$89,0),MATCH('Financial model inputs'!$M$3,'Final allowances'!$L$71:$N$71,0))/5</f>
        <v>9.1999999999999998E-2</v>
      </c>
      <c r="N44" s="204">
        <f t="shared" si="2"/>
        <v>5.8895513693298733</v>
      </c>
      <c r="O44" s="204">
        <f>INDEX('Final allowances'!$I$6:$I$22,MATCH('Financial model inputs'!$B44,'Final allowances'!$B$6:$B$22,0))/5</f>
        <v>17.264916504460391</v>
      </c>
      <c r="P44" s="204">
        <f>INDEX('Final allowances'!$F$6:$F$22,MATCH('Financial model inputs'!$B44,'Final allowances'!$B$6:$B$22,0))/5</f>
        <v>16.486048214607269</v>
      </c>
      <c r="Q44" s="204">
        <v>67.371785588700192</v>
      </c>
      <c r="R44" s="204">
        <v>9.0088330826183398</v>
      </c>
      <c r="S44" s="204">
        <v>14.389263047948059</v>
      </c>
      <c r="T44" s="204">
        <f t="shared" si="3"/>
        <v>0.74222621328369565</v>
      </c>
      <c r="U44" s="204">
        <f t="shared" si="4"/>
        <v>0.25777378671630435</v>
      </c>
      <c r="V44" s="204">
        <f>(INDEX('Final allowances'!$T$29:$T$46, MATCH('Financial model inputs'!$B44, 'Final allowances'!$B$29:$B$46,0))/5) * T44</f>
        <v>72.156728885287166</v>
      </c>
      <c r="W44" s="204">
        <f>(INDEX('Final allowances'!$T$29:$T$46, MATCH('Financial model inputs'!$B44, 'Final allowances'!$B$29:$B$46,0))/5) * U44</f>
        <v>25.059898059289949</v>
      </c>
      <c r="X44" s="204">
        <f>(INDEX('Final allowances'!$Q$51:$Q$67,MATCH('Financial model inputs'!$B44,'Final allowances'!$B$51:$B$67,0))/5)</f>
        <v>8.3687244382939134</v>
      </c>
      <c r="Y44" s="204">
        <f>INDEX('Final allowances'!$L$71:$N$89,MATCH('Financial model inputs'!$B44,'Final allowances'!$B$71:$B$89,0),MATCH('Financial model inputs'!$Y$3,'Final allowances'!$L$71:$N$71,0))/5</f>
        <v>0.17199999999999999</v>
      </c>
      <c r="Z44" s="204">
        <f t="shared" si="5"/>
        <v>33.600622497583856</v>
      </c>
      <c r="AA44" s="204">
        <f>INDEX('Final allowances'!$J$6:$J$22,MATCH('Financial model inputs'!$B44,'Final allowances'!$B$6:$B$22,0))/5</f>
        <v>107.26493921434216</v>
      </c>
      <c r="AB44" s="204">
        <f>INDEX('Final allowances'!$G$6:$G$22,MATCH('Financial model inputs'!$B44,'Final allowances'!$B$6:$B$22,0))/5</f>
        <v>105.58535138287102</v>
      </c>
      <c r="AC44" s="204">
        <v>0</v>
      </c>
      <c r="AD44" s="204">
        <v>0</v>
      </c>
      <c r="AE44" s="204">
        <f t="shared" si="6"/>
        <v>0.55315236690799996</v>
      </c>
      <c r="AF44" s="204">
        <f t="shared" si="7"/>
        <v>0.51005</v>
      </c>
      <c r="AG44" s="204">
        <v>0</v>
      </c>
      <c r="AH44" s="204">
        <v>0.55315236690799996</v>
      </c>
      <c r="AI44" s="204">
        <v>0</v>
      </c>
      <c r="AJ44" s="204">
        <v>0.51005</v>
      </c>
    </row>
    <row r="45" spans="1:36" s="205" customFormat="1" x14ac:dyDescent="0.2">
      <c r="A45" s="145" t="s">
        <v>208</v>
      </c>
      <c r="B45" s="182" t="s">
        <v>11</v>
      </c>
      <c r="C45" s="182" t="s">
        <v>24</v>
      </c>
      <c r="D45" s="203">
        <v>2021</v>
      </c>
      <c r="E45" s="204">
        <v>27.004999999999999</v>
      </c>
      <c r="F45" s="204">
        <v>12.417</v>
      </c>
      <c r="G45" s="204">
        <v>3.7519999999999998</v>
      </c>
      <c r="H45" s="204">
        <f t="shared" si="0"/>
        <v>0.62549219437624493</v>
      </c>
      <c r="I45" s="204">
        <f t="shared" si="1"/>
        <v>0.37450780562375507</v>
      </c>
      <c r="J45" s="204">
        <f>(INDEX('Final allowances'!$S$29:$S$46, MATCH('Financial model inputs'!$B45, 'Final allowances'!$B$29:$B$46,0))/5) * H45</f>
        <v>24.142165947770874</v>
      </c>
      <c r="K45" s="204">
        <f>(INDEX('Final allowances'!$S$29:$S$46, MATCH('Financial model inputs'!$B45, 'Final allowances'!$B$29:$B$46,0))/5) * I45</f>
        <v>14.454903951472222</v>
      </c>
      <c r="L45" s="204">
        <f>(INDEX('Final allowances'!$P$51:$P$67,MATCH('Financial model inputs'!$B45,'Final allowances'!$B$51:$B$67,0))/5)</f>
        <v>10.846791333482987</v>
      </c>
      <c r="M45" s="204">
        <f>INDEX('Final allowances'!$L$71:$N$89,MATCH('Financial model inputs'!$B45,'Final allowances'!$B$71:$B$89,0),MATCH('Financial model inputs'!$M$3,'Final allowances'!$L$71:$N$71,0))/5</f>
        <v>0</v>
      </c>
      <c r="N45" s="204">
        <f t="shared" si="2"/>
        <v>25.301695284955208</v>
      </c>
      <c r="O45" s="204">
        <f>INDEX('Final allowances'!$I$6:$I$22,MATCH('Financial model inputs'!$B45,'Final allowances'!$B$6:$B$22,0))/5</f>
        <v>49.595342035853449</v>
      </c>
      <c r="P45" s="204">
        <f>INDEX('Final allowances'!$F$6:$F$22,MATCH('Financial model inputs'!$B45,'Final allowances'!$B$6:$B$22,0))/5</f>
        <v>49.443861232726078</v>
      </c>
      <c r="Q45" s="204">
        <v>189.76</v>
      </c>
      <c r="R45" s="204">
        <v>30.219000000000001</v>
      </c>
      <c r="S45" s="204">
        <v>67.88</v>
      </c>
      <c r="T45" s="204">
        <f t="shared" si="3"/>
        <v>0.65921162791505561</v>
      </c>
      <c r="U45" s="204">
        <f t="shared" si="4"/>
        <v>0.34078837208494434</v>
      </c>
      <c r="V45" s="204">
        <f>(INDEX('Final allowances'!$T$29:$T$46, MATCH('Financial model inputs'!$B45, 'Final allowances'!$B$29:$B$46,0))/5) * T45</f>
        <v>179.47966177446426</v>
      </c>
      <c r="W45" s="204">
        <f>(INDEX('Final allowances'!$T$29:$T$46, MATCH('Financial model inputs'!$B45, 'Final allowances'!$B$29:$B$46,0))/5) * U45</f>
        <v>92.784440031688277</v>
      </c>
      <c r="X45" s="204">
        <f>(INDEX('Final allowances'!$Q$51:$Q$67,MATCH('Financial model inputs'!$B45,'Final allowances'!$B$51:$B$67,0))/5)</f>
        <v>15.001684933558881</v>
      </c>
      <c r="Y45" s="204">
        <f>INDEX('Final allowances'!$L$71:$N$89,MATCH('Financial model inputs'!$B45,'Final allowances'!$B$71:$B$89,0),MATCH('Financial model inputs'!$Y$3,'Final allowances'!$L$71:$N$71,0))/5</f>
        <v>0</v>
      </c>
      <c r="Z45" s="204">
        <f t="shared" si="5"/>
        <v>107.78612496524715</v>
      </c>
      <c r="AA45" s="204">
        <f>INDEX('Final allowances'!$J$6:$J$22,MATCH('Financial model inputs'!$B45,'Final allowances'!$B$6:$B$22,0))/5</f>
        <v>292.18874910189936</v>
      </c>
      <c r="AB45" s="204">
        <f>INDEX('Final allowances'!$G$6:$G$22,MATCH('Financial model inputs'!$B45,'Final allowances'!$B$6:$B$22,0))/5</f>
        <v>287.26578673971142</v>
      </c>
      <c r="AC45" s="204">
        <v>0.37870200781843089</v>
      </c>
      <c r="AD45" s="204">
        <v>5.9574059054699999</v>
      </c>
      <c r="AE45" s="204">
        <f t="shared" si="6"/>
        <v>0</v>
      </c>
      <c r="AF45" s="204">
        <f t="shared" si="7"/>
        <v>2.54</v>
      </c>
      <c r="AG45" s="204">
        <v>0</v>
      </c>
      <c r="AH45" s="204">
        <v>0</v>
      </c>
      <c r="AI45" s="204">
        <v>0</v>
      </c>
      <c r="AJ45" s="204">
        <v>2.54</v>
      </c>
    </row>
    <row r="46" spans="1:36" s="205" customFormat="1" x14ac:dyDescent="0.2">
      <c r="A46" s="145" t="s">
        <v>209</v>
      </c>
      <c r="B46" s="182" t="s">
        <v>11</v>
      </c>
      <c r="C46" s="182" t="s">
        <v>25</v>
      </c>
      <c r="D46" s="203">
        <v>2022</v>
      </c>
      <c r="E46" s="204">
        <v>27.04</v>
      </c>
      <c r="F46" s="204">
        <v>9.0950000000000006</v>
      </c>
      <c r="G46" s="204">
        <v>4.1020000000000003</v>
      </c>
      <c r="H46" s="204">
        <f t="shared" si="0"/>
        <v>0.67201829162213889</v>
      </c>
      <c r="I46" s="204">
        <f t="shared" si="1"/>
        <v>0.32798170837786123</v>
      </c>
      <c r="J46" s="204">
        <f>(INDEX('Final allowances'!$S$29:$S$46, MATCH('Financial model inputs'!$B46, 'Final allowances'!$B$29:$B$46,0))/5) * H46</f>
        <v>25.937936975309626</v>
      </c>
      <c r="K46" s="204">
        <f>(INDEX('Final allowances'!$S$29:$S$46, MATCH('Financial model inputs'!$B46, 'Final allowances'!$B$29:$B$46,0))/5) * I46</f>
        <v>12.659132923933475</v>
      </c>
      <c r="L46" s="204">
        <f>(INDEX('Final allowances'!$P$51:$P$67,MATCH('Financial model inputs'!$B46,'Final allowances'!$B$51:$B$67,0))/5)</f>
        <v>10.846791333482987</v>
      </c>
      <c r="M46" s="204">
        <f>INDEX('Final allowances'!$L$71:$N$89,MATCH('Financial model inputs'!$B46,'Final allowances'!$B$71:$B$89,0),MATCH('Financial model inputs'!$M$3,'Final allowances'!$L$71:$N$71,0))/5</f>
        <v>0</v>
      </c>
      <c r="N46" s="204">
        <f t="shared" si="2"/>
        <v>23.50592425741646</v>
      </c>
      <c r="O46" s="204">
        <f>INDEX('Final allowances'!$I$6:$I$22,MATCH('Financial model inputs'!$B46,'Final allowances'!$B$6:$B$22,0))/5</f>
        <v>49.595342035853449</v>
      </c>
      <c r="P46" s="204">
        <f>INDEX('Final allowances'!$F$6:$F$22,MATCH('Financial model inputs'!$B46,'Final allowances'!$B$6:$B$22,0))/5</f>
        <v>49.443861232726078</v>
      </c>
      <c r="Q46" s="204">
        <v>186.084</v>
      </c>
      <c r="R46" s="204">
        <v>30.709</v>
      </c>
      <c r="S46" s="204">
        <v>72.206999999999994</v>
      </c>
      <c r="T46" s="204">
        <f t="shared" si="3"/>
        <v>0.64388927335640145</v>
      </c>
      <c r="U46" s="204">
        <f t="shared" si="4"/>
        <v>0.35611072664359861</v>
      </c>
      <c r="V46" s="204">
        <f>(INDEX('Final allowances'!$T$29:$T$46, MATCH('Financial model inputs'!$B46, 'Final allowances'!$B$29:$B$46,0))/5) * T46</f>
        <v>175.30793467299688</v>
      </c>
      <c r="W46" s="204">
        <f>(INDEX('Final allowances'!$T$29:$T$46, MATCH('Financial model inputs'!$B46, 'Final allowances'!$B$29:$B$46,0))/5) * U46</f>
        <v>96.956167133155688</v>
      </c>
      <c r="X46" s="204">
        <f>(INDEX('Final allowances'!$Q$51:$Q$67,MATCH('Financial model inputs'!$B46,'Final allowances'!$B$51:$B$67,0))/5)</f>
        <v>15.001684933558881</v>
      </c>
      <c r="Y46" s="204">
        <f>INDEX('Final allowances'!$L$71:$N$89,MATCH('Financial model inputs'!$B46,'Final allowances'!$B$71:$B$89,0),MATCH('Financial model inputs'!$Y$3,'Final allowances'!$L$71:$N$71,0))/5</f>
        <v>0</v>
      </c>
      <c r="Z46" s="204">
        <f t="shared" si="5"/>
        <v>111.95785206671457</v>
      </c>
      <c r="AA46" s="204">
        <f>INDEX('Final allowances'!$J$6:$J$22,MATCH('Financial model inputs'!$B46,'Final allowances'!$B$6:$B$22,0))/5</f>
        <v>292.18874910189936</v>
      </c>
      <c r="AB46" s="204">
        <f>INDEX('Final allowances'!$G$6:$G$22,MATCH('Financial model inputs'!$B46,'Final allowances'!$B$6:$B$22,0))/5</f>
        <v>287.26578673971142</v>
      </c>
      <c r="AC46" s="204">
        <v>0.37870200781843089</v>
      </c>
      <c r="AD46" s="204">
        <v>5.9574059054699999</v>
      </c>
      <c r="AE46" s="204">
        <f t="shared" si="6"/>
        <v>0</v>
      </c>
      <c r="AF46" s="204">
        <f t="shared" si="7"/>
        <v>2.54</v>
      </c>
      <c r="AG46" s="204">
        <v>0</v>
      </c>
      <c r="AH46" s="204">
        <v>0</v>
      </c>
      <c r="AI46" s="204">
        <v>0</v>
      </c>
      <c r="AJ46" s="204">
        <v>2.54</v>
      </c>
    </row>
    <row r="47" spans="1:36" s="205" customFormat="1" x14ac:dyDescent="0.2">
      <c r="A47" s="145" t="s">
        <v>210</v>
      </c>
      <c r="B47" s="182" t="s">
        <v>11</v>
      </c>
      <c r="C47" s="182" t="s">
        <v>26</v>
      </c>
      <c r="D47" s="203">
        <v>2023</v>
      </c>
      <c r="E47" s="204">
        <v>27.302</v>
      </c>
      <c r="F47" s="204">
        <v>13.079000000000001</v>
      </c>
      <c r="G47" s="204">
        <v>5.6</v>
      </c>
      <c r="H47" s="204">
        <f t="shared" si="0"/>
        <v>0.59376699071355554</v>
      </c>
      <c r="I47" s="204">
        <f t="shared" si="1"/>
        <v>0.40623300928644446</v>
      </c>
      <c r="J47" s="204">
        <f>(INDEX('Final allowances'!$S$29:$S$46, MATCH('Financial model inputs'!$B47, 'Final allowances'!$B$29:$B$46,0))/5) * H47</f>
        <v>22.917666044434331</v>
      </c>
      <c r="K47" s="204">
        <f>(INDEX('Final allowances'!$S$29:$S$46, MATCH('Financial model inputs'!$B47, 'Final allowances'!$B$29:$B$46,0))/5) * I47</f>
        <v>15.679403854808767</v>
      </c>
      <c r="L47" s="204">
        <f>(INDEX('Final allowances'!$P$51:$P$67,MATCH('Financial model inputs'!$B47,'Final allowances'!$B$51:$B$67,0))/5)</f>
        <v>10.846791333482987</v>
      </c>
      <c r="M47" s="204">
        <f>INDEX('Final allowances'!$L$71:$N$89,MATCH('Financial model inputs'!$B47,'Final allowances'!$B$71:$B$89,0),MATCH('Financial model inputs'!$M$3,'Final allowances'!$L$71:$N$71,0))/5</f>
        <v>0</v>
      </c>
      <c r="N47" s="204">
        <f t="shared" si="2"/>
        <v>26.526195188291751</v>
      </c>
      <c r="O47" s="204">
        <f>INDEX('Final allowances'!$I$6:$I$22,MATCH('Financial model inputs'!$B47,'Final allowances'!$B$6:$B$22,0))/5</f>
        <v>49.595342035853449</v>
      </c>
      <c r="P47" s="204">
        <f>INDEX('Final allowances'!$F$6:$F$22,MATCH('Financial model inputs'!$B47,'Final allowances'!$B$6:$B$22,0))/5</f>
        <v>49.443861232726078</v>
      </c>
      <c r="Q47" s="204">
        <v>186.28800000000001</v>
      </c>
      <c r="R47" s="204">
        <v>32.76</v>
      </c>
      <c r="S47" s="204">
        <v>78.082999999999998</v>
      </c>
      <c r="T47" s="204">
        <f t="shared" si="3"/>
        <v>0.62695578717804612</v>
      </c>
      <c r="U47" s="204">
        <f t="shared" si="4"/>
        <v>0.37304421282195394</v>
      </c>
      <c r="V47" s="204">
        <f>(INDEX('Final allowances'!$T$29:$T$46, MATCH('Financial model inputs'!$B47, 'Final allowances'!$B$29:$B$46,0))/5) * T47</f>
        <v>170.69755426820007</v>
      </c>
      <c r="W47" s="204">
        <f>(INDEX('Final allowances'!$T$29:$T$46, MATCH('Financial model inputs'!$B47, 'Final allowances'!$B$29:$B$46,0))/5) * U47</f>
        <v>101.5665475379525</v>
      </c>
      <c r="X47" s="204">
        <f>(INDEX('Final allowances'!$Q$51:$Q$67,MATCH('Financial model inputs'!$B47,'Final allowances'!$B$51:$B$67,0))/5)</f>
        <v>15.001684933558881</v>
      </c>
      <c r="Y47" s="204">
        <f>INDEX('Final allowances'!$L$71:$N$89,MATCH('Financial model inputs'!$B47,'Final allowances'!$B$71:$B$89,0),MATCH('Financial model inputs'!$Y$3,'Final allowances'!$L$71:$N$71,0))/5</f>
        <v>0</v>
      </c>
      <c r="Z47" s="204">
        <f t="shared" si="5"/>
        <v>116.56823247151138</v>
      </c>
      <c r="AA47" s="204">
        <f>INDEX('Final allowances'!$J$6:$J$22,MATCH('Financial model inputs'!$B47,'Final allowances'!$B$6:$B$22,0))/5</f>
        <v>292.18874910189936</v>
      </c>
      <c r="AB47" s="204">
        <f>INDEX('Final allowances'!$G$6:$G$22,MATCH('Financial model inputs'!$B47,'Final allowances'!$B$6:$B$22,0))/5</f>
        <v>287.26578673971142</v>
      </c>
      <c r="AC47" s="204">
        <v>0</v>
      </c>
      <c r="AD47" s="204">
        <v>0</v>
      </c>
      <c r="AE47" s="204">
        <f t="shared" si="6"/>
        <v>0</v>
      </c>
      <c r="AF47" s="204">
        <f t="shared" si="7"/>
        <v>2.54</v>
      </c>
      <c r="AG47" s="204">
        <v>0</v>
      </c>
      <c r="AH47" s="204">
        <v>0</v>
      </c>
      <c r="AI47" s="204">
        <v>0</v>
      </c>
      <c r="AJ47" s="204">
        <v>2.54</v>
      </c>
    </row>
    <row r="48" spans="1:36" s="205" customFormat="1" x14ac:dyDescent="0.2">
      <c r="A48" s="145" t="s">
        <v>211</v>
      </c>
      <c r="B48" s="182" t="s">
        <v>11</v>
      </c>
      <c r="C48" s="182" t="s">
        <v>27</v>
      </c>
      <c r="D48" s="203">
        <v>2024</v>
      </c>
      <c r="E48" s="204">
        <v>27.364999999999998</v>
      </c>
      <c r="F48" s="204">
        <v>8.6300000000000008</v>
      </c>
      <c r="G48" s="204">
        <v>5.1440000000000001</v>
      </c>
      <c r="H48" s="204">
        <f t="shared" si="0"/>
        <v>0.6651838887673498</v>
      </c>
      <c r="I48" s="204">
        <f t="shared" si="1"/>
        <v>0.33481611123265032</v>
      </c>
      <c r="J48" s="204">
        <f>(INDEX('Final allowances'!$S$29:$S$46, MATCH('Financial model inputs'!$B48, 'Final allowances'!$B$29:$B$46,0))/5) * H48</f>
        <v>25.674149050603745</v>
      </c>
      <c r="K48" s="204">
        <f>(INDEX('Final allowances'!$S$29:$S$46, MATCH('Financial model inputs'!$B48, 'Final allowances'!$B$29:$B$46,0))/5) * I48</f>
        <v>12.922920848639356</v>
      </c>
      <c r="L48" s="204">
        <f>(INDEX('Final allowances'!$P$51:$P$67,MATCH('Financial model inputs'!$B48,'Final allowances'!$B$51:$B$67,0))/5)</f>
        <v>10.846791333482987</v>
      </c>
      <c r="M48" s="204">
        <f>INDEX('Final allowances'!$L$71:$N$89,MATCH('Financial model inputs'!$B48,'Final allowances'!$B$71:$B$89,0),MATCH('Financial model inputs'!$M$3,'Final allowances'!$L$71:$N$71,0))/5</f>
        <v>0</v>
      </c>
      <c r="N48" s="204">
        <f t="shared" si="2"/>
        <v>23.76971218212234</v>
      </c>
      <c r="O48" s="204">
        <f>INDEX('Final allowances'!$I$6:$I$22,MATCH('Financial model inputs'!$B48,'Final allowances'!$B$6:$B$22,0))/5</f>
        <v>49.595342035853449</v>
      </c>
      <c r="P48" s="204">
        <f>INDEX('Final allowances'!$F$6:$F$22,MATCH('Financial model inputs'!$B48,'Final allowances'!$B$6:$B$22,0))/5</f>
        <v>49.443861232726078</v>
      </c>
      <c r="Q48" s="204">
        <v>186.608</v>
      </c>
      <c r="R48" s="204">
        <v>37.957000000000001</v>
      </c>
      <c r="S48" s="204">
        <v>69.046999999999997</v>
      </c>
      <c r="T48" s="204">
        <f t="shared" si="3"/>
        <v>0.6355598545018597</v>
      </c>
      <c r="U48" s="204">
        <f t="shared" si="4"/>
        <v>0.36444014549814041</v>
      </c>
      <c r="V48" s="204">
        <f>(INDEX('Final allowances'!$T$29:$T$46, MATCH('Financial model inputs'!$B48, 'Final allowances'!$B$29:$B$46,0))/5) * T48</f>
        <v>173.04013292999784</v>
      </c>
      <c r="W48" s="204">
        <f>(INDEX('Final allowances'!$T$29:$T$46, MATCH('Financial model inputs'!$B48, 'Final allowances'!$B$29:$B$46,0))/5) * U48</f>
        <v>99.223968876154743</v>
      </c>
      <c r="X48" s="204">
        <f>(INDEX('Final allowances'!$Q$51:$Q$67,MATCH('Financial model inputs'!$B48,'Final allowances'!$B$51:$B$67,0))/5)</f>
        <v>15.001684933558881</v>
      </c>
      <c r="Y48" s="204">
        <f>INDEX('Final allowances'!$L$71:$N$89,MATCH('Financial model inputs'!$B48,'Final allowances'!$B$71:$B$89,0),MATCH('Financial model inputs'!$Y$3,'Final allowances'!$L$71:$N$71,0))/5</f>
        <v>0</v>
      </c>
      <c r="Z48" s="204">
        <f t="shared" si="5"/>
        <v>114.22565380971362</v>
      </c>
      <c r="AA48" s="204">
        <f>INDEX('Final allowances'!$J$6:$J$22,MATCH('Financial model inputs'!$B48,'Final allowances'!$B$6:$B$22,0))/5</f>
        <v>292.18874910189936</v>
      </c>
      <c r="AB48" s="204">
        <f>INDEX('Final allowances'!$G$6:$G$22,MATCH('Financial model inputs'!$B48,'Final allowances'!$B$6:$B$22,0))/5</f>
        <v>287.26578673971142</v>
      </c>
      <c r="AC48" s="204">
        <v>0</v>
      </c>
      <c r="AD48" s="204">
        <v>0</v>
      </c>
      <c r="AE48" s="204">
        <f t="shared" si="6"/>
        <v>0</v>
      </c>
      <c r="AF48" s="204">
        <f t="shared" si="7"/>
        <v>2.54</v>
      </c>
      <c r="AG48" s="204">
        <v>0</v>
      </c>
      <c r="AH48" s="204">
        <v>0</v>
      </c>
      <c r="AI48" s="204">
        <v>0</v>
      </c>
      <c r="AJ48" s="204">
        <v>2.54</v>
      </c>
    </row>
    <row r="49" spans="1:36" s="205" customFormat="1" x14ac:dyDescent="0.2">
      <c r="A49" s="145" t="s">
        <v>212</v>
      </c>
      <c r="B49" s="182" t="s">
        <v>11</v>
      </c>
      <c r="C49" s="182" t="s">
        <v>28</v>
      </c>
      <c r="D49" s="203">
        <v>2025</v>
      </c>
      <c r="E49" s="204">
        <v>28.483000000000001</v>
      </c>
      <c r="F49" s="204">
        <v>2.355</v>
      </c>
      <c r="G49" s="204">
        <v>3.0489999999999999</v>
      </c>
      <c r="H49" s="204">
        <f t="shared" si="0"/>
        <v>0.84052881636025611</v>
      </c>
      <c r="I49" s="204">
        <f t="shared" si="1"/>
        <v>0.15947118363974386</v>
      </c>
      <c r="J49" s="204">
        <f>(INDEX('Final allowances'!$S$29:$S$46, MATCH('Financial model inputs'!$B49, 'Final allowances'!$B$29:$B$46,0))/5) * H49</f>
        <v>32.441949477384867</v>
      </c>
      <c r="K49" s="204">
        <f>(INDEX('Final allowances'!$S$29:$S$46, MATCH('Financial model inputs'!$B49, 'Final allowances'!$B$29:$B$46,0))/5) * I49</f>
        <v>6.1551204218582258</v>
      </c>
      <c r="L49" s="204">
        <f>(INDEX('Final allowances'!$P$51:$P$67,MATCH('Financial model inputs'!$B49,'Final allowances'!$B$51:$B$67,0))/5)</f>
        <v>10.846791333482987</v>
      </c>
      <c r="M49" s="204">
        <f>INDEX('Final allowances'!$L$71:$N$89,MATCH('Financial model inputs'!$B49,'Final allowances'!$B$71:$B$89,0),MATCH('Financial model inputs'!$M$3,'Final allowances'!$L$71:$N$71,0))/5</f>
        <v>0</v>
      </c>
      <c r="N49" s="204">
        <f t="shared" si="2"/>
        <v>17.001911755341212</v>
      </c>
      <c r="O49" s="204">
        <f>INDEX('Final allowances'!$I$6:$I$22,MATCH('Financial model inputs'!$B49,'Final allowances'!$B$6:$B$22,0))/5</f>
        <v>49.595342035853449</v>
      </c>
      <c r="P49" s="204">
        <f>INDEX('Final allowances'!$F$6:$F$22,MATCH('Financial model inputs'!$B49,'Final allowances'!$B$6:$B$22,0))/5</f>
        <v>49.443861232726078</v>
      </c>
      <c r="Q49" s="204">
        <v>187.32899999999998</v>
      </c>
      <c r="R49" s="204">
        <v>38.137</v>
      </c>
      <c r="S49" s="204">
        <v>51.915999999999997</v>
      </c>
      <c r="T49" s="204">
        <f t="shared" si="3"/>
        <v>0.67534663388395788</v>
      </c>
      <c r="U49" s="204">
        <f t="shared" si="4"/>
        <v>0.32465336611604217</v>
      </c>
      <c r="V49" s="204">
        <f>(INDEX('Final allowances'!$T$29:$T$46, MATCH('Financial model inputs'!$B49, 'Final allowances'!$B$29:$B$46,0))/5) * T49</f>
        <v>183.87264468222435</v>
      </c>
      <c r="W49" s="204">
        <f>(INDEX('Final allowances'!$T$29:$T$46, MATCH('Financial model inputs'!$B49, 'Final allowances'!$B$29:$B$46,0))/5) * U49</f>
        <v>88.39145712392822</v>
      </c>
      <c r="X49" s="204">
        <f>(INDEX('Final allowances'!$Q$51:$Q$67,MATCH('Financial model inputs'!$B49,'Final allowances'!$B$51:$B$67,0))/5)</f>
        <v>15.001684933558881</v>
      </c>
      <c r="Y49" s="204">
        <f>INDEX('Final allowances'!$L$71:$N$89,MATCH('Financial model inputs'!$B49,'Final allowances'!$B$71:$B$89,0),MATCH('Financial model inputs'!$Y$3,'Final allowances'!$L$71:$N$71,0))/5</f>
        <v>0</v>
      </c>
      <c r="Z49" s="204">
        <f t="shared" si="5"/>
        <v>103.3931420574871</v>
      </c>
      <c r="AA49" s="204">
        <f>INDEX('Final allowances'!$J$6:$J$22,MATCH('Financial model inputs'!$B49,'Final allowances'!$B$6:$B$22,0))/5</f>
        <v>292.18874910189936</v>
      </c>
      <c r="AB49" s="204">
        <f>INDEX('Final allowances'!$G$6:$G$22,MATCH('Financial model inputs'!$B49,'Final allowances'!$B$6:$B$22,0))/5</f>
        <v>287.26578673971142</v>
      </c>
      <c r="AC49" s="204">
        <v>0</v>
      </c>
      <c r="AD49" s="204">
        <v>0</v>
      </c>
      <c r="AE49" s="204">
        <f t="shared" si="6"/>
        <v>0</v>
      </c>
      <c r="AF49" s="204">
        <f t="shared" si="7"/>
        <v>2.54</v>
      </c>
      <c r="AG49" s="204">
        <v>0</v>
      </c>
      <c r="AH49" s="204">
        <v>0</v>
      </c>
      <c r="AI49" s="204">
        <v>0</v>
      </c>
      <c r="AJ49" s="204">
        <v>2.54</v>
      </c>
    </row>
    <row r="50" spans="1:36" s="205" customFormat="1" x14ac:dyDescent="0.2">
      <c r="A50" s="145" t="s">
        <v>78</v>
      </c>
      <c r="B50" s="182" t="s">
        <v>89</v>
      </c>
      <c r="C50" s="182" t="s">
        <v>24</v>
      </c>
      <c r="D50" s="203">
        <v>2021</v>
      </c>
      <c r="E50" s="204">
        <v>47.905520439054698</v>
      </c>
      <c r="F50" s="204">
        <v>0</v>
      </c>
      <c r="G50" s="204">
        <v>8.6844187297247597</v>
      </c>
      <c r="H50" s="204">
        <f t="shared" si="0"/>
        <v>0.84653776170666151</v>
      </c>
      <c r="I50" s="204">
        <f t="shared" si="1"/>
        <v>0.15346223829333844</v>
      </c>
      <c r="J50" s="204">
        <f>(INDEX('Final allowances'!$S$29:$S$46, MATCH('Financial model inputs'!$B50, 'Final allowances'!$B$29:$B$46,0))/5) * H50</f>
        <v>47.762337960507708</v>
      </c>
      <c r="K50" s="204">
        <f>(INDEX('Final allowances'!$S$29:$S$46, MATCH('Financial model inputs'!$B50, 'Final allowances'!$B$29:$B$46,0))/5) * I50</f>
        <v>8.6584622932417492</v>
      </c>
      <c r="L50" s="204">
        <f>(INDEX('Final allowances'!$P$51:$P$67,MATCH('Financial model inputs'!$B50,'Final allowances'!$B$51:$B$67,0))/5)</f>
        <v>10.84067248806539</v>
      </c>
      <c r="M50" s="204">
        <f>INDEX('Final allowances'!$L$71:$N$89,MATCH('Financial model inputs'!$B50,'Final allowances'!$B$71:$B$89,0),MATCH('Financial model inputs'!$M$3,'Final allowances'!$L$71:$N$71,0))/5</f>
        <v>7.9182916666666641</v>
      </c>
      <c r="N50" s="204">
        <f t="shared" si="2"/>
        <v>27.417426447973806</v>
      </c>
      <c r="O50" s="204">
        <f>INDEX('Final allowances'!$I$6:$I$22,MATCH('Financial model inputs'!$B50,'Final allowances'!$B$6:$B$22,0))/5</f>
        <v>78.149738444977856</v>
      </c>
      <c r="P50" s="204">
        <f>INDEX('Final allowances'!$F$6:$F$22,MATCH('Financial model inputs'!$B50,'Final allowances'!$B$6:$B$22,0))/5</f>
        <v>67.261472741814856</v>
      </c>
      <c r="Q50" s="204">
        <v>335.78459790902593</v>
      </c>
      <c r="R50" s="204">
        <v>0</v>
      </c>
      <c r="S50" s="204">
        <v>74.246358304666785</v>
      </c>
      <c r="T50" s="204">
        <f t="shared" si="3"/>
        <v>0.81892499290718823</v>
      </c>
      <c r="U50" s="204">
        <f t="shared" si="4"/>
        <v>0.18107500709281174</v>
      </c>
      <c r="V50" s="204">
        <f>(INDEX('Final allowances'!$T$29:$T$46, MATCH('Financial model inputs'!$B50, 'Final allowances'!$B$29:$B$46,0))/5) * T50</f>
        <v>356.66128138649043</v>
      </c>
      <c r="W50" s="204">
        <f>(INDEX('Final allowances'!$T$29:$T$46, MATCH('Financial model inputs'!$B50, 'Final allowances'!$B$29:$B$46,0))/5) * U50</f>
        <v>78.862465569065179</v>
      </c>
      <c r="X50" s="204">
        <f>(INDEX('Final allowances'!$Q$51:$Q$67,MATCH('Financial model inputs'!$B50,'Final allowances'!$B$51:$B$67,0))/5)</f>
        <v>67.105518474271591</v>
      </c>
      <c r="Y50" s="204">
        <f>INDEX('Final allowances'!$L$71:$N$89,MATCH('Financial model inputs'!$B50,'Final allowances'!$B$71:$B$89,0),MATCH('Financial model inputs'!$Y$3,'Final allowances'!$L$71:$N$71,0))/5</f>
        <v>0.7473750000000009</v>
      </c>
      <c r="Z50" s="204">
        <f t="shared" si="5"/>
        <v>146.71535904333678</v>
      </c>
      <c r="AA50" s="204">
        <f>INDEX('Final allowances'!$J$6:$J$22,MATCH('Financial model inputs'!$B50,'Final allowances'!$B$6:$B$22,0))/5</f>
        <v>514.35161321751605</v>
      </c>
      <c r="AB50" s="204">
        <f>INDEX('Final allowances'!$G$6:$G$22,MATCH('Financial model inputs'!$B50,'Final allowances'!$B$6:$B$22,0))/5</f>
        <v>502.62926542982723</v>
      </c>
      <c r="AC50" s="204">
        <v>0.69838028336575209</v>
      </c>
      <c r="AD50" s="204">
        <v>5.3593095658284859</v>
      </c>
      <c r="AE50" s="204">
        <f t="shared" si="6"/>
        <v>2.1948634535368399</v>
      </c>
      <c r="AF50" s="204">
        <f t="shared" si="7"/>
        <v>5.4906160411853513</v>
      </c>
      <c r="AG50" s="204">
        <v>0</v>
      </c>
      <c r="AH50" s="204">
        <v>2.1948634535368399</v>
      </c>
      <c r="AI50" s="204">
        <v>0</v>
      </c>
      <c r="AJ50" s="204">
        <v>5.4906160411853513</v>
      </c>
    </row>
    <row r="51" spans="1:36" s="205" customFormat="1" x14ac:dyDescent="0.2">
      <c r="A51" s="145" t="s">
        <v>79</v>
      </c>
      <c r="B51" s="182" t="s">
        <v>89</v>
      </c>
      <c r="C51" s="182" t="s">
        <v>25</v>
      </c>
      <c r="D51" s="203">
        <v>2022</v>
      </c>
      <c r="E51" s="204">
        <v>49.710020171774502</v>
      </c>
      <c r="F51" s="204">
        <v>0</v>
      </c>
      <c r="G51" s="204">
        <v>9.6004652814199307</v>
      </c>
      <c r="H51" s="204">
        <f t="shared" si="0"/>
        <v>0.83813207381355448</v>
      </c>
      <c r="I51" s="204">
        <f t="shared" si="1"/>
        <v>0.16186792618644558</v>
      </c>
      <c r="J51" s="204">
        <f>(INDEX('Final allowances'!$S$29:$S$46, MATCH('Financial model inputs'!$B51, 'Final allowances'!$B$29:$B$46,0))/5) * H51</f>
        <v>47.288082322895356</v>
      </c>
      <c r="K51" s="204">
        <f>(INDEX('Final allowances'!$S$29:$S$46, MATCH('Financial model inputs'!$B51, 'Final allowances'!$B$29:$B$46,0))/5) * I51</f>
        <v>9.132717930854108</v>
      </c>
      <c r="L51" s="204">
        <f>(INDEX('Final allowances'!$P$51:$P$67,MATCH('Financial model inputs'!$B51,'Final allowances'!$B$51:$B$67,0))/5)</f>
        <v>10.84067248806539</v>
      </c>
      <c r="M51" s="204">
        <f>INDEX('Final allowances'!$L$71:$N$89,MATCH('Financial model inputs'!$B51,'Final allowances'!$B$71:$B$89,0),MATCH('Financial model inputs'!$M$3,'Final allowances'!$L$71:$N$71,0))/5</f>
        <v>7.9182916666666641</v>
      </c>
      <c r="N51" s="204">
        <f t="shared" si="2"/>
        <v>27.891682085586165</v>
      </c>
      <c r="O51" s="204">
        <f>INDEX('Final allowances'!$I$6:$I$22,MATCH('Financial model inputs'!$B51,'Final allowances'!$B$6:$B$22,0))/5</f>
        <v>78.149738444977856</v>
      </c>
      <c r="P51" s="204">
        <f>INDEX('Final allowances'!$F$6:$F$22,MATCH('Financial model inputs'!$B51,'Final allowances'!$B$6:$B$22,0))/5</f>
        <v>67.261472741814856</v>
      </c>
      <c r="Q51" s="204">
        <v>339.00647715876789</v>
      </c>
      <c r="R51" s="204">
        <v>0</v>
      </c>
      <c r="S51" s="204">
        <v>94.317580031830474</v>
      </c>
      <c r="T51" s="204">
        <f t="shared" si="3"/>
        <v>0.78233938673212255</v>
      </c>
      <c r="U51" s="204">
        <f t="shared" si="4"/>
        <v>0.21766061326787753</v>
      </c>
      <c r="V51" s="204">
        <f>(INDEX('Final allowances'!$T$29:$T$46, MATCH('Financial model inputs'!$B51, 'Final allowances'!$B$29:$B$46,0))/5) * T51</f>
        <v>340.7273811004855</v>
      </c>
      <c r="W51" s="204">
        <f>(INDEX('Final allowances'!$T$29:$T$46, MATCH('Financial model inputs'!$B51, 'Final allowances'!$B$29:$B$46,0))/5) * U51</f>
        <v>94.79636585507015</v>
      </c>
      <c r="X51" s="204">
        <f>(INDEX('Final allowances'!$Q$51:$Q$67,MATCH('Financial model inputs'!$B51,'Final allowances'!$B$51:$B$67,0))/5)</f>
        <v>67.105518474271591</v>
      </c>
      <c r="Y51" s="204">
        <f>INDEX('Final allowances'!$L$71:$N$89,MATCH('Financial model inputs'!$B51,'Final allowances'!$B$71:$B$89,0),MATCH('Financial model inputs'!$Y$3,'Final allowances'!$L$71:$N$71,0))/5</f>
        <v>0.7473750000000009</v>
      </c>
      <c r="Z51" s="204">
        <f t="shared" si="5"/>
        <v>162.64925932934173</v>
      </c>
      <c r="AA51" s="204">
        <f>INDEX('Final allowances'!$J$6:$J$22,MATCH('Financial model inputs'!$B51,'Final allowances'!$B$6:$B$22,0))/5</f>
        <v>514.35161321751605</v>
      </c>
      <c r="AB51" s="204">
        <f>INDEX('Final allowances'!$G$6:$G$22,MATCH('Financial model inputs'!$B51,'Final allowances'!$B$6:$B$22,0))/5</f>
        <v>502.62926542982723</v>
      </c>
      <c r="AC51" s="204">
        <v>0.6983802833657512</v>
      </c>
      <c r="AD51" s="204">
        <v>5.3593095658284966</v>
      </c>
      <c r="AE51" s="204">
        <f t="shared" si="6"/>
        <v>2.2807039848639601</v>
      </c>
      <c r="AF51" s="204">
        <f t="shared" si="7"/>
        <v>5.6142793612481627</v>
      </c>
      <c r="AG51" s="204">
        <v>0</v>
      </c>
      <c r="AH51" s="204">
        <v>2.2807039848639601</v>
      </c>
      <c r="AI51" s="204">
        <v>0</v>
      </c>
      <c r="AJ51" s="204">
        <v>5.6142793612481627</v>
      </c>
    </row>
    <row r="52" spans="1:36" s="205" customFormat="1" x14ac:dyDescent="0.2">
      <c r="A52" s="145" t="s">
        <v>80</v>
      </c>
      <c r="B52" s="182" t="s">
        <v>89</v>
      </c>
      <c r="C52" s="182" t="s">
        <v>26</v>
      </c>
      <c r="D52" s="203">
        <v>2023</v>
      </c>
      <c r="E52" s="204">
        <v>49.556716730171999</v>
      </c>
      <c r="F52" s="204">
        <v>0</v>
      </c>
      <c r="G52" s="204">
        <v>12.173813293643899</v>
      </c>
      <c r="H52" s="204">
        <f t="shared" si="0"/>
        <v>0.80279104538795965</v>
      </c>
      <c r="I52" s="204">
        <f t="shared" si="1"/>
        <v>0.19720895461204027</v>
      </c>
      <c r="J52" s="204">
        <f>(INDEX('Final allowances'!$S$29:$S$46, MATCH('Financial model inputs'!$B52, 'Final allowances'!$B$29:$B$46,0))/5) * H52</f>
        <v>45.294113217332793</v>
      </c>
      <c r="K52" s="204">
        <f>(INDEX('Final allowances'!$S$29:$S$46, MATCH('Financial model inputs'!$B52, 'Final allowances'!$B$29:$B$46,0))/5) * I52</f>
        <v>11.126687036416667</v>
      </c>
      <c r="L52" s="204">
        <f>(INDEX('Final allowances'!$P$51:$P$67,MATCH('Financial model inputs'!$B52,'Final allowances'!$B$51:$B$67,0))/5)</f>
        <v>10.84067248806539</v>
      </c>
      <c r="M52" s="204">
        <f>INDEX('Final allowances'!$L$71:$N$89,MATCH('Financial model inputs'!$B52,'Final allowances'!$B$71:$B$89,0),MATCH('Financial model inputs'!$M$3,'Final allowances'!$L$71:$N$71,0))/5</f>
        <v>7.9182916666666641</v>
      </c>
      <c r="N52" s="204">
        <f t="shared" si="2"/>
        <v>29.885651191148721</v>
      </c>
      <c r="O52" s="204">
        <f>INDEX('Final allowances'!$I$6:$I$22,MATCH('Financial model inputs'!$B52,'Final allowances'!$B$6:$B$22,0))/5</f>
        <v>78.149738444977856</v>
      </c>
      <c r="P52" s="204">
        <f>INDEX('Final allowances'!$F$6:$F$22,MATCH('Financial model inputs'!$B52,'Final allowances'!$B$6:$B$22,0))/5</f>
        <v>67.261472741814856</v>
      </c>
      <c r="Q52" s="204">
        <v>322.6619163227445</v>
      </c>
      <c r="R52" s="204">
        <v>0</v>
      </c>
      <c r="S52" s="204">
        <v>103.9273040163723</v>
      </c>
      <c r="T52" s="204">
        <f t="shared" si="3"/>
        <v>0.75637615987165507</v>
      </c>
      <c r="U52" s="204">
        <f t="shared" si="4"/>
        <v>0.24362384012834493</v>
      </c>
      <c r="V52" s="204">
        <f>(INDEX('Final allowances'!$T$29:$T$46, MATCH('Financial model inputs'!$B52, 'Final allowances'!$B$29:$B$46,0))/5) * T52</f>
        <v>329.41977925515761</v>
      </c>
      <c r="W52" s="204">
        <f>(INDEX('Final allowances'!$T$29:$T$46, MATCH('Financial model inputs'!$B52, 'Final allowances'!$B$29:$B$46,0))/5) * U52</f>
        <v>106.10396770039803</v>
      </c>
      <c r="X52" s="204">
        <f>(INDEX('Final allowances'!$Q$51:$Q$67,MATCH('Financial model inputs'!$B52,'Final allowances'!$B$51:$B$67,0))/5)</f>
        <v>67.105518474271591</v>
      </c>
      <c r="Y52" s="204">
        <f>INDEX('Final allowances'!$L$71:$N$89,MATCH('Financial model inputs'!$B52,'Final allowances'!$B$71:$B$89,0),MATCH('Financial model inputs'!$Y$3,'Final allowances'!$L$71:$N$71,0))/5</f>
        <v>0.7473750000000009</v>
      </c>
      <c r="Z52" s="204">
        <f t="shared" si="5"/>
        <v>173.95686117466963</v>
      </c>
      <c r="AA52" s="204">
        <f>INDEX('Final allowances'!$J$6:$J$22,MATCH('Financial model inputs'!$B52,'Final allowances'!$B$6:$B$22,0))/5</f>
        <v>514.35161321751605</v>
      </c>
      <c r="AB52" s="204">
        <f>INDEX('Final allowances'!$G$6:$G$22,MATCH('Financial model inputs'!$B52,'Final allowances'!$B$6:$B$22,0))/5</f>
        <v>502.62926542982723</v>
      </c>
      <c r="AC52" s="204">
        <v>0.69838028336575153</v>
      </c>
      <c r="AD52" s="204">
        <v>5.3593095658284833</v>
      </c>
      <c r="AE52" s="204">
        <f t="shared" si="6"/>
        <v>2.2805135677950701</v>
      </c>
      <c r="AF52" s="204">
        <f t="shared" si="7"/>
        <v>5.6256090238498331</v>
      </c>
      <c r="AG52" s="204">
        <v>0</v>
      </c>
      <c r="AH52" s="204">
        <v>2.2805135677950701</v>
      </c>
      <c r="AI52" s="204">
        <v>0</v>
      </c>
      <c r="AJ52" s="204">
        <v>5.6256090238498331</v>
      </c>
    </row>
    <row r="53" spans="1:36" s="205" customFormat="1" x14ac:dyDescent="0.2">
      <c r="A53" s="145" t="s">
        <v>81</v>
      </c>
      <c r="B53" s="182" t="s">
        <v>89</v>
      </c>
      <c r="C53" s="182" t="s">
        <v>27</v>
      </c>
      <c r="D53" s="203">
        <v>2024</v>
      </c>
      <c r="E53" s="204">
        <v>49.972914911565198</v>
      </c>
      <c r="F53" s="204">
        <v>0</v>
      </c>
      <c r="G53" s="204">
        <v>15.2193714768632</v>
      </c>
      <c r="H53" s="204">
        <f t="shared" si="0"/>
        <v>0.76654643793004573</v>
      </c>
      <c r="I53" s="204">
        <f t="shared" si="1"/>
        <v>0.23345356206995421</v>
      </c>
      <c r="J53" s="204">
        <f>(INDEX('Final allowances'!$S$29:$S$46, MATCH('Financial model inputs'!$B53, 'Final allowances'!$B$29:$B$46,0))/5) * H53</f>
        <v>43.249163459674271</v>
      </c>
      <c r="K53" s="204">
        <f>(INDEX('Final allowances'!$S$29:$S$46, MATCH('Financial model inputs'!$B53, 'Final allowances'!$B$29:$B$46,0))/5) * I53</f>
        <v>13.171636794075189</v>
      </c>
      <c r="L53" s="204">
        <f>(INDEX('Final allowances'!$P$51:$P$67,MATCH('Financial model inputs'!$B53,'Final allowances'!$B$51:$B$67,0))/5)</f>
        <v>10.84067248806539</v>
      </c>
      <c r="M53" s="204">
        <f>INDEX('Final allowances'!$L$71:$N$89,MATCH('Financial model inputs'!$B53,'Final allowances'!$B$71:$B$89,0),MATCH('Financial model inputs'!$M$3,'Final allowances'!$L$71:$N$71,0))/5</f>
        <v>7.9182916666666641</v>
      </c>
      <c r="N53" s="204">
        <f t="shared" si="2"/>
        <v>31.930600948807243</v>
      </c>
      <c r="O53" s="204">
        <f>INDEX('Final allowances'!$I$6:$I$22,MATCH('Financial model inputs'!$B53,'Final allowances'!$B$6:$B$22,0))/5</f>
        <v>78.149738444977856</v>
      </c>
      <c r="P53" s="204">
        <f>INDEX('Final allowances'!$F$6:$F$22,MATCH('Financial model inputs'!$B53,'Final allowances'!$B$6:$B$22,0))/5</f>
        <v>67.261472741814856</v>
      </c>
      <c r="Q53" s="204">
        <v>316.3608917334285</v>
      </c>
      <c r="R53" s="204">
        <v>0</v>
      </c>
      <c r="S53" s="204">
        <v>98.729860794872835</v>
      </c>
      <c r="T53" s="204">
        <f t="shared" si="3"/>
        <v>0.76214873447911535</v>
      </c>
      <c r="U53" s="204">
        <f t="shared" si="4"/>
        <v>0.23785126552088467</v>
      </c>
      <c r="V53" s="204">
        <f>(INDEX('Final allowances'!$T$29:$T$46, MATCH('Financial model inputs'!$B53, 'Final allowances'!$B$29:$B$46,0))/5) * T53</f>
        <v>331.9338725777792</v>
      </c>
      <c r="W53" s="204">
        <f>(INDEX('Final allowances'!$T$29:$T$46, MATCH('Financial model inputs'!$B53, 'Final allowances'!$B$29:$B$46,0))/5) * U53</f>
        <v>103.58987437777645</v>
      </c>
      <c r="X53" s="204">
        <f>(INDEX('Final allowances'!$Q$51:$Q$67,MATCH('Financial model inputs'!$B53,'Final allowances'!$B$51:$B$67,0))/5)</f>
        <v>67.105518474271591</v>
      </c>
      <c r="Y53" s="204">
        <f>INDEX('Final allowances'!$L$71:$N$89,MATCH('Financial model inputs'!$B53,'Final allowances'!$B$71:$B$89,0),MATCH('Financial model inputs'!$Y$3,'Final allowances'!$L$71:$N$71,0))/5</f>
        <v>0.7473750000000009</v>
      </c>
      <c r="Z53" s="204">
        <f t="shared" si="5"/>
        <v>171.44276785204804</v>
      </c>
      <c r="AA53" s="204">
        <f>INDEX('Final allowances'!$J$6:$J$22,MATCH('Financial model inputs'!$B53,'Final allowances'!$B$6:$B$22,0))/5</f>
        <v>514.35161321751605</v>
      </c>
      <c r="AB53" s="204">
        <f>INDEX('Final allowances'!$G$6:$G$22,MATCH('Financial model inputs'!$B53,'Final allowances'!$B$6:$B$22,0))/5</f>
        <v>502.62926542982723</v>
      </c>
      <c r="AC53" s="204">
        <v>0.69838028336575109</v>
      </c>
      <c r="AD53" s="204">
        <v>5.3593095658284851</v>
      </c>
      <c r="AE53" s="204">
        <f t="shared" si="6"/>
        <v>2.27771973158888</v>
      </c>
      <c r="AF53" s="204">
        <f t="shared" si="7"/>
        <v>5.6355460036182592</v>
      </c>
      <c r="AG53" s="204">
        <v>0</v>
      </c>
      <c r="AH53" s="204">
        <v>2.27771973158888</v>
      </c>
      <c r="AI53" s="204">
        <v>0</v>
      </c>
      <c r="AJ53" s="204">
        <v>5.6355460036182592</v>
      </c>
    </row>
    <row r="54" spans="1:36" s="205" customFormat="1" x14ac:dyDescent="0.2">
      <c r="A54" s="145" t="s">
        <v>82</v>
      </c>
      <c r="B54" s="182" t="s">
        <v>89</v>
      </c>
      <c r="C54" s="182" t="s">
        <v>28</v>
      </c>
      <c r="D54" s="203">
        <v>2025</v>
      </c>
      <c r="E54" s="204">
        <v>51.829090604805103</v>
      </c>
      <c r="F54" s="204">
        <v>0</v>
      </c>
      <c r="G54" s="204">
        <v>14.760404394385599</v>
      </c>
      <c r="H54" s="204">
        <f t="shared" si="0"/>
        <v>0.77833734293126877</v>
      </c>
      <c r="I54" s="204">
        <f t="shared" si="1"/>
        <v>0.22166265706873117</v>
      </c>
      <c r="J54" s="204">
        <f>(INDEX('Final allowances'!$S$29:$S$46, MATCH('Financial model inputs'!$B54, 'Final allowances'!$B$29:$B$46,0))/5) * H54</f>
        <v>43.914415755559212</v>
      </c>
      <c r="K54" s="204">
        <f>(INDEX('Final allowances'!$S$29:$S$46, MATCH('Financial model inputs'!$B54, 'Final allowances'!$B$29:$B$46,0))/5) * I54</f>
        <v>12.506384498190247</v>
      </c>
      <c r="L54" s="204">
        <f>(INDEX('Final allowances'!$P$51:$P$67,MATCH('Financial model inputs'!$B54,'Final allowances'!$B$51:$B$67,0))/5)</f>
        <v>10.84067248806539</v>
      </c>
      <c r="M54" s="204">
        <f>INDEX('Final allowances'!$L$71:$N$89,MATCH('Financial model inputs'!$B54,'Final allowances'!$B$71:$B$89,0),MATCH('Financial model inputs'!$M$3,'Final allowances'!$L$71:$N$71,0))/5</f>
        <v>7.9182916666666641</v>
      </c>
      <c r="N54" s="204">
        <f t="shared" si="2"/>
        <v>31.265348652922302</v>
      </c>
      <c r="O54" s="204">
        <f>INDEX('Final allowances'!$I$6:$I$22,MATCH('Financial model inputs'!$B54,'Final allowances'!$B$6:$B$22,0))/5</f>
        <v>78.149738444977856</v>
      </c>
      <c r="P54" s="204">
        <f>INDEX('Final allowances'!$F$6:$F$22,MATCH('Financial model inputs'!$B54,'Final allowances'!$B$6:$B$22,0))/5</f>
        <v>67.261472741814856</v>
      </c>
      <c r="Q54" s="204">
        <v>318.75276244558358</v>
      </c>
      <c r="R54" s="204">
        <v>0</v>
      </c>
      <c r="S54" s="204">
        <v>85.750333388636164</v>
      </c>
      <c r="T54" s="204">
        <f t="shared" si="3"/>
        <v>0.78801068700898202</v>
      </c>
      <c r="U54" s="204">
        <f t="shared" si="4"/>
        <v>0.21198931299101803</v>
      </c>
      <c r="V54" s="204">
        <f>(INDEX('Final allowances'!$T$29:$T$46, MATCH('Financial model inputs'!$B54, 'Final allowances'!$B$29:$B$46,0))/5) * T54</f>
        <v>343.19736704717343</v>
      </c>
      <c r="W54" s="204">
        <f>(INDEX('Final allowances'!$T$29:$T$46, MATCH('Financial model inputs'!$B54, 'Final allowances'!$B$29:$B$46,0))/5) * U54</f>
        <v>92.326379908382222</v>
      </c>
      <c r="X54" s="204">
        <f>(INDEX('Final allowances'!$Q$51:$Q$67,MATCH('Financial model inputs'!$B54,'Final allowances'!$B$51:$B$67,0))/5)</f>
        <v>67.105518474271591</v>
      </c>
      <c r="Y54" s="204">
        <f>INDEX('Final allowances'!$L$71:$N$89,MATCH('Financial model inputs'!$B54,'Final allowances'!$B$71:$B$89,0),MATCH('Financial model inputs'!$Y$3,'Final allowances'!$L$71:$N$71,0))/5</f>
        <v>0.7473750000000009</v>
      </c>
      <c r="Z54" s="204">
        <f t="shared" si="5"/>
        <v>160.1792733826538</v>
      </c>
      <c r="AA54" s="204">
        <f>INDEX('Final allowances'!$J$6:$J$22,MATCH('Financial model inputs'!$B54,'Final allowances'!$B$6:$B$22,0))/5</f>
        <v>514.35161321751605</v>
      </c>
      <c r="AB54" s="204">
        <f>INDEX('Final allowances'!$G$6:$G$22,MATCH('Financial model inputs'!$B54,'Final allowances'!$B$6:$B$22,0))/5</f>
        <v>502.62926542982723</v>
      </c>
      <c r="AC54" s="204">
        <v>0.69838028336575109</v>
      </c>
      <c r="AD54" s="204">
        <v>5.3593095658284833</v>
      </c>
      <c r="AE54" s="204">
        <f t="shared" si="6"/>
        <v>2.3241680278682102</v>
      </c>
      <c r="AF54" s="204">
        <f t="shared" si="7"/>
        <v>5.7122656794000379</v>
      </c>
      <c r="AG54" s="204">
        <v>0</v>
      </c>
      <c r="AH54" s="204">
        <v>2.3241680278682102</v>
      </c>
      <c r="AI54" s="204">
        <v>0</v>
      </c>
      <c r="AJ54" s="204">
        <v>5.7122656794000379</v>
      </c>
    </row>
    <row r="55" spans="1:36" s="205" customFormat="1" x14ac:dyDescent="0.2">
      <c r="A55" s="145" t="s">
        <v>83</v>
      </c>
      <c r="B55" s="182" t="s">
        <v>90</v>
      </c>
      <c r="C55" s="182" t="s">
        <v>24</v>
      </c>
      <c r="D55" s="203">
        <v>2021</v>
      </c>
      <c r="E55" s="204">
        <v>3.5150000000000001</v>
      </c>
      <c r="F55" s="204">
        <v>0</v>
      </c>
      <c r="G55" s="204">
        <v>0.38492052469709598</v>
      </c>
      <c r="H55" s="204">
        <f t="shared" si="0"/>
        <v>0.90130041823685814</v>
      </c>
      <c r="I55" s="204">
        <f t="shared" si="1"/>
        <v>9.8699581763141808E-2</v>
      </c>
      <c r="J55" s="204">
        <f>(INDEX('Final allowances'!$S$29:$S$46, MATCH('Financial model inputs'!$B55, 'Final allowances'!$B$29:$B$46,0))/5) * H55</f>
        <v>2.0686057998899074</v>
      </c>
      <c r="K55" s="204">
        <f>(INDEX('Final allowances'!$S$29:$S$46, MATCH('Financial model inputs'!$B55, 'Final allowances'!$B$29:$B$46,0))/5) * I55</f>
        <v>0.22652882784781767</v>
      </c>
      <c r="L55" s="204">
        <f>(INDEX('Final allowances'!$P$51:$P$67,MATCH('Financial model inputs'!$B55,'Final allowances'!$B$51:$B$67,0))/5)</f>
        <v>1.3827545325045076</v>
      </c>
      <c r="M55" s="204">
        <f>INDEX('Final allowances'!$L$71:$N$89,MATCH('Financial model inputs'!$B55,'Final allowances'!$B$71:$B$89,0),MATCH('Financial model inputs'!$M$3,'Final allowances'!$L$71:$N$71,0))/5</f>
        <v>0</v>
      </c>
      <c r="N55" s="204">
        <f t="shared" si="2"/>
        <v>1.6092833603523253</v>
      </c>
      <c r="O55" s="204">
        <f>INDEX('Final allowances'!$I$6:$I$22,MATCH('Financial model inputs'!$B55,'Final allowances'!$B$6:$B$22,0))/5</f>
        <v>5.1311678582446092</v>
      </c>
      <c r="P55" s="204">
        <f>INDEX('Final allowances'!$F$6:$F$22,MATCH('Financial model inputs'!$B55,'Final allowances'!$B$6:$B$22,0))/5</f>
        <v>3.6778891602422332</v>
      </c>
      <c r="Q55" s="204">
        <v>15.348000000000001</v>
      </c>
      <c r="R55" s="204">
        <v>0</v>
      </c>
      <c r="S55" s="204">
        <v>4.6462832278294419</v>
      </c>
      <c r="T55" s="204">
        <f t="shared" si="3"/>
        <v>0.76761941526553856</v>
      </c>
      <c r="U55" s="204">
        <f t="shared" si="4"/>
        <v>0.23238058473446149</v>
      </c>
      <c r="V55" s="204">
        <f>(INDEX('Final allowances'!$T$29:$T$46, MATCH('Financial model inputs'!$B55, 'Final allowances'!$B$29:$B$46,0))/5) * T55</f>
        <v>15.019734185530657</v>
      </c>
      <c r="W55" s="204">
        <f>(INDEX('Final allowances'!$T$29:$T$46, MATCH('Financial model inputs'!$B55, 'Final allowances'!$B$29:$B$46,0))/5) * U55</f>
        <v>4.5469076773968977</v>
      </c>
      <c r="X55" s="204">
        <f>(INDEX('Final allowances'!$Q$51:$Q$67,MATCH('Financial model inputs'!$B55,'Final allowances'!$B$51:$B$67,0))/5)</f>
        <v>1.0214629591136322</v>
      </c>
      <c r="Y55" s="204">
        <f>INDEX('Final allowances'!$L$71:$N$89,MATCH('Financial model inputs'!$B55,'Final allowances'!$B$71:$B$89,0),MATCH('Financial model inputs'!$Y$3,'Final allowances'!$L$71:$N$71,0))/5</f>
        <v>0</v>
      </c>
      <c r="Z55" s="204">
        <f t="shared" si="5"/>
        <v>5.5683706365105294</v>
      </c>
      <c r="AA55" s="204">
        <f>INDEX('Final allowances'!$J$6:$J$22,MATCH('Financial model inputs'!$B55,'Final allowances'!$B$6:$B$22,0))/5</f>
        <v>22.537782469417529</v>
      </c>
      <c r="AB55" s="204">
        <f>INDEX('Final allowances'!$G$6:$G$22,MATCH('Financial model inputs'!$B55,'Final allowances'!$B$6:$B$22,0))/5</f>
        <v>20.588104822041185</v>
      </c>
      <c r="AC55" s="204">
        <v>6.1149306095021748E-4</v>
      </c>
      <c r="AD55" s="204">
        <v>0.25010066192863895</v>
      </c>
      <c r="AE55" s="204">
        <f t="shared" si="6"/>
        <v>1.61958044874036</v>
      </c>
      <c r="AF55" s="204">
        <f t="shared" si="7"/>
        <v>1.749578453707717</v>
      </c>
      <c r="AG55" s="204">
        <v>0</v>
      </c>
      <c r="AH55" s="204">
        <v>1.61958044874036</v>
      </c>
      <c r="AI55" s="204">
        <v>0</v>
      </c>
      <c r="AJ55" s="204">
        <v>1.749578453707717</v>
      </c>
    </row>
    <row r="56" spans="1:36" s="205" customFormat="1" x14ac:dyDescent="0.2">
      <c r="A56" s="145" t="s">
        <v>84</v>
      </c>
      <c r="B56" s="182" t="s">
        <v>90</v>
      </c>
      <c r="C56" s="182" t="s">
        <v>25</v>
      </c>
      <c r="D56" s="203">
        <v>2022</v>
      </c>
      <c r="E56" s="204">
        <v>3.2309999999999999</v>
      </c>
      <c r="F56" s="204">
        <v>0</v>
      </c>
      <c r="G56" s="204">
        <v>0.38292052469709498</v>
      </c>
      <c r="H56" s="204">
        <f t="shared" si="0"/>
        <v>0.89404290379927764</v>
      </c>
      <c r="I56" s="204">
        <f t="shared" si="1"/>
        <v>0.10595709620072233</v>
      </c>
      <c r="J56" s="204">
        <f>(INDEX('Final allowances'!$S$29:$S$46, MATCH('Financial model inputs'!$B56, 'Final allowances'!$B$29:$B$46,0))/5) * H56</f>
        <v>2.0519488271929101</v>
      </c>
      <c r="K56" s="204">
        <f>(INDEX('Final allowances'!$S$29:$S$46, MATCH('Financial model inputs'!$B56, 'Final allowances'!$B$29:$B$46,0))/5) * I56</f>
        <v>0.2431858005448152</v>
      </c>
      <c r="L56" s="204">
        <f>(INDEX('Final allowances'!$P$51:$P$67,MATCH('Financial model inputs'!$B56,'Final allowances'!$B$51:$B$67,0))/5)</f>
        <v>1.3827545325045076</v>
      </c>
      <c r="M56" s="204">
        <f>INDEX('Final allowances'!$L$71:$N$89,MATCH('Financial model inputs'!$B56,'Final allowances'!$B$71:$B$89,0),MATCH('Financial model inputs'!$M$3,'Final allowances'!$L$71:$N$71,0))/5</f>
        <v>0</v>
      </c>
      <c r="N56" s="204">
        <f t="shared" si="2"/>
        <v>1.6259403330493227</v>
      </c>
      <c r="O56" s="204">
        <f>INDEX('Final allowances'!$I$6:$I$22,MATCH('Financial model inputs'!$B56,'Final allowances'!$B$6:$B$22,0))/5</f>
        <v>5.1311678582446092</v>
      </c>
      <c r="P56" s="204">
        <f>INDEX('Final allowances'!$F$6:$F$22,MATCH('Financial model inputs'!$B56,'Final allowances'!$B$6:$B$22,0))/5</f>
        <v>3.6778891602422332</v>
      </c>
      <c r="Q56" s="204">
        <v>14.861999999999997</v>
      </c>
      <c r="R56" s="204">
        <v>0</v>
      </c>
      <c r="S56" s="204">
        <v>4.6391421063552531</v>
      </c>
      <c r="T56" s="204">
        <f t="shared" si="3"/>
        <v>0.76210920975528929</v>
      </c>
      <c r="U56" s="204">
        <f t="shared" si="4"/>
        <v>0.23789079024471074</v>
      </c>
      <c r="V56" s="204">
        <f>(INDEX('Final allowances'!$T$29:$T$46, MATCH('Financial model inputs'!$B56, 'Final allowances'!$B$29:$B$46,0))/5) * T56</f>
        <v>14.911917967720479</v>
      </c>
      <c r="W56" s="204">
        <f>(INDEX('Final allowances'!$T$29:$T$46, MATCH('Financial model inputs'!$B56, 'Final allowances'!$B$29:$B$46,0))/5) * U56</f>
        <v>4.6547238952070753</v>
      </c>
      <c r="X56" s="204">
        <f>(INDEX('Final allowances'!$Q$51:$Q$67,MATCH('Financial model inputs'!$B56,'Final allowances'!$B$51:$B$67,0))/5)</f>
        <v>1.0214629591136322</v>
      </c>
      <c r="Y56" s="204">
        <f>INDEX('Final allowances'!$L$71:$N$89,MATCH('Financial model inputs'!$B56,'Final allowances'!$B$71:$B$89,0),MATCH('Financial model inputs'!$Y$3,'Final allowances'!$L$71:$N$71,0))/5</f>
        <v>0</v>
      </c>
      <c r="Z56" s="204">
        <f t="shared" si="5"/>
        <v>5.6761868543207079</v>
      </c>
      <c r="AA56" s="204">
        <f>INDEX('Final allowances'!$J$6:$J$22,MATCH('Financial model inputs'!$B56,'Final allowances'!$B$6:$B$22,0))/5</f>
        <v>22.537782469417529</v>
      </c>
      <c r="AB56" s="204">
        <f>INDEX('Final allowances'!$G$6:$G$22,MATCH('Financial model inputs'!$B56,'Final allowances'!$B$6:$B$22,0))/5</f>
        <v>20.588104822041185</v>
      </c>
      <c r="AC56" s="204">
        <v>6.1149306095021748E-4</v>
      </c>
      <c r="AD56" s="204">
        <v>0.25010066192863895</v>
      </c>
      <c r="AE56" s="204">
        <f t="shared" si="6"/>
        <v>1.36750175340806</v>
      </c>
      <c r="AF56" s="204">
        <f t="shared" si="7"/>
        <v>1.7495881954968695</v>
      </c>
      <c r="AG56" s="204">
        <v>0</v>
      </c>
      <c r="AH56" s="204">
        <v>1.36750175340806</v>
      </c>
      <c r="AI56" s="204">
        <v>0</v>
      </c>
      <c r="AJ56" s="204">
        <v>1.7495881954968695</v>
      </c>
    </row>
    <row r="57" spans="1:36" s="205" customFormat="1" x14ac:dyDescent="0.2">
      <c r="A57" s="145" t="s">
        <v>85</v>
      </c>
      <c r="B57" s="182" t="s">
        <v>90</v>
      </c>
      <c r="C57" s="182" t="s">
        <v>26</v>
      </c>
      <c r="D57" s="203">
        <v>2023</v>
      </c>
      <c r="E57" s="204">
        <v>3.1840000000000002</v>
      </c>
      <c r="F57" s="204">
        <v>0</v>
      </c>
      <c r="G57" s="204">
        <v>0.40899999999999997</v>
      </c>
      <c r="H57" s="204">
        <f t="shared" si="0"/>
        <v>0.88616754801001951</v>
      </c>
      <c r="I57" s="204">
        <f t="shared" si="1"/>
        <v>0.11383245198998052</v>
      </c>
      <c r="J57" s="204">
        <f>(INDEX('Final allowances'!$S$29:$S$46, MATCH('Financial model inputs'!$B57, 'Final allowances'!$B$29:$B$46,0))/5) * H57</f>
        <v>2.0338738254152289</v>
      </c>
      <c r="K57" s="204">
        <f>(INDEX('Final allowances'!$S$29:$S$46, MATCH('Financial model inputs'!$B57, 'Final allowances'!$B$29:$B$46,0))/5) * I57</f>
        <v>0.26126080232249643</v>
      </c>
      <c r="L57" s="204">
        <f>(INDEX('Final allowances'!$P$51:$P$67,MATCH('Financial model inputs'!$B57,'Final allowances'!$B$51:$B$67,0))/5)</f>
        <v>1.3827545325045076</v>
      </c>
      <c r="M57" s="204">
        <f>INDEX('Final allowances'!$L$71:$N$89,MATCH('Financial model inputs'!$B57,'Final allowances'!$B$71:$B$89,0),MATCH('Financial model inputs'!$M$3,'Final allowances'!$L$71:$N$71,0))/5</f>
        <v>0</v>
      </c>
      <c r="N57" s="204">
        <f t="shared" si="2"/>
        <v>1.6440153348270041</v>
      </c>
      <c r="O57" s="204">
        <f>INDEX('Final allowances'!$I$6:$I$22,MATCH('Financial model inputs'!$B57,'Final allowances'!$B$6:$B$22,0))/5</f>
        <v>5.1311678582446092</v>
      </c>
      <c r="P57" s="204">
        <f>INDEX('Final allowances'!$F$6:$F$22,MATCH('Financial model inputs'!$B57,'Final allowances'!$B$6:$B$22,0))/5</f>
        <v>3.6778891602422332</v>
      </c>
      <c r="Q57" s="204">
        <v>14.850999999999999</v>
      </c>
      <c r="R57" s="204">
        <v>0</v>
      </c>
      <c r="S57" s="204">
        <v>4.6278501802081946</v>
      </c>
      <c r="T57" s="204">
        <f t="shared" si="3"/>
        <v>0.76241666538867892</v>
      </c>
      <c r="U57" s="204">
        <f t="shared" si="4"/>
        <v>0.23758333461132103</v>
      </c>
      <c r="V57" s="204">
        <f>(INDEX('Final allowances'!$T$29:$T$46, MATCH('Financial model inputs'!$B57, 'Final allowances'!$B$29:$B$46,0))/5) * T57</f>
        <v>14.917933841987754</v>
      </c>
      <c r="W57" s="204">
        <f>(INDEX('Final allowances'!$T$29:$T$46, MATCH('Financial model inputs'!$B57, 'Final allowances'!$B$29:$B$46,0))/5) * U57</f>
        <v>4.6487080209397993</v>
      </c>
      <c r="X57" s="204">
        <f>(INDEX('Final allowances'!$Q$51:$Q$67,MATCH('Financial model inputs'!$B57,'Final allowances'!$B$51:$B$67,0))/5)</f>
        <v>1.0214629591136322</v>
      </c>
      <c r="Y57" s="204">
        <f>INDEX('Final allowances'!$L$71:$N$89,MATCH('Financial model inputs'!$B57,'Final allowances'!$B$71:$B$89,0),MATCH('Financial model inputs'!$Y$3,'Final allowances'!$L$71:$N$71,0))/5</f>
        <v>0</v>
      </c>
      <c r="Z57" s="204">
        <f t="shared" si="5"/>
        <v>5.670170980053431</v>
      </c>
      <c r="AA57" s="204">
        <f>INDEX('Final allowances'!$J$6:$J$22,MATCH('Financial model inputs'!$B57,'Final allowances'!$B$6:$B$22,0))/5</f>
        <v>22.537782469417529</v>
      </c>
      <c r="AB57" s="204">
        <f>INDEX('Final allowances'!$G$6:$G$22,MATCH('Financial model inputs'!$B57,'Final allowances'!$B$6:$B$22,0))/5</f>
        <v>20.588104822041185</v>
      </c>
      <c r="AC57" s="204">
        <v>6.1149306095021748E-4</v>
      </c>
      <c r="AD57" s="204">
        <v>0.25010066192863895</v>
      </c>
      <c r="AE57" s="204">
        <f t="shared" si="6"/>
        <v>1.3675242330406701</v>
      </c>
      <c r="AF57" s="204">
        <f t="shared" si="7"/>
        <v>1.7495975391135585</v>
      </c>
      <c r="AG57" s="204">
        <v>0</v>
      </c>
      <c r="AH57" s="204">
        <v>1.3675242330406701</v>
      </c>
      <c r="AI57" s="204">
        <v>0</v>
      </c>
      <c r="AJ57" s="204">
        <v>1.7495975391135585</v>
      </c>
    </row>
    <row r="58" spans="1:36" s="205" customFormat="1" x14ac:dyDescent="0.2">
      <c r="A58" s="145" t="s">
        <v>86</v>
      </c>
      <c r="B58" s="182" t="s">
        <v>90</v>
      </c>
      <c r="C58" s="182" t="s">
        <v>27</v>
      </c>
      <c r="D58" s="203">
        <v>2024</v>
      </c>
      <c r="E58" s="204">
        <v>3.16</v>
      </c>
      <c r="F58" s="204">
        <v>0</v>
      </c>
      <c r="G58" s="204">
        <v>0.41199999999999998</v>
      </c>
      <c r="H58" s="204">
        <f t="shared" si="0"/>
        <v>0.88465845464725645</v>
      </c>
      <c r="I58" s="204">
        <f t="shared" si="1"/>
        <v>0.11534154535274355</v>
      </c>
      <c r="J58" s="204">
        <f>(INDEX('Final allowances'!$S$29:$S$46, MATCH('Financial model inputs'!$B58, 'Final allowances'!$B$29:$B$46,0))/5) * H58</f>
        <v>2.0304102529818624</v>
      </c>
      <c r="K58" s="204">
        <f>(INDEX('Final allowances'!$S$29:$S$46, MATCH('Financial model inputs'!$B58, 'Final allowances'!$B$29:$B$46,0))/5) * I58</f>
        <v>0.26472437475586302</v>
      </c>
      <c r="L58" s="204">
        <f>(INDEX('Final allowances'!$P$51:$P$67,MATCH('Financial model inputs'!$B58,'Final allowances'!$B$51:$B$67,0))/5)</f>
        <v>1.3827545325045076</v>
      </c>
      <c r="M58" s="204">
        <f>INDEX('Final allowances'!$L$71:$N$89,MATCH('Financial model inputs'!$B58,'Final allowances'!$B$71:$B$89,0),MATCH('Financial model inputs'!$M$3,'Final allowances'!$L$71:$N$71,0))/5</f>
        <v>0</v>
      </c>
      <c r="N58" s="204">
        <f t="shared" si="2"/>
        <v>1.6474789072603706</v>
      </c>
      <c r="O58" s="204">
        <f>INDEX('Final allowances'!$I$6:$I$22,MATCH('Financial model inputs'!$B58,'Final allowances'!$B$6:$B$22,0))/5</f>
        <v>5.1311678582446092</v>
      </c>
      <c r="P58" s="204">
        <f>INDEX('Final allowances'!$F$6:$F$22,MATCH('Financial model inputs'!$B58,'Final allowances'!$B$6:$B$22,0))/5</f>
        <v>3.6778891602422332</v>
      </c>
      <c r="Q58" s="204">
        <v>14.723999999999997</v>
      </c>
      <c r="R58" s="204">
        <v>0</v>
      </c>
      <c r="S58" s="204">
        <v>4.6337809710634925</v>
      </c>
      <c r="T58" s="204">
        <f t="shared" si="3"/>
        <v>0.76062437228780566</v>
      </c>
      <c r="U58" s="204">
        <f t="shared" si="4"/>
        <v>0.23937562771219426</v>
      </c>
      <c r="V58" s="204">
        <f>(INDEX('Final allowances'!$T$29:$T$46, MATCH('Financial model inputs'!$B58, 'Final allowances'!$B$29:$B$46,0))/5) * T58</f>
        <v>14.88286468476957</v>
      </c>
      <c r="W58" s="204">
        <f>(INDEX('Final allowances'!$T$29:$T$46, MATCH('Financial model inputs'!$B58, 'Final allowances'!$B$29:$B$46,0))/5) * U58</f>
        <v>4.6837771781579809</v>
      </c>
      <c r="X58" s="204">
        <f>(INDEX('Final allowances'!$Q$51:$Q$67,MATCH('Financial model inputs'!$B58,'Final allowances'!$B$51:$B$67,0))/5)</f>
        <v>1.0214629591136322</v>
      </c>
      <c r="Y58" s="204">
        <f>INDEX('Final allowances'!$L$71:$N$89,MATCH('Financial model inputs'!$B58,'Final allowances'!$B$71:$B$89,0),MATCH('Financial model inputs'!$Y$3,'Final allowances'!$L$71:$N$71,0))/5</f>
        <v>0</v>
      </c>
      <c r="Z58" s="204">
        <f t="shared" si="5"/>
        <v>5.7052401372716126</v>
      </c>
      <c r="AA58" s="204">
        <f>INDEX('Final allowances'!$J$6:$J$22,MATCH('Financial model inputs'!$B58,'Final allowances'!$B$6:$B$22,0))/5</f>
        <v>22.537782469417529</v>
      </c>
      <c r="AB58" s="204">
        <f>INDEX('Final allowances'!$G$6:$G$22,MATCH('Financial model inputs'!$B58,'Final allowances'!$B$6:$B$22,0))/5</f>
        <v>20.588104822041185</v>
      </c>
      <c r="AC58" s="204">
        <v>6.1149306095021748E-4</v>
      </c>
      <c r="AD58" s="204">
        <v>0.25010066192863895</v>
      </c>
      <c r="AE58" s="204">
        <f t="shared" si="6"/>
        <v>1.36736517144911</v>
      </c>
      <c r="AF58" s="204">
        <f t="shared" si="7"/>
        <v>1.7496064002664082</v>
      </c>
      <c r="AG58" s="204">
        <v>0</v>
      </c>
      <c r="AH58" s="204">
        <v>1.36736517144911</v>
      </c>
      <c r="AI58" s="204">
        <v>0</v>
      </c>
      <c r="AJ58" s="204">
        <v>1.7496064002664082</v>
      </c>
    </row>
    <row r="59" spans="1:36" s="205" customFormat="1" x14ac:dyDescent="0.2">
      <c r="A59" s="145" t="s">
        <v>87</v>
      </c>
      <c r="B59" s="182" t="s">
        <v>90</v>
      </c>
      <c r="C59" s="182" t="s">
        <v>28</v>
      </c>
      <c r="D59" s="203">
        <v>2025</v>
      </c>
      <c r="E59" s="204">
        <v>3.3420000000000001</v>
      </c>
      <c r="F59" s="204">
        <v>0</v>
      </c>
      <c r="G59" s="204">
        <v>0.4</v>
      </c>
      <c r="H59" s="204">
        <f t="shared" si="0"/>
        <v>0.89310529128808125</v>
      </c>
      <c r="I59" s="204">
        <f t="shared" si="1"/>
        <v>0.10689470871191876</v>
      </c>
      <c r="J59" s="204">
        <f>(INDEX('Final allowances'!$S$29:$S$46, MATCH('Financial model inputs'!$B59, 'Final allowances'!$B$29:$B$46,0))/5) * H59</f>
        <v>2.0497968802510633</v>
      </c>
      <c r="K59" s="204">
        <f>(INDEX('Final allowances'!$S$29:$S$46, MATCH('Financial model inputs'!$B59, 'Final allowances'!$B$29:$B$46,0))/5) * I59</f>
        <v>0.24533774748666226</v>
      </c>
      <c r="L59" s="204">
        <f>(INDEX('Final allowances'!$P$51:$P$67,MATCH('Financial model inputs'!$B59,'Final allowances'!$B$51:$B$67,0))/5)</f>
        <v>1.3827545325045076</v>
      </c>
      <c r="M59" s="204">
        <f>INDEX('Final allowances'!$L$71:$N$89,MATCH('Financial model inputs'!$B59,'Final allowances'!$B$71:$B$89,0),MATCH('Financial model inputs'!$M$3,'Final allowances'!$L$71:$N$71,0))/5</f>
        <v>0</v>
      </c>
      <c r="N59" s="204">
        <f t="shared" si="2"/>
        <v>1.6280922799911699</v>
      </c>
      <c r="O59" s="204">
        <f>INDEX('Final allowances'!$I$6:$I$22,MATCH('Financial model inputs'!$B59,'Final allowances'!$B$6:$B$22,0))/5</f>
        <v>5.1311678582446092</v>
      </c>
      <c r="P59" s="204">
        <f>INDEX('Final allowances'!$F$6:$F$22,MATCH('Financial model inputs'!$B59,'Final allowances'!$B$6:$B$22,0))/5</f>
        <v>3.6778891602422332</v>
      </c>
      <c r="Q59" s="204">
        <v>14.932</v>
      </c>
      <c r="R59" s="204">
        <v>0</v>
      </c>
      <c r="S59" s="204">
        <v>4.558412096638226</v>
      </c>
      <c r="T59" s="204">
        <f t="shared" si="3"/>
        <v>0.76612028139597532</v>
      </c>
      <c r="U59" s="204">
        <f t="shared" si="4"/>
        <v>0.23387971860402462</v>
      </c>
      <c r="V59" s="204">
        <f>(INDEX('Final allowances'!$T$29:$T$46, MATCH('Financial model inputs'!$B59, 'Final allowances'!$B$29:$B$46,0))/5) * T59</f>
        <v>14.990401170000329</v>
      </c>
      <c r="W59" s="204">
        <f>(INDEX('Final allowances'!$T$29:$T$46, MATCH('Financial model inputs'!$B59, 'Final allowances'!$B$29:$B$46,0))/5) * U59</f>
        <v>4.5762406929272244</v>
      </c>
      <c r="X59" s="204">
        <f>(INDEX('Final allowances'!$Q$51:$Q$67,MATCH('Financial model inputs'!$B59,'Final allowances'!$B$51:$B$67,0))/5)</f>
        <v>1.0214629591136322</v>
      </c>
      <c r="Y59" s="204">
        <f>INDEX('Final allowances'!$L$71:$N$89,MATCH('Financial model inputs'!$B59,'Final allowances'!$B$71:$B$89,0),MATCH('Financial model inputs'!$Y$3,'Final allowances'!$L$71:$N$71,0))/5</f>
        <v>0</v>
      </c>
      <c r="Z59" s="204">
        <f t="shared" si="5"/>
        <v>5.5977036520408561</v>
      </c>
      <c r="AA59" s="204">
        <f>INDEX('Final allowances'!$J$6:$J$22,MATCH('Financial model inputs'!$B59,'Final allowances'!$B$6:$B$22,0))/5</f>
        <v>22.537782469417529</v>
      </c>
      <c r="AB59" s="204">
        <f>INDEX('Final allowances'!$G$6:$G$22,MATCH('Financial model inputs'!$B59,'Final allowances'!$B$6:$B$22,0))/5</f>
        <v>20.588104822041185</v>
      </c>
      <c r="AC59" s="204">
        <v>0</v>
      </c>
      <c r="AD59" s="204">
        <v>0</v>
      </c>
      <c r="AE59" s="204">
        <f t="shared" si="6"/>
        <v>1.5419759111298801</v>
      </c>
      <c r="AF59" s="204">
        <f t="shared" si="7"/>
        <v>1.7496150005826141</v>
      </c>
      <c r="AG59" s="204">
        <v>0</v>
      </c>
      <c r="AH59" s="204">
        <v>1.5419759111298801</v>
      </c>
      <c r="AI59" s="204">
        <v>0</v>
      </c>
      <c r="AJ59" s="204">
        <v>1.7496150005826141</v>
      </c>
    </row>
    <row r="60" spans="1:36" s="205" customFormat="1" x14ac:dyDescent="0.2">
      <c r="A60" s="145" t="s">
        <v>213</v>
      </c>
      <c r="B60" s="182" t="s">
        <v>12</v>
      </c>
      <c r="C60" s="182" t="s">
        <v>24</v>
      </c>
      <c r="D60" s="203">
        <v>2021</v>
      </c>
      <c r="E60" s="204">
        <v>16.129932715465301</v>
      </c>
      <c r="F60" s="204">
        <v>0</v>
      </c>
      <c r="G60" s="204">
        <v>6.2847689065204904</v>
      </c>
      <c r="H60" s="204">
        <f t="shared" si="0"/>
        <v>0.71961398315666258</v>
      </c>
      <c r="I60" s="204">
        <f t="shared" si="1"/>
        <v>0.28038601684333742</v>
      </c>
      <c r="J60" s="204">
        <f>(INDEX('Final allowances'!$S$29:$S$46, MATCH('Financial model inputs'!$B60, 'Final allowances'!$B$29:$B$46,0))/5) * H60</f>
        <v>14.63467332164546</v>
      </c>
      <c r="K60" s="204">
        <f>(INDEX('Final allowances'!$S$29:$S$46, MATCH('Financial model inputs'!$B60, 'Final allowances'!$B$29:$B$46,0))/5) * I60</f>
        <v>5.7021651281146779</v>
      </c>
      <c r="L60" s="204">
        <f>(INDEX('Final allowances'!$P$51:$P$67,MATCH('Financial model inputs'!$B60,'Final allowances'!$B$51:$B$67,0))/5)</f>
        <v>26.411072834820175</v>
      </c>
      <c r="M60" s="204">
        <f>INDEX('Final allowances'!$L$71:$N$89,MATCH('Financial model inputs'!$B60,'Final allowances'!$B$71:$B$89,0),MATCH('Financial model inputs'!$M$3,'Final allowances'!$L$71:$N$71,0))/5</f>
        <v>13.960800000000001</v>
      </c>
      <c r="N60" s="204">
        <f t="shared" si="2"/>
        <v>46.074037962934852</v>
      </c>
      <c r="O60" s="204">
        <f>INDEX('Final allowances'!$I$6:$I$22,MATCH('Financial model inputs'!$B60,'Final allowances'!$B$6:$B$22,0))/5</f>
        <v>60.754463073368264</v>
      </c>
      <c r="P60" s="204">
        <f>INDEX('Final allowances'!$F$6:$F$22,MATCH('Financial model inputs'!$B60,'Final allowances'!$B$6:$B$22,0))/5</f>
        <v>46.747911284580312</v>
      </c>
      <c r="Q60" s="204">
        <v>136.56213001660984</v>
      </c>
      <c r="R60" s="204">
        <v>7.8252644</v>
      </c>
      <c r="S60" s="204">
        <v>64.67141363237603</v>
      </c>
      <c r="T60" s="204">
        <f t="shared" si="3"/>
        <v>0.6532235177797967</v>
      </c>
      <c r="U60" s="204">
        <f t="shared" si="4"/>
        <v>0.34677648222020319</v>
      </c>
      <c r="V60" s="204">
        <f>(INDEX('Final allowances'!$T$29:$T$46, MATCH('Financial model inputs'!$B60, 'Final allowances'!$B$29:$B$46,0))/5) * T60</f>
        <v>124.76514735887861</v>
      </c>
      <c r="W60" s="204">
        <f>(INDEX('Final allowances'!$T$29:$T$46, MATCH('Financial model inputs'!$B60, 'Final allowances'!$B$29:$B$46,0))/5) * U60</f>
        <v>66.234019025907372</v>
      </c>
      <c r="X60" s="204">
        <f>(INDEX('Final allowances'!$Q$51:$Q$67,MATCH('Financial model inputs'!$B60,'Final allowances'!$B$51:$B$67,0))/5)</f>
        <v>24.361276394297601</v>
      </c>
      <c r="Y60" s="204">
        <f>INDEX('Final allowances'!$L$71:$N$89,MATCH('Financial model inputs'!$B60,'Final allowances'!$B$71:$B$89,0),MATCH('Financial model inputs'!$Y$3,'Final allowances'!$L$71:$N$71,0))/5</f>
        <v>2.6995999999999976</v>
      </c>
      <c r="Z60" s="204">
        <f t="shared" si="5"/>
        <v>93.29489542020498</v>
      </c>
      <c r="AA60" s="204">
        <f>INDEX('Final allowances'!$J$6:$J$22,MATCH('Financial model inputs'!$B60,'Final allowances'!$B$6:$B$22,0))/5</f>
        <v>220.57234059298338</v>
      </c>
      <c r="AB60" s="204">
        <f>INDEX('Final allowances'!$G$6:$G$22,MATCH('Financial model inputs'!$B60,'Final allowances'!$B$6:$B$22,0))/5</f>
        <v>215.3604427790836</v>
      </c>
      <c r="AC60" s="204">
        <v>0</v>
      </c>
      <c r="AD60" s="204">
        <v>0</v>
      </c>
      <c r="AE60" s="204">
        <f t="shared" si="6"/>
        <v>2.22470355285346E-2</v>
      </c>
      <c r="AF60" s="204">
        <f t="shared" si="7"/>
        <v>2.3119091504345213</v>
      </c>
      <c r="AG60" s="204">
        <v>2.22470355285346E-2</v>
      </c>
      <c r="AH60" s="204">
        <v>0</v>
      </c>
      <c r="AI60" s="204">
        <v>0.18966605036967124</v>
      </c>
      <c r="AJ60" s="204">
        <v>2.1222431000648498</v>
      </c>
    </row>
    <row r="61" spans="1:36" s="205" customFormat="1" x14ac:dyDescent="0.2">
      <c r="A61" s="145" t="s">
        <v>214</v>
      </c>
      <c r="B61" s="182" t="s">
        <v>12</v>
      </c>
      <c r="C61" s="182" t="s">
        <v>25</v>
      </c>
      <c r="D61" s="203">
        <v>2022</v>
      </c>
      <c r="E61" s="204">
        <v>15.5621546109798</v>
      </c>
      <c r="F61" s="204">
        <v>0</v>
      </c>
      <c r="G61" s="204">
        <v>5.8535904692730698</v>
      </c>
      <c r="H61" s="204">
        <f t="shared" si="0"/>
        <v>0.72666883886890421</v>
      </c>
      <c r="I61" s="204">
        <f t="shared" si="1"/>
        <v>0.27333116113109585</v>
      </c>
      <c r="J61" s="204">
        <f>(INDEX('Final allowances'!$S$29:$S$46, MATCH('Financial model inputs'!$B61, 'Final allowances'!$B$29:$B$46,0))/5) * H61</f>
        <v>14.778146782551685</v>
      </c>
      <c r="K61" s="204">
        <f>(INDEX('Final allowances'!$S$29:$S$46, MATCH('Financial model inputs'!$B61, 'Final allowances'!$B$29:$B$46,0))/5) * I61</f>
        <v>5.5586916672084534</v>
      </c>
      <c r="L61" s="204">
        <f>(INDEX('Final allowances'!$P$51:$P$67,MATCH('Financial model inputs'!$B61,'Final allowances'!$B$51:$B$67,0))/5)</f>
        <v>26.411072834820175</v>
      </c>
      <c r="M61" s="204">
        <f>INDEX('Final allowances'!$L$71:$N$89,MATCH('Financial model inputs'!$B61,'Final allowances'!$B$71:$B$89,0),MATCH('Financial model inputs'!$M$3,'Final allowances'!$L$71:$N$71,0))/5</f>
        <v>13.960800000000001</v>
      </c>
      <c r="N61" s="204">
        <f t="shared" si="2"/>
        <v>45.930564502028631</v>
      </c>
      <c r="O61" s="204">
        <f>INDEX('Final allowances'!$I$6:$I$22,MATCH('Financial model inputs'!$B61,'Final allowances'!$B$6:$B$22,0))/5</f>
        <v>60.754463073368264</v>
      </c>
      <c r="P61" s="204">
        <f>INDEX('Final allowances'!$F$6:$F$22,MATCH('Financial model inputs'!$B61,'Final allowances'!$B$6:$B$22,0))/5</f>
        <v>46.747911284580312</v>
      </c>
      <c r="Q61" s="204">
        <v>133.97872419077046</v>
      </c>
      <c r="R61" s="204">
        <v>9.7638909999999992</v>
      </c>
      <c r="S61" s="204">
        <v>52.001655772837381</v>
      </c>
      <c r="T61" s="204">
        <f t="shared" si="3"/>
        <v>0.68445795900549944</v>
      </c>
      <c r="U61" s="204">
        <f t="shared" si="4"/>
        <v>0.31554204099450062</v>
      </c>
      <c r="V61" s="204">
        <f>(INDEX('Final allowances'!$T$29:$T$46, MATCH('Financial model inputs'!$B61, 'Final allowances'!$B$29:$B$46,0))/5) * T61</f>
        <v>130.73089959548244</v>
      </c>
      <c r="W61" s="204">
        <f>(INDEX('Final allowances'!$T$29:$T$46, MATCH('Financial model inputs'!$B61, 'Final allowances'!$B$29:$B$46,0))/5) * U61</f>
        <v>60.268266789303588</v>
      </c>
      <c r="X61" s="204">
        <f>(INDEX('Final allowances'!$Q$51:$Q$67,MATCH('Financial model inputs'!$B61,'Final allowances'!$B$51:$B$67,0))/5)</f>
        <v>24.361276394297601</v>
      </c>
      <c r="Y61" s="204">
        <f>INDEX('Final allowances'!$L$71:$N$89,MATCH('Financial model inputs'!$B61,'Final allowances'!$B$71:$B$89,0),MATCH('Financial model inputs'!$Y$3,'Final allowances'!$L$71:$N$71,0))/5</f>
        <v>2.6995999999999976</v>
      </c>
      <c r="Z61" s="204">
        <f t="shared" si="5"/>
        <v>87.32914318360119</v>
      </c>
      <c r="AA61" s="204">
        <f>INDEX('Final allowances'!$J$6:$J$22,MATCH('Financial model inputs'!$B61,'Final allowances'!$B$6:$B$22,0))/5</f>
        <v>220.57234059298338</v>
      </c>
      <c r="AB61" s="204">
        <f>INDEX('Final allowances'!$G$6:$G$22,MATCH('Financial model inputs'!$B61,'Final allowances'!$B$6:$B$22,0))/5</f>
        <v>215.3604427790836</v>
      </c>
      <c r="AC61" s="204">
        <v>0</v>
      </c>
      <c r="AD61" s="204">
        <v>0</v>
      </c>
      <c r="AE61" s="204">
        <f t="shared" si="6"/>
        <v>3.48577365323611E-2</v>
      </c>
      <c r="AF61" s="204">
        <f t="shared" si="7"/>
        <v>2.4194210860683905</v>
      </c>
      <c r="AG61" s="204">
        <v>3.48577365323611E-2</v>
      </c>
      <c r="AH61" s="204">
        <v>0</v>
      </c>
      <c r="AI61" s="204">
        <v>0.29717798600354062</v>
      </c>
      <c r="AJ61" s="204">
        <v>2.1222431000648498</v>
      </c>
    </row>
    <row r="62" spans="1:36" s="205" customFormat="1" x14ac:dyDescent="0.2">
      <c r="A62" s="145" t="s">
        <v>215</v>
      </c>
      <c r="B62" s="182" t="s">
        <v>12</v>
      </c>
      <c r="C62" s="182" t="s">
        <v>26</v>
      </c>
      <c r="D62" s="203">
        <v>2023</v>
      </c>
      <c r="E62" s="204">
        <v>15.306480236787101</v>
      </c>
      <c r="F62" s="204">
        <v>0</v>
      </c>
      <c r="G62" s="204">
        <v>5.3793087857393704</v>
      </c>
      <c r="H62" s="204">
        <f t="shared" si="0"/>
        <v>0.73995148167268865</v>
      </c>
      <c r="I62" s="204">
        <f t="shared" si="1"/>
        <v>0.26004851832731135</v>
      </c>
      <c r="J62" s="204">
        <f>(INDEX('Final allowances'!$S$29:$S$46, MATCH('Financial model inputs'!$B62, 'Final allowances'!$B$29:$B$46,0))/5) * H62</f>
        <v>15.048273743438118</v>
      </c>
      <c r="K62" s="204">
        <f>(INDEX('Final allowances'!$S$29:$S$46, MATCH('Financial model inputs'!$B62, 'Final allowances'!$B$29:$B$46,0))/5) * I62</f>
        <v>5.2885647063220187</v>
      </c>
      <c r="L62" s="204">
        <f>(INDEX('Final allowances'!$P$51:$P$67,MATCH('Financial model inputs'!$B62,'Final allowances'!$B$51:$B$67,0))/5)</f>
        <v>26.411072834820175</v>
      </c>
      <c r="M62" s="204">
        <f>INDEX('Final allowances'!$L$71:$N$89,MATCH('Financial model inputs'!$B62,'Final allowances'!$B$71:$B$89,0),MATCH('Financial model inputs'!$M$3,'Final allowances'!$L$71:$N$71,0))/5</f>
        <v>13.960800000000001</v>
      </c>
      <c r="N62" s="204">
        <f t="shared" si="2"/>
        <v>45.660437541142194</v>
      </c>
      <c r="O62" s="204">
        <f>INDEX('Final allowances'!$I$6:$I$22,MATCH('Financial model inputs'!$B62,'Final allowances'!$B$6:$B$22,0))/5</f>
        <v>60.754463073368264</v>
      </c>
      <c r="P62" s="204">
        <f>INDEX('Final allowances'!$F$6:$F$22,MATCH('Financial model inputs'!$B62,'Final allowances'!$B$6:$B$22,0))/5</f>
        <v>46.747911284580312</v>
      </c>
      <c r="Q62" s="204">
        <v>131.31119520837447</v>
      </c>
      <c r="R62" s="204">
        <v>10.283891068000001</v>
      </c>
      <c r="S62" s="204">
        <v>53.117484979518551</v>
      </c>
      <c r="T62" s="204">
        <f t="shared" si="3"/>
        <v>0.67438478348582909</v>
      </c>
      <c r="U62" s="204">
        <f t="shared" si="4"/>
        <v>0.32561521651417102</v>
      </c>
      <c r="V62" s="204">
        <f>(INDEX('Final allowances'!$T$29:$T$46, MATCH('Financial model inputs'!$B62, 'Final allowances'!$B$29:$B$46,0))/5) * T62</f>
        <v>128.80693146837777</v>
      </c>
      <c r="W62" s="204">
        <f>(INDEX('Final allowances'!$T$29:$T$46, MATCH('Financial model inputs'!$B62, 'Final allowances'!$B$29:$B$46,0))/5) * U62</f>
        <v>62.192234916408275</v>
      </c>
      <c r="X62" s="204">
        <f>(INDEX('Final allowances'!$Q$51:$Q$67,MATCH('Financial model inputs'!$B62,'Final allowances'!$B$51:$B$67,0))/5)</f>
        <v>24.361276394297601</v>
      </c>
      <c r="Y62" s="204">
        <f>INDEX('Final allowances'!$L$71:$N$89,MATCH('Financial model inputs'!$B62,'Final allowances'!$B$71:$B$89,0),MATCH('Financial model inputs'!$Y$3,'Final allowances'!$L$71:$N$71,0))/5</f>
        <v>2.6995999999999976</v>
      </c>
      <c r="Z62" s="204">
        <f t="shared" si="5"/>
        <v>89.253111310705876</v>
      </c>
      <c r="AA62" s="204">
        <f>INDEX('Final allowances'!$J$6:$J$22,MATCH('Financial model inputs'!$B62,'Final allowances'!$B$6:$B$22,0))/5</f>
        <v>220.57234059298338</v>
      </c>
      <c r="AB62" s="204">
        <f>INDEX('Final allowances'!$G$6:$G$22,MATCH('Financial model inputs'!$B62,'Final allowances'!$B$6:$B$22,0))/5</f>
        <v>215.3604427790836</v>
      </c>
      <c r="AC62" s="204">
        <v>0</v>
      </c>
      <c r="AD62" s="204">
        <v>0</v>
      </c>
      <c r="AE62" s="204">
        <f t="shared" si="6"/>
        <v>4.6585992122796301E-2</v>
      </c>
      <c r="AF62" s="204">
        <f t="shared" si="7"/>
        <v>2.5194097750202542</v>
      </c>
      <c r="AG62" s="204">
        <v>4.6585992122796301E-2</v>
      </c>
      <c r="AH62" s="204">
        <v>0</v>
      </c>
      <c r="AI62" s="204">
        <v>0.39716667495540431</v>
      </c>
      <c r="AJ62" s="204">
        <v>2.1222431000648498</v>
      </c>
    </row>
    <row r="63" spans="1:36" s="205" customFormat="1" x14ac:dyDescent="0.2">
      <c r="A63" s="145" t="s">
        <v>216</v>
      </c>
      <c r="B63" s="182" t="s">
        <v>12</v>
      </c>
      <c r="C63" s="182" t="s">
        <v>27</v>
      </c>
      <c r="D63" s="203">
        <v>2024</v>
      </c>
      <c r="E63" s="204">
        <v>15.8116672829245</v>
      </c>
      <c r="F63" s="204">
        <v>0</v>
      </c>
      <c r="G63" s="204">
        <v>4.8452177346980001</v>
      </c>
      <c r="H63" s="204">
        <f t="shared" si="0"/>
        <v>0.76544296342045193</v>
      </c>
      <c r="I63" s="204">
        <f t="shared" si="1"/>
        <v>0.23455703657954813</v>
      </c>
      <c r="J63" s="204">
        <f>(INDEX('Final allowances'!$S$29:$S$46, MATCH('Financial model inputs'!$B63, 'Final allowances'!$B$29:$B$46,0))/5) * H63</f>
        <v>15.566689889587389</v>
      </c>
      <c r="K63" s="204">
        <f>(INDEX('Final allowances'!$S$29:$S$46, MATCH('Financial model inputs'!$B63, 'Final allowances'!$B$29:$B$46,0))/5) * I63</f>
        <v>4.7701485601727489</v>
      </c>
      <c r="L63" s="204">
        <f>(INDEX('Final allowances'!$P$51:$P$67,MATCH('Financial model inputs'!$B63,'Final allowances'!$B$51:$B$67,0))/5)</f>
        <v>26.411072834820175</v>
      </c>
      <c r="M63" s="204">
        <f>INDEX('Final allowances'!$L$71:$N$89,MATCH('Financial model inputs'!$B63,'Final allowances'!$B$71:$B$89,0),MATCH('Financial model inputs'!$M$3,'Final allowances'!$L$71:$N$71,0))/5</f>
        <v>13.960800000000001</v>
      </c>
      <c r="N63" s="204">
        <f t="shared" si="2"/>
        <v>45.142021394992923</v>
      </c>
      <c r="O63" s="204">
        <f>INDEX('Final allowances'!$I$6:$I$22,MATCH('Financial model inputs'!$B63,'Final allowances'!$B$6:$B$22,0))/5</f>
        <v>60.754463073368264</v>
      </c>
      <c r="P63" s="204">
        <f>INDEX('Final allowances'!$F$6:$F$22,MATCH('Financial model inputs'!$B63,'Final allowances'!$B$6:$B$22,0))/5</f>
        <v>46.747911284580312</v>
      </c>
      <c r="Q63" s="204">
        <v>134.61383762376016</v>
      </c>
      <c r="R63" s="204">
        <v>12.283891068000001</v>
      </c>
      <c r="S63" s="204">
        <v>35.39949762895241</v>
      </c>
      <c r="T63" s="204">
        <f t="shared" si="3"/>
        <v>0.73843053095572719</v>
      </c>
      <c r="U63" s="204">
        <f t="shared" si="4"/>
        <v>0.26156946904427275</v>
      </c>
      <c r="V63" s="204">
        <f>(INDEX('Final allowances'!$T$29:$T$46, MATCH('Financial model inputs'!$B63, 'Final allowances'!$B$29:$B$46,0))/5) * T63</f>
        <v>141.03961584561881</v>
      </c>
      <c r="W63" s="204">
        <f>(INDEX('Final allowances'!$T$29:$T$46, MATCH('Financial model inputs'!$B63, 'Final allowances'!$B$29:$B$46,0))/5) * U63</f>
        <v>49.959550539167182</v>
      </c>
      <c r="X63" s="204">
        <f>(INDEX('Final allowances'!$Q$51:$Q$67,MATCH('Financial model inputs'!$B63,'Final allowances'!$B$51:$B$67,0))/5)</f>
        <v>24.361276394297601</v>
      </c>
      <c r="Y63" s="204">
        <f>INDEX('Final allowances'!$L$71:$N$89,MATCH('Financial model inputs'!$B63,'Final allowances'!$B$71:$B$89,0),MATCH('Financial model inputs'!$Y$3,'Final allowances'!$L$71:$N$71,0))/5</f>
        <v>2.6995999999999976</v>
      </c>
      <c r="Z63" s="204">
        <f t="shared" si="5"/>
        <v>77.02042693346479</v>
      </c>
      <c r="AA63" s="204">
        <f>INDEX('Final allowances'!$J$6:$J$22,MATCH('Financial model inputs'!$B63,'Final allowances'!$B$6:$B$22,0))/5</f>
        <v>220.57234059298338</v>
      </c>
      <c r="AB63" s="204">
        <f>INDEX('Final allowances'!$G$6:$G$22,MATCH('Financial model inputs'!$B63,'Final allowances'!$B$6:$B$22,0))/5</f>
        <v>215.3604427790836</v>
      </c>
      <c r="AC63" s="204">
        <v>0</v>
      </c>
      <c r="AD63" s="204">
        <v>0</v>
      </c>
      <c r="AE63" s="204">
        <f t="shared" si="6"/>
        <v>5.7480548820822298E-2</v>
      </c>
      <c r="AF63" s="204">
        <f t="shared" si="7"/>
        <v>2.6122908034517818</v>
      </c>
      <c r="AG63" s="204">
        <v>5.7480548820822298E-2</v>
      </c>
      <c r="AH63" s="204">
        <v>0</v>
      </c>
      <c r="AI63" s="204">
        <v>0.4900477033869321</v>
      </c>
      <c r="AJ63" s="204">
        <v>2.1222431000648498</v>
      </c>
    </row>
    <row r="64" spans="1:36" s="205" customFormat="1" x14ac:dyDescent="0.2">
      <c r="A64" s="145" t="s">
        <v>217</v>
      </c>
      <c r="B64" s="182" t="s">
        <v>12</v>
      </c>
      <c r="C64" s="182" t="s">
        <v>28</v>
      </c>
      <c r="D64" s="203">
        <v>2025</v>
      </c>
      <c r="E64" s="204">
        <v>15.6827451523571</v>
      </c>
      <c r="F64" s="204">
        <v>0</v>
      </c>
      <c r="G64" s="204">
        <v>4.7262936706104401</v>
      </c>
      <c r="H64" s="204">
        <f t="shared" si="0"/>
        <v>0.76842154539430585</v>
      </c>
      <c r="I64" s="204">
        <f t="shared" si="1"/>
        <v>0.23157845460569426</v>
      </c>
      <c r="J64" s="204">
        <f>(INDEX('Final allowances'!$S$29:$S$46, MATCH('Financial model inputs'!$B64, 'Final allowances'!$B$29:$B$46,0))/5) * H64</f>
        <v>15.627264829999024</v>
      </c>
      <c r="K64" s="204">
        <f>(INDEX('Final allowances'!$S$29:$S$46, MATCH('Financial model inputs'!$B64, 'Final allowances'!$B$29:$B$46,0))/5) * I64</f>
        <v>4.7095736197611151</v>
      </c>
      <c r="L64" s="204">
        <f>(INDEX('Final allowances'!$P$51:$P$67,MATCH('Financial model inputs'!$B64,'Final allowances'!$B$51:$B$67,0))/5)</f>
        <v>26.411072834820175</v>
      </c>
      <c r="M64" s="204">
        <f>INDEX('Final allowances'!$L$71:$N$89,MATCH('Financial model inputs'!$B64,'Final allowances'!$B$71:$B$89,0),MATCH('Financial model inputs'!$M$3,'Final allowances'!$L$71:$N$71,0))/5</f>
        <v>13.960800000000001</v>
      </c>
      <c r="N64" s="204">
        <f t="shared" si="2"/>
        <v>45.08144645458129</v>
      </c>
      <c r="O64" s="204">
        <f>INDEX('Final allowances'!$I$6:$I$22,MATCH('Financial model inputs'!$B64,'Final allowances'!$B$6:$B$22,0))/5</f>
        <v>60.754463073368264</v>
      </c>
      <c r="P64" s="204">
        <f>INDEX('Final allowances'!$F$6:$F$22,MATCH('Financial model inputs'!$B64,'Final allowances'!$B$6:$B$22,0))/5</f>
        <v>46.747911284580312</v>
      </c>
      <c r="Q64" s="204">
        <v>132.74222769119581</v>
      </c>
      <c r="R64" s="204">
        <v>12.3852244</v>
      </c>
      <c r="S64" s="204">
        <v>33.534220087726609</v>
      </c>
      <c r="T64" s="204">
        <f t="shared" si="3"/>
        <v>0.74298099907102555</v>
      </c>
      <c r="U64" s="204">
        <f t="shared" si="4"/>
        <v>0.25701900092897456</v>
      </c>
      <c r="V64" s="204">
        <f>(INDEX('Final allowances'!$T$29:$T$46, MATCH('Financial model inputs'!$B64, 'Final allowances'!$B$29:$B$46,0))/5) * T64</f>
        <v>141.90875146230135</v>
      </c>
      <c r="W64" s="204">
        <f>(INDEX('Final allowances'!$T$29:$T$46, MATCH('Financial model inputs'!$B64, 'Final allowances'!$B$29:$B$46,0))/5) * U64</f>
        <v>49.090414922484683</v>
      </c>
      <c r="X64" s="204">
        <f>(INDEX('Final allowances'!$Q$51:$Q$67,MATCH('Financial model inputs'!$B64,'Final allowances'!$B$51:$B$67,0))/5)</f>
        <v>24.361276394297601</v>
      </c>
      <c r="Y64" s="204">
        <f>INDEX('Final allowances'!$L$71:$N$89,MATCH('Financial model inputs'!$B64,'Final allowances'!$B$71:$B$89,0),MATCH('Financial model inputs'!$Y$3,'Final allowances'!$L$71:$N$71,0))/5</f>
        <v>2.6995999999999976</v>
      </c>
      <c r="Z64" s="204">
        <f t="shared" si="5"/>
        <v>76.151291316782292</v>
      </c>
      <c r="AA64" s="204">
        <f>INDEX('Final allowances'!$J$6:$J$22,MATCH('Financial model inputs'!$B64,'Final allowances'!$B$6:$B$22,0))/5</f>
        <v>220.57234059298338</v>
      </c>
      <c r="AB64" s="204">
        <f>INDEX('Final allowances'!$G$6:$G$22,MATCH('Financial model inputs'!$B64,'Final allowances'!$B$6:$B$22,0))/5</f>
        <v>215.3604427790836</v>
      </c>
      <c r="AC64" s="204">
        <v>0</v>
      </c>
      <c r="AD64" s="204">
        <v>0</v>
      </c>
      <c r="AE64" s="204">
        <f t="shared" si="6"/>
        <v>6.7587630935259393E-2</v>
      </c>
      <c r="AF64" s="204">
        <f t="shared" si="7"/>
        <v>2.6984582545240103</v>
      </c>
      <c r="AG64" s="204">
        <v>6.7587630935259393E-2</v>
      </c>
      <c r="AH64" s="204">
        <v>0</v>
      </c>
      <c r="AI64" s="204">
        <v>0.57621515445916061</v>
      </c>
      <c r="AJ64" s="204">
        <v>2.1222431000648498</v>
      </c>
    </row>
    <row r="65" spans="1:36" s="205" customFormat="1" x14ac:dyDescent="0.2">
      <c r="A65" s="145" t="s">
        <v>218</v>
      </c>
      <c r="B65" s="182" t="s">
        <v>13</v>
      </c>
      <c r="C65" s="182" t="s">
        <v>24</v>
      </c>
      <c r="D65" s="203">
        <v>2021</v>
      </c>
      <c r="E65" s="204">
        <v>11.695</v>
      </c>
      <c r="F65" s="204">
        <v>0.65900000000000003</v>
      </c>
      <c r="G65" s="204">
        <v>1.66</v>
      </c>
      <c r="H65" s="204">
        <f t="shared" si="0"/>
        <v>0.83452262023690593</v>
      </c>
      <c r="I65" s="204">
        <f t="shared" si="1"/>
        <v>0.16547737976309404</v>
      </c>
      <c r="J65" s="204">
        <f>(INDEX('Final allowances'!$S$29:$S$46, MATCH('Financial model inputs'!$B65, 'Final allowances'!$B$29:$B$46,0))/5) * H65</f>
        <v>10.644958911778939</v>
      </c>
      <c r="K65" s="204">
        <f>(INDEX('Final allowances'!$S$29:$S$46, MATCH('Financial model inputs'!$B65, 'Final allowances'!$B$29:$B$46,0))/5) * I65</f>
        <v>2.1107874917841265</v>
      </c>
      <c r="L65" s="204">
        <f>(INDEX('Final allowances'!$P$51:$P$67,MATCH('Financial model inputs'!$B65,'Final allowances'!$B$51:$B$67,0))/5)</f>
        <v>1.0543294970769539</v>
      </c>
      <c r="M65" s="204">
        <f>INDEX('Final allowances'!$L$71:$N$89,MATCH('Financial model inputs'!$B65,'Final allowances'!$B$71:$B$89,0),MATCH('Financial model inputs'!$M$3,'Final allowances'!$L$71:$N$71,0))/5</f>
        <v>0</v>
      </c>
      <c r="N65" s="204">
        <f t="shared" si="2"/>
        <v>3.1651169888610804</v>
      </c>
      <c r="O65" s="204">
        <f>INDEX('Final allowances'!$I$6:$I$22,MATCH('Financial model inputs'!$B65,'Final allowances'!$B$6:$B$22,0))/5</f>
        <v>14.071275900640021</v>
      </c>
      <c r="P65" s="204">
        <f>INDEX('Final allowances'!$F$6:$F$22,MATCH('Financial model inputs'!$B65,'Final allowances'!$B$6:$B$22,0))/5</f>
        <v>13.810075900640021</v>
      </c>
      <c r="Q65" s="204">
        <v>42.361000000000004</v>
      </c>
      <c r="R65" s="204">
        <v>11.935</v>
      </c>
      <c r="S65" s="204">
        <v>12.302</v>
      </c>
      <c r="T65" s="204">
        <f t="shared" si="3"/>
        <v>0.63607015225682451</v>
      </c>
      <c r="U65" s="204">
        <f t="shared" si="4"/>
        <v>0.36392984774317544</v>
      </c>
      <c r="V65" s="204">
        <f>(INDEX('Final allowances'!$T$29:$T$46, MATCH('Financial model inputs'!$B65, 'Final allowances'!$B$29:$B$46,0))/5) * T65</f>
        <v>38.651010607111239</v>
      </c>
      <c r="W65" s="204">
        <f>(INDEX('Final allowances'!$T$29:$T$46, MATCH('Financial model inputs'!$B65, 'Final allowances'!$B$29:$B$46,0))/5) * U65</f>
        <v>22.114316094628432</v>
      </c>
      <c r="X65" s="204">
        <f>(INDEX('Final allowances'!$Q$51:$Q$67,MATCH('Financial model inputs'!$B65,'Final allowances'!$B$51:$B$67,0))/5)</f>
        <v>3.2608476441355032</v>
      </c>
      <c r="Y65" s="204">
        <f>INDEX('Final allowances'!$L$71:$N$89,MATCH('Financial model inputs'!$B65,'Final allowances'!$B$71:$B$89,0),MATCH('Financial model inputs'!$Y$3,'Final allowances'!$L$71:$N$71,0))/5</f>
        <v>0</v>
      </c>
      <c r="Z65" s="204">
        <f t="shared" si="5"/>
        <v>25.375163738763934</v>
      </c>
      <c r="AA65" s="204">
        <f>INDEX('Final allowances'!$J$6:$J$22,MATCH('Financial model inputs'!$B65,'Final allowances'!$B$6:$B$22,0))/5</f>
        <v>65.164574345875181</v>
      </c>
      <c r="AB65" s="204">
        <f>INDEX('Final allowances'!$G$6:$G$22,MATCH('Financial model inputs'!$B65,'Final allowances'!$B$6:$B$22,0))/5</f>
        <v>64.026174345875177</v>
      </c>
      <c r="AC65" s="204">
        <v>0</v>
      </c>
      <c r="AD65" s="204">
        <v>0</v>
      </c>
      <c r="AE65" s="204">
        <f t="shared" si="6"/>
        <v>0.252</v>
      </c>
      <c r="AF65" s="204">
        <f t="shared" si="7"/>
        <v>1.0980000000000001</v>
      </c>
      <c r="AG65" s="204">
        <v>0</v>
      </c>
      <c r="AH65" s="204">
        <v>0.252</v>
      </c>
      <c r="AI65" s="204">
        <v>0</v>
      </c>
      <c r="AJ65" s="204">
        <v>1.0980000000000001</v>
      </c>
    </row>
    <row r="66" spans="1:36" s="205" customFormat="1" x14ac:dyDescent="0.2">
      <c r="A66" s="145" t="s">
        <v>219</v>
      </c>
      <c r="B66" s="182" t="s">
        <v>13</v>
      </c>
      <c r="C66" s="182" t="s">
        <v>25</v>
      </c>
      <c r="D66" s="203">
        <v>2022</v>
      </c>
      <c r="E66" s="204">
        <v>11.683</v>
      </c>
      <c r="F66" s="204">
        <v>0.65400000000000003</v>
      </c>
      <c r="G66" s="204">
        <v>1.4119999999999999</v>
      </c>
      <c r="H66" s="204">
        <f t="shared" si="0"/>
        <v>0.84973452614735623</v>
      </c>
      <c r="I66" s="204">
        <f t="shared" si="1"/>
        <v>0.15026547385264383</v>
      </c>
      <c r="J66" s="204">
        <f>(INDEX('Final allowances'!$S$29:$S$46, MATCH('Financial model inputs'!$B66, 'Final allowances'!$B$29:$B$46,0))/5) * H66</f>
        <v>10.838998125887505</v>
      </c>
      <c r="K66" s="204">
        <f>(INDEX('Final allowances'!$S$29:$S$46, MATCH('Financial model inputs'!$B66, 'Final allowances'!$B$29:$B$46,0))/5) * I66</f>
        <v>1.9167482776755613</v>
      </c>
      <c r="L66" s="204">
        <f>(INDEX('Final allowances'!$P$51:$P$67,MATCH('Financial model inputs'!$B66,'Final allowances'!$B$51:$B$67,0))/5)</f>
        <v>1.0543294970769539</v>
      </c>
      <c r="M66" s="204">
        <f>INDEX('Final allowances'!$L$71:$N$89,MATCH('Financial model inputs'!$B66,'Final allowances'!$B$71:$B$89,0),MATCH('Financial model inputs'!$M$3,'Final allowances'!$L$71:$N$71,0))/5</f>
        <v>0</v>
      </c>
      <c r="N66" s="204">
        <f t="shared" si="2"/>
        <v>2.9710777747525152</v>
      </c>
      <c r="O66" s="204">
        <f>INDEX('Final allowances'!$I$6:$I$22,MATCH('Financial model inputs'!$B66,'Final allowances'!$B$6:$B$22,0))/5</f>
        <v>14.071275900640021</v>
      </c>
      <c r="P66" s="204">
        <f>INDEX('Final allowances'!$F$6:$F$22,MATCH('Financial model inputs'!$B66,'Final allowances'!$B$6:$B$22,0))/5</f>
        <v>13.810075900640021</v>
      </c>
      <c r="Q66" s="204">
        <v>42.033999999999999</v>
      </c>
      <c r="R66" s="204">
        <v>11.984</v>
      </c>
      <c r="S66" s="204">
        <v>12.545999999999999</v>
      </c>
      <c r="T66" s="204">
        <f t="shared" si="3"/>
        <v>0.63148248302385679</v>
      </c>
      <c r="U66" s="204">
        <f t="shared" si="4"/>
        <v>0.36851751697614332</v>
      </c>
      <c r="V66" s="204">
        <f>(INDEX('Final allowances'!$T$29:$T$46, MATCH('Financial model inputs'!$B66, 'Final allowances'!$B$29:$B$46,0))/5) * T66</f>
        <v>38.372239387370435</v>
      </c>
      <c r="W66" s="204">
        <f>(INDEX('Final allowances'!$T$29:$T$46, MATCH('Financial model inputs'!$B66, 'Final allowances'!$B$29:$B$46,0))/5) * U66</f>
        <v>22.393087314369247</v>
      </c>
      <c r="X66" s="204">
        <f>(INDEX('Final allowances'!$Q$51:$Q$67,MATCH('Financial model inputs'!$B66,'Final allowances'!$B$51:$B$67,0))/5)</f>
        <v>3.2608476441355032</v>
      </c>
      <c r="Y66" s="204">
        <f>INDEX('Final allowances'!$L$71:$N$89,MATCH('Financial model inputs'!$B66,'Final allowances'!$B$71:$B$89,0),MATCH('Financial model inputs'!$Y$3,'Final allowances'!$L$71:$N$71,0))/5</f>
        <v>0</v>
      </c>
      <c r="Z66" s="204">
        <f t="shared" si="5"/>
        <v>25.653934958504749</v>
      </c>
      <c r="AA66" s="204">
        <f>INDEX('Final allowances'!$J$6:$J$22,MATCH('Financial model inputs'!$B66,'Final allowances'!$B$6:$B$22,0))/5</f>
        <v>65.164574345875181</v>
      </c>
      <c r="AB66" s="204">
        <f>INDEX('Final allowances'!$G$6:$G$22,MATCH('Financial model inputs'!$B66,'Final allowances'!$B$6:$B$22,0))/5</f>
        <v>64.026174345875177</v>
      </c>
      <c r="AC66" s="204">
        <v>0</v>
      </c>
      <c r="AD66" s="204">
        <v>0</v>
      </c>
      <c r="AE66" s="204">
        <f t="shared" si="6"/>
        <v>0.25600000000000001</v>
      </c>
      <c r="AF66" s="204">
        <f t="shared" si="7"/>
        <v>1.1180000000000001</v>
      </c>
      <c r="AG66" s="204">
        <v>0</v>
      </c>
      <c r="AH66" s="204">
        <v>0.25600000000000001</v>
      </c>
      <c r="AI66" s="204">
        <v>0</v>
      </c>
      <c r="AJ66" s="204">
        <v>1.1180000000000001</v>
      </c>
    </row>
    <row r="67" spans="1:36" s="205" customFormat="1" x14ac:dyDescent="0.2">
      <c r="A67" s="145" t="s">
        <v>220</v>
      </c>
      <c r="B67" s="182" t="s">
        <v>13</v>
      </c>
      <c r="C67" s="182" t="s">
        <v>26</v>
      </c>
      <c r="D67" s="203">
        <v>2023</v>
      </c>
      <c r="E67" s="204">
        <v>11.7</v>
      </c>
      <c r="F67" s="204">
        <v>0.64900000000000002</v>
      </c>
      <c r="G67" s="204">
        <v>4.665</v>
      </c>
      <c r="H67" s="204">
        <f t="shared" si="0"/>
        <v>0.68766897848830377</v>
      </c>
      <c r="I67" s="204">
        <f t="shared" si="1"/>
        <v>0.31233102151169628</v>
      </c>
      <c r="J67" s="204">
        <f>(INDEX('Final allowances'!$S$29:$S$46, MATCH('Financial model inputs'!$B67, 'Final allowances'!$B$29:$B$46,0))/5) * H67</f>
        <v>8.7717310991940689</v>
      </c>
      <c r="K67" s="204">
        <f>(INDEX('Final allowances'!$S$29:$S$46, MATCH('Financial model inputs'!$B67, 'Final allowances'!$B$29:$B$46,0))/5) * I67</f>
        <v>3.9840153043689983</v>
      </c>
      <c r="L67" s="204">
        <f>(INDEX('Final allowances'!$P$51:$P$67,MATCH('Financial model inputs'!$B67,'Final allowances'!$B$51:$B$67,0))/5)</f>
        <v>1.0543294970769539</v>
      </c>
      <c r="M67" s="204">
        <f>INDEX('Final allowances'!$L$71:$N$89,MATCH('Financial model inputs'!$B67,'Final allowances'!$B$71:$B$89,0),MATCH('Financial model inputs'!$M$3,'Final allowances'!$L$71:$N$71,0))/5</f>
        <v>0</v>
      </c>
      <c r="N67" s="204">
        <f t="shared" si="2"/>
        <v>5.0383448014459518</v>
      </c>
      <c r="O67" s="204">
        <f>INDEX('Final allowances'!$I$6:$I$22,MATCH('Financial model inputs'!$B67,'Final allowances'!$B$6:$B$22,0))/5</f>
        <v>14.071275900640021</v>
      </c>
      <c r="P67" s="204">
        <f>INDEX('Final allowances'!$F$6:$F$22,MATCH('Financial model inputs'!$B67,'Final allowances'!$B$6:$B$22,0))/5</f>
        <v>13.810075900640021</v>
      </c>
      <c r="Q67" s="204">
        <v>42.039000000000001</v>
      </c>
      <c r="R67" s="204">
        <v>11.925999999999998</v>
      </c>
      <c r="S67" s="204">
        <v>9.2050000000000001</v>
      </c>
      <c r="T67" s="204">
        <f t="shared" si="3"/>
        <v>0.66548994776001269</v>
      </c>
      <c r="U67" s="204">
        <f t="shared" si="4"/>
        <v>0.33451005223998731</v>
      </c>
      <c r="V67" s="204">
        <f>(INDEX('Final allowances'!$T$29:$T$46, MATCH('Financial model inputs'!$B67, 'Final allowances'!$B$29:$B$46,0))/5) * T67</f>
        <v>40.43871409236084</v>
      </c>
      <c r="W67" s="204">
        <f>(INDEX('Final allowances'!$T$29:$T$46, MATCH('Financial model inputs'!$B67, 'Final allowances'!$B$29:$B$46,0))/5) * U67</f>
        <v>20.326612609378834</v>
      </c>
      <c r="X67" s="204">
        <f>(INDEX('Final allowances'!$Q$51:$Q$67,MATCH('Financial model inputs'!$B67,'Final allowances'!$B$51:$B$67,0))/5)</f>
        <v>3.2608476441355032</v>
      </c>
      <c r="Y67" s="204">
        <f>INDEX('Final allowances'!$L$71:$N$89,MATCH('Financial model inputs'!$B67,'Final allowances'!$B$71:$B$89,0),MATCH('Financial model inputs'!$Y$3,'Final allowances'!$L$71:$N$71,0))/5</f>
        <v>0</v>
      </c>
      <c r="Z67" s="204">
        <f t="shared" si="5"/>
        <v>23.587460253514337</v>
      </c>
      <c r="AA67" s="204">
        <f>INDEX('Final allowances'!$J$6:$J$22,MATCH('Financial model inputs'!$B67,'Final allowances'!$B$6:$B$22,0))/5</f>
        <v>65.164574345875181</v>
      </c>
      <c r="AB67" s="204">
        <f>INDEX('Final allowances'!$G$6:$G$22,MATCH('Financial model inputs'!$B67,'Final allowances'!$B$6:$B$22,0))/5</f>
        <v>64.026174345875177</v>
      </c>
      <c r="AC67" s="204">
        <v>0</v>
      </c>
      <c r="AD67" s="204">
        <v>0</v>
      </c>
      <c r="AE67" s="204">
        <f t="shared" si="6"/>
        <v>0.26100000000000001</v>
      </c>
      <c r="AF67" s="204">
        <f t="shared" si="7"/>
        <v>1.1380000000000001</v>
      </c>
      <c r="AG67" s="204">
        <v>0</v>
      </c>
      <c r="AH67" s="204">
        <v>0.26100000000000001</v>
      </c>
      <c r="AI67" s="204">
        <v>0</v>
      </c>
      <c r="AJ67" s="204">
        <v>1.1380000000000001</v>
      </c>
    </row>
    <row r="68" spans="1:36" s="205" customFormat="1" x14ac:dyDescent="0.2">
      <c r="A68" s="145" t="s">
        <v>221</v>
      </c>
      <c r="B68" s="182" t="s">
        <v>13</v>
      </c>
      <c r="C68" s="182" t="s">
        <v>27</v>
      </c>
      <c r="D68" s="203">
        <v>2024</v>
      </c>
      <c r="E68" s="204">
        <v>11.722</v>
      </c>
      <c r="F68" s="204">
        <v>0.64400000000000002</v>
      </c>
      <c r="G68" s="204">
        <v>1.3260000000000001</v>
      </c>
      <c r="H68" s="204">
        <f t="shared" si="0"/>
        <v>0.8561203622553315</v>
      </c>
      <c r="I68" s="204">
        <f t="shared" si="1"/>
        <v>0.14387963774466844</v>
      </c>
      <c r="J68" s="204">
        <f>(INDEX('Final allowances'!$S$29:$S$46, MATCH('Financial model inputs'!$B68, 'Final allowances'!$B$29:$B$46,0))/5) * H68</f>
        <v>10.920454231855555</v>
      </c>
      <c r="K68" s="204">
        <f>(INDEX('Final allowances'!$S$29:$S$46, MATCH('Financial model inputs'!$B68, 'Final allowances'!$B$29:$B$46,0))/5) * I68</f>
        <v>1.8352921717075112</v>
      </c>
      <c r="L68" s="204">
        <f>(INDEX('Final allowances'!$P$51:$P$67,MATCH('Financial model inputs'!$B68,'Final allowances'!$B$51:$B$67,0))/5)</f>
        <v>1.0543294970769539</v>
      </c>
      <c r="M68" s="204">
        <f>INDEX('Final allowances'!$L$71:$N$89,MATCH('Financial model inputs'!$B68,'Final allowances'!$B$71:$B$89,0),MATCH('Financial model inputs'!$M$3,'Final allowances'!$L$71:$N$71,0))/5</f>
        <v>0</v>
      </c>
      <c r="N68" s="204">
        <f t="shared" si="2"/>
        <v>2.8896216687844651</v>
      </c>
      <c r="O68" s="204">
        <f>INDEX('Final allowances'!$I$6:$I$22,MATCH('Financial model inputs'!$B68,'Final allowances'!$B$6:$B$22,0))/5</f>
        <v>14.071275900640021</v>
      </c>
      <c r="P68" s="204">
        <f>INDEX('Final allowances'!$F$6:$F$22,MATCH('Financial model inputs'!$B68,'Final allowances'!$B$6:$B$22,0))/5</f>
        <v>13.810075900640021</v>
      </c>
      <c r="Q68" s="204">
        <v>42.06</v>
      </c>
      <c r="R68" s="204">
        <v>11.731999999999999</v>
      </c>
      <c r="S68" s="204">
        <v>12.956</v>
      </c>
      <c r="T68" s="204">
        <f t="shared" si="3"/>
        <v>0.63013123988733744</v>
      </c>
      <c r="U68" s="204">
        <f t="shared" si="4"/>
        <v>0.36986876011266251</v>
      </c>
      <c r="V68" s="204">
        <f>(INDEX('Final allowances'!$T$29:$T$46, MATCH('Financial model inputs'!$B68, 'Final allowances'!$B$29:$B$46,0))/5) * T68</f>
        <v>38.290130656726355</v>
      </c>
      <c r="W68" s="204">
        <f>(INDEX('Final allowances'!$T$29:$T$46, MATCH('Financial model inputs'!$B68, 'Final allowances'!$B$29:$B$46,0))/5) * U68</f>
        <v>22.475196045013316</v>
      </c>
      <c r="X68" s="204">
        <f>(INDEX('Final allowances'!$Q$51:$Q$67,MATCH('Financial model inputs'!$B68,'Final allowances'!$B$51:$B$67,0))/5)</f>
        <v>3.2608476441355032</v>
      </c>
      <c r="Y68" s="204">
        <f>INDEX('Final allowances'!$L$71:$N$89,MATCH('Financial model inputs'!$B68,'Final allowances'!$B$71:$B$89,0),MATCH('Financial model inputs'!$Y$3,'Final allowances'!$L$71:$N$71,0))/5</f>
        <v>0</v>
      </c>
      <c r="Z68" s="204">
        <f t="shared" si="5"/>
        <v>25.736043689148818</v>
      </c>
      <c r="AA68" s="204">
        <f>INDEX('Final allowances'!$J$6:$J$22,MATCH('Financial model inputs'!$B68,'Final allowances'!$B$6:$B$22,0))/5</f>
        <v>65.164574345875181</v>
      </c>
      <c r="AB68" s="204">
        <f>INDEX('Final allowances'!$G$6:$G$22,MATCH('Financial model inputs'!$B68,'Final allowances'!$B$6:$B$22,0))/5</f>
        <v>64.026174345875177</v>
      </c>
      <c r="AC68" s="204">
        <v>0</v>
      </c>
      <c r="AD68" s="204">
        <v>0</v>
      </c>
      <c r="AE68" s="204">
        <f t="shared" si="6"/>
        <v>0.26600000000000001</v>
      </c>
      <c r="AF68" s="204">
        <f t="shared" si="7"/>
        <v>1.1579999999999999</v>
      </c>
      <c r="AG68" s="204">
        <v>0</v>
      </c>
      <c r="AH68" s="204">
        <v>0.26600000000000001</v>
      </c>
      <c r="AI68" s="204">
        <v>0</v>
      </c>
      <c r="AJ68" s="204">
        <v>1.1579999999999999</v>
      </c>
    </row>
    <row r="69" spans="1:36" s="205" customFormat="1" x14ac:dyDescent="0.2">
      <c r="A69" s="145" t="s">
        <v>222</v>
      </c>
      <c r="B69" s="182" t="s">
        <v>13</v>
      </c>
      <c r="C69" s="182" t="s">
        <v>28</v>
      </c>
      <c r="D69" s="203">
        <v>2025</v>
      </c>
      <c r="E69" s="204">
        <v>11.772</v>
      </c>
      <c r="F69" s="204">
        <v>0.63800000000000001</v>
      </c>
      <c r="G69" s="204">
        <v>1.2929999999999999</v>
      </c>
      <c r="H69" s="204">
        <f t="shared" si="0"/>
        <v>0.8590819528570387</v>
      </c>
      <c r="I69" s="204">
        <f t="shared" si="1"/>
        <v>0.14091804714296141</v>
      </c>
      <c r="J69" s="204">
        <f>(INDEX('Final allowances'!$S$29:$S$46, MATCH('Financial model inputs'!$B69, 'Final allowances'!$B$29:$B$46,0))/5) * H69</f>
        <v>10.958231530522106</v>
      </c>
      <c r="K69" s="204">
        <f>(INDEX('Final allowances'!$S$29:$S$46, MATCH('Financial model inputs'!$B69, 'Final allowances'!$B$29:$B$46,0))/5) * I69</f>
        <v>1.7975148730409607</v>
      </c>
      <c r="L69" s="204">
        <f>(INDEX('Final allowances'!$P$51:$P$67,MATCH('Financial model inputs'!$B69,'Final allowances'!$B$51:$B$67,0))/5)</f>
        <v>1.0543294970769539</v>
      </c>
      <c r="M69" s="204">
        <f>INDEX('Final allowances'!$L$71:$N$89,MATCH('Financial model inputs'!$B69,'Final allowances'!$B$71:$B$89,0),MATCH('Financial model inputs'!$M$3,'Final allowances'!$L$71:$N$71,0))/5</f>
        <v>0</v>
      </c>
      <c r="N69" s="204">
        <f t="shared" si="2"/>
        <v>2.8518443701179148</v>
      </c>
      <c r="O69" s="204">
        <f>INDEX('Final allowances'!$I$6:$I$22,MATCH('Financial model inputs'!$B69,'Final allowances'!$B$6:$B$22,0))/5</f>
        <v>14.071275900640021</v>
      </c>
      <c r="P69" s="204">
        <f>INDEX('Final allowances'!$F$6:$F$22,MATCH('Financial model inputs'!$B69,'Final allowances'!$B$6:$B$22,0))/5</f>
        <v>13.810075900640021</v>
      </c>
      <c r="Q69" s="204">
        <v>42.271999999999998</v>
      </c>
      <c r="R69" s="204">
        <v>11.193</v>
      </c>
      <c r="S69" s="204">
        <v>13.881</v>
      </c>
      <c r="T69" s="204">
        <f t="shared" si="3"/>
        <v>0.62768390104831762</v>
      </c>
      <c r="U69" s="204">
        <f t="shared" si="4"/>
        <v>0.37231609895168233</v>
      </c>
      <c r="V69" s="204">
        <f>(INDEX('Final allowances'!$T$29:$T$46, MATCH('Financial model inputs'!$B69, 'Final allowances'!$B$29:$B$46,0))/5) * T69</f>
        <v>38.14141731262346</v>
      </c>
      <c r="W69" s="204">
        <f>(INDEX('Final allowances'!$T$29:$T$46, MATCH('Financial model inputs'!$B69, 'Final allowances'!$B$29:$B$46,0))/5) * U69</f>
        <v>22.623909389116214</v>
      </c>
      <c r="X69" s="204">
        <f>(INDEX('Final allowances'!$Q$51:$Q$67,MATCH('Financial model inputs'!$B69,'Final allowances'!$B$51:$B$67,0))/5)</f>
        <v>3.2608476441355032</v>
      </c>
      <c r="Y69" s="204">
        <f>INDEX('Final allowances'!$L$71:$N$89,MATCH('Financial model inputs'!$B69,'Final allowances'!$B$71:$B$89,0),MATCH('Financial model inputs'!$Y$3,'Final allowances'!$L$71:$N$71,0))/5</f>
        <v>0</v>
      </c>
      <c r="Z69" s="204">
        <f t="shared" si="5"/>
        <v>25.884757033251717</v>
      </c>
      <c r="AA69" s="204">
        <f>INDEX('Final allowances'!$J$6:$J$22,MATCH('Financial model inputs'!$B69,'Final allowances'!$B$6:$B$22,0))/5</f>
        <v>65.164574345875181</v>
      </c>
      <c r="AB69" s="204">
        <f>INDEX('Final allowances'!$G$6:$G$22,MATCH('Financial model inputs'!$B69,'Final allowances'!$B$6:$B$22,0))/5</f>
        <v>64.026174345875177</v>
      </c>
      <c r="AC69" s="204">
        <v>0</v>
      </c>
      <c r="AD69" s="204">
        <v>0</v>
      </c>
      <c r="AE69" s="204">
        <f t="shared" si="6"/>
        <v>0.27100000000000002</v>
      </c>
      <c r="AF69" s="204">
        <f t="shared" si="7"/>
        <v>1.18</v>
      </c>
      <c r="AG69" s="204">
        <v>0</v>
      </c>
      <c r="AH69" s="204">
        <v>0.27100000000000002</v>
      </c>
      <c r="AI69" s="204">
        <v>0</v>
      </c>
      <c r="AJ69" s="204">
        <v>1.18</v>
      </c>
    </row>
    <row r="70" spans="1:36" s="205" customFormat="1" x14ac:dyDescent="0.2">
      <c r="A70" s="145" t="s">
        <v>223</v>
      </c>
      <c r="B70" s="182" t="s">
        <v>15</v>
      </c>
      <c r="C70" s="182" t="s">
        <v>24</v>
      </c>
      <c r="D70" s="203">
        <v>2021</v>
      </c>
      <c r="E70" s="204">
        <v>4.4279999999999999</v>
      </c>
      <c r="F70" s="204">
        <v>0</v>
      </c>
      <c r="G70" s="204">
        <v>0.184</v>
      </c>
      <c r="H70" s="204">
        <f t="shared" ref="H70:H89" si="8">E70/(SUM($E70:$G70))</f>
        <v>0.96010407632263661</v>
      </c>
      <c r="I70" s="204">
        <f t="shared" ref="I70:I89" si="9">(F70+G70)/(SUM($E70:$G70))</f>
        <v>3.9895923677363401E-2</v>
      </c>
      <c r="J70" s="204">
        <f>(INDEX('Final allowances'!$S$29:$S$46, MATCH('Financial model inputs'!$B70, 'Final allowances'!$B$29:$B$46,0))/5) * H70</f>
        <v>5.1566826136282016</v>
      </c>
      <c r="K70" s="204">
        <f>(INDEX('Final allowances'!$S$29:$S$46, MATCH('Financial model inputs'!$B70, 'Final allowances'!$B$29:$B$46,0))/5) * I70</f>
        <v>0.21427949433324053</v>
      </c>
      <c r="L70" s="204">
        <f>(INDEX('Final allowances'!$P$51:$P$67,MATCH('Financial model inputs'!$B70,'Final allowances'!$B$51:$B$67,0))/5)</f>
        <v>2.2913711467314504</v>
      </c>
      <c r="M70" s="204">
        <f>INDEX('Final allowances'!$L$71:$N$89,MATCH('Financial model inputs'!$B70,'Final allowances'!$B$71:$B$89,0),MATCH('Financial model inputs'!$M$3,'Final allowances'!$L$71:$N$71,0))/5</f>
        <v>0</v>
      </c>
      <c r="N70" s="204">
        <f t="shared" ref="N70:N89" si="10">SUM(K70:M70)</f>
        <v>2.5056506410646908</v>
      </c>
      <c r="O70" s="204">
        <f>INDEX('Final allowances'!$I$6:$I$22,MATCH('Financial model inputs'!$B70,'Final allowances'!$B$6:$B$22,0))/5</f>
        <v>7.6623332546928919</v>
      </c>
      <c r="P70" s="204">
        <f>INDEX('Final allowances'!$F$6:$F$22,MATCH('Financial model inputs'!$B70,'Final allowances'!$B$6:$B$22,0))/5</f>
        <v>7.6623332546928919</v>
      </c>
      <c r="Q70" s="204">
        <v>17.614999999999998</v>
      </c>
      <c r="R70" s="204">
        <v>1.198</v>
      </c>
      <c r="S70" s="204">
        <v>3.3609999999999998</v>
      </c>
      <c r="T70" s="204">
        <f t="shared" ref="T70:T89" si="11">Q70/(SUM($Q70:$S70))</f>
        <v>0.7943988454947235</v>
      </c>
      <c r="U70" s="204">
        <f t="shared" ref="U70:U89" si="12">(R70+S70)/(SUM($Q70:$S70))</f>
        <v>0.20560115450527641</v>
      </c>
      <c r="V70" s="204">
        <f>(INDEX('Final allowances'!$T$29:$T$46, MATCH('Financial model inputs'!$B70, 'Final allowances'!$B$29:$B$46,0))/5) * T70</f>
        <v>23.014006405992809</v>
      </c>
      <c r="W70" s="204">
        <f>(INDEX('Final allowances'!$T$29:$T$46, MATCH('Financial model inputs'!$B70, 'Final allowances'!$B$29:$B$46,0))/5) * U70</f>
        <v>5.9563358049912685</v>
      </c>
      <c r="X70" s="204">
        <f>(INDEX('Final allowances'!$Q$51:$Q$67,MATCH('Financial model inputs'!$B70,'Final allowances'!$B$51:$B$67,0))/5)</f>
        <v>1.1612511072460499</v>
      </c>
      <c r="Y70" s="204">
        <f>INDEX('Final allowances'!$L$71:$N$89,MATCH('Financial model inputs'!$B70,'Final allowances'!$B$71:$B$89,0),MATCH('Financial model inputs'!$Y$3,'Final allowances'!$L$71:$N$71,0))/5</f>
        <v>0</v>
      </c>
      <c r="Z70" s="204">
        <f t="shared" ref="Z70:Z89" si="13">SUM(W70:Y70)</f>
        <v>7.1175869122373179</v>
      </c>
      <c r="AA70" s="204">
        <f>INDEX('Final allowances'!$J$6:$J$22,MATCH('Financial model inputs'!$B70,'Final allowances'!$B$6:$B$22,0))/5</f>
        <v>30.380593318230133</v>
      </c>
      <c r="AB70" s="204">
        <f>INDEX('Final allowances'!$G$6:$G$22,MATCH('Financial model inputs'!$B70,'Final allowances'!$B$6:$B$22,0))/5</f>
        <v>30.131593318230131</v>
      </c>
      <c r="AC70" s="204">
        <v>0</v>
      </c>
      <c r="AD70" s="204">
        <v>0</v>
      </c>
      <c r="AE70" s="204">
        <f t="shared" ref="AE70:AE89" si="14">AG70+AH70</f>
        <v>0</v>
      </c>
      <c r="AF70" s="204">
        <f t="shared" ref="AF70:AF89" si="15">AI70+AJ70</f>
        <v>0.249</v>
      </c>
      <c r="AG70" s="204">
        <v>0</v>
      </c>
      <c r="AH70" s="204">
        <v>0</v>
      </c>
      <c r="AI70" s="204">
        <v>0</v>
      </c>
      <c r="AJ70" s="204">
        <v>0.249</v>
      </c>
    </row>
    <row r="71" spans="1:36" s="205" customFormat="1" x14ac:dyDescent="0.2">
      <c r="A71" s="145" t="s">
        <v>224</v>
      </c>
      <c r="B71" s="182" t="s">
        <v>15</v>
      </c>
      <c r="C71" s="182" t="s">
        <v>25</v>
      </c>
      <c r="D71" s="203">
        <v>2022</v>
      </c>
      <c r="E71" s="204">
        <v>4.5119999999999996</v>
      </c>
      <c r="F71" s="204">
        <v>0</v>
      </c>
      <c r="G71" s="204">
        <v>0.38700000000000001</v>
      </c>
      <c r="H71" s="204">
        <f t="shared" si="8"/>
        <v>0.92100428658909994</v>
      </c>
      <c r="I71" s="204">
        <f t="shared" si="9"/>
        <v>7.8995713410900198E-2</v>
      </c>
      <c r="J71" s="204">
        <f>(INDEX('Final allowances'!$S$29:$S$46, MATCH('Financial model inputs'!$B71, 'Final allowances'!$B$29:$B$46,0))/5) * H71</f>
        <v>4.9466791245401165</v>
      </c>
      <c r="K71" s="204">
        <f>(INDEX('Final allowances'!$S$29:$S$46, MATCH('Financial model inputs'!$B71, 'Final allowances'!$B$29:$B$46,0))/5) * I71</f>
        <v>0.42428298342132648</v>
      </c>
      <c r="L71" s="204">
        <f>(INDEX('Final allowances'!$P$51:$P$67,MATCH('Financial model inputs'!$B71,'Final allowances'!$B$51:$B$67,0))/5)</f>
        <v>2.2913711467314504</v>
      </c>
      <c r="M71" s="204">
        <f>INDEX('Final allowances'!$L$71:$N$89,MATCH('Financial model inputs'!$B71,'Final allowances'!$B$71:$B$89,0),MATCH('Financial model inputs'!$M$3,'Final allowances'!$L$71:$N$71,0))/5</f>
        <v>0</v>
      </c>
      <c r="N71" s="204">
        <f t="shared" si="10"/>
        <v>2.7156541301527768</v>
      </c>
      <c r="O71" s="204">
        <f>INDEX('Final allowances'!$I$6:$I$22,MATCH('Financial model inputs'!$B71,'Final allowances'!$B$6:$B$22,0))/5</f>
        <v>7.6623332546928919</v>
      </c>
      <c r="P71" s="204">
        <f>INDEX('Final allowances'!$F$6:$F$22,MATCH('Financial model inputs'!$B71,'Final allowances'!$B$6:$B$22,0))/5</f>
        <v>7.6623332546928919</v>
      </c>
      <c r="Q71" s="204">
        <v>17.707000000000001</v>
      </c>
      <c r="R71" s="204">
        <v>1.175</v>
      </c>
      <c r="S71" s="204">
        <v>5.2160000000000002</v>
      </c>
      <c r="T71" s="204">
        <f t="shared" si="11"/>
        <v>0.73479126898497793</v>
      </c>
      <c r="U71" s="204">
        <f t="shared" si="12"/>
        <v>0.26520873101502196</v>
      </c>
      <c r="V71" s="204">
        <f>(INDEX('Final allowances'!$T$29:$T$46, MATCH('Financial model inputs'!$B71, 'Final allowances'!$B$29:$B$46,0))/5) * T71</f>
        <v>21.287154516138063</v>
      </c>
      <c r="W71" s="204">
        <f>(INDEX('Final allowances'!$T$29:$T$46, MATCH('Financial model inputs'!$B71, 'Final allowances'!$B$29:$B$46,0))/5) * U71</f>
        <v>7.6831876948460129</v>
      </c>
      <c r="X71" s="204">
        <f>(INDEX('Final allowances'!$Q$51:$Q$67,MATCH('Financial model inputs'!$B71,'Final allowances'!$B$51:$B$67,0))/5)</f>
        <v>1.1612511072460499</v>
      </c>
      <c r="Y71" s="204">
        <f>INDEX('Final allowances'!$L$71:$N$89,MATCH('Financial model inputs'!$B71,'Final allowances'!$B$71:$B$89,0),MATCH('Financial model inputs'!$Y$3,'Final allowances'!$L$71:$N$71,0))/5</f>
        <v>0</v>
      </c>
      <c r="Z71" s="204">
        <f t="shared" si="13"/>
        <v>8.8444388020920623</v>
      </c>
      <c r="AA71" s="204">
        <f>INDEX('Final allowances'!$J$6:$J$22,MATCH('Financial model inputs'!$B71,'Final allowances'!$B$6:$B$22,0))/5</f>
        <v>30.380593318230133</v>
      </c>
      <c r="AB71" s="204">
        <f>INDEX('Final allowances'!$G$6:$G$22,MATCH('Financial model inputs'!$B71,'Final allowances'!$B$6:$B$22,0))/5</f>
        <v>30.131593318230131</v>
      </c>
      <c r="AC71" s="204">
        <v>0</v>
      </c>
      <c r="AD71" s="204">
        <v>0</v>
      </c>
      <c r="AE71" s="204">
        <f t="shared" si="14"/>
        <v>0</v>
      </c>
      <c r="AF71" s="204">
        <f t="shared" si="15"/>
        <v>0.249</v>
      </c>
      <c r="AG71" s="204">
        <v>0</v>
      </c>
      <c r="AH71" s="204">
        <v>0</v>
      </c>
      <c r="AI71" s="204">
        <v>0</v>
      </c>
      <c r="AJ71" s="204">
        <v>0.249</v>
      </c>
    </row>
    <row r="72" spans="1:36" s="205" customFormat="1" x14ac:dyDescent="0.2">
      <c r="A72" s="145" t="s">
        <v>225</v>
      </c>
      <c r="B72" s="182" t="s">
        <v>15</v>
      </c>
      <c r="C72" s="182" t="s">
        <v>26</v>
      </c>
      <c r="D72" s="203">
        <v>2023</v>
      </c>
      <c r="E72" s="204">
        <v>4.5460000000000003</v>
      </c>
      <c r="F72" s="204">
        <v>0</v>
      </c>
      <c r="G72" s="204">
        <v>8.5000000000000006E-2</v>
      </c>
      <c r="H72" s="204">
        <f t="shared" si="8"/>
        <v>0.98164543295184625</v>
      </c>
      <c r="I72" s="204">
        <f t="shared" si="9"/>
        <v>1.8354567048153747E-2</v>
      </c>
      <c r="J72" s="204">
        <f>(INDEX('Final allowances'!$S$29:$S$46, MATCH('Financial model inputs'!$B72, 'Final allowances'!$B$29:$B$46,0))/5) * H72</f>
        <v>5.2723804238377703</v>
      </c>
      <c r="K72" s="204">
        <f>(INDEX('Final allowances'!$S$29:$S$46, MATCH('Financial model inputs'!$B72, 'Final allowances'!$B$29:$B$46,0))/5) * I72</f>
        <v>9.8581684123671479E-2</v>
      </c>
      <c r="L72" s="204">
        <f>(INDEX('Final allowances'!$P$51:$P$67,MATCH('Financial model inputs'!$B72,'Final allowances'!$B$51:$B$67,0))/5)</f>
        <v>2.2913711467314504</v>
      </c>
      <c r="M72" s="204">
        <f>INDEX('Final allowances'!$L$71:$N$89,MATCH('Financial model inputs'!$B72,'Final allowances'!$B$71:$B$89,0),MATCH('Financial model inputs'!$M$3,'Final allowances'!$L$71:$N$71,0))/5</f>
        <v>0</v>
      </c>
      <c r="N72" s="204">
        <f t="shared" si="10"/>
        <v>2.3899528308551217</v>
      </c>
      <c r="O72" s="204">
        <f>INDEX('Final allowances'!$I$6:$I$22,MATCH('Financial model inputs'!$B72,'Final allowances'!$B$6:$B$22,0))/5</f>
        <v>7.6623332546928919</v>
      </c>
      <c r="P72" s="204">
        <f>INDEX('Final allowances'!$F$6:$F$22,MATCH('Financial model inputs'!$B72,'Final allowances'!$B$6:$B$22,0))/5</f>
        <v>7.6623332546928919</v>
      </c>
      <c r="Q72" s="204">
        <v>17.658000000000001</v>
      </c>
      <c r="R72" s="204">
        <v>1.458</v>
      </c>
      <c r="S72" s="204">
        <v>6.2620000000000005</v>
      </c>
      <c r="T72" s="204">
        <f t="shared" si="11"/>
        <v>0.69579951138781626</v>
      </c>
      <c r="U72" s="204">
        <f t="shared" si="12"/>
        <v>0.30420048861218379</v>
      </c>
      <c r="V72" s="204">
        <f>(INDEX('Final allowances'!$T$29:$T$46, MATCH('Financial model inputs'!$B72, 'Final allowances'!$B$29:$B$46,0))/5) * T72</f>
        <v>20.157549955140549</v>
      </c>
      <c r="W72" s="204">
        <f>(INDEX('Final allowances'!$T$29:$T$46, MATCH('Financial model inputs'!$B72, 'Final allowances'!$B$29:$B$46,0))/5) * U72</f>
        <v>8.8127922558435294</v>
      </c>
      <c r="X72" s="204">
        <f>(INDEX('Final allowances'!$Q$51:$Q$67,MATCH('Financial model inputs'!$B72,'Final allowances'!$B$51:$B$67,0))/5)</f>
        <v>1.1612511072460499</v>
      </c>
      <c r="Y72" s="204">
        <f>INDEX('Final allowances'!$L$71:$N$89,MATCH('Financial model inputs'!$B72,'Final allowances'!$B$71:$B$89,0),MATCH('Financial model inputs'!$Y$3,'Final allowances'!$L$71:$N$71,0))/5</f>
        <v>0</v>
      </c>
      <c r="Z72" s="204">
        <f t="shared" si="13"/>
        <v>9.9740433630895797</v>
      </c>
      <c r="AA72" s="204">
        <f>INDEX('Final allowances'!$J$6:$J$22,MATCH('Financial model inputs'!$B72,'Final allowances'!$B$6:$B$22,0))/5</f>
        <v>30.380593318230133</v>
      </c>
      <c r="AB72" s="204">
        <f>INDEX('Final allowances'!$G$6:$G$22,MATCH('Financial model inputs'!$B72,'Final allowances'!$B$6:$B$22,0))/5</f>
        <v>30.131593318230131</v>
      </c>
      <c r="AC72" s="204">
        <v>0</v>
      </c>
      <c r="AD72" s="204">
        <v>0</v>
      </c>
      <c r="AE72" s="204">
        <f t="shared" si="14"/>
        <v>0</v>
      </c>
      <c r="AF72" s="204">
        <f t="shared" si="15"/>
        <v>0.249</v>
      </c>
      <c r="AG72" s="204">
        <v>0</v>
      </c>
      <c r="AH72" s="204">
        <v>0</v>
      </c>
      <c r="AI72" s="204">
        <v>0</v>
      </c>
      <c r="AJ72" s="204">
        <v>0.249</v>
      </c>
    </row>
    <row r="73" spans="1:36" s="205" customFormat="1" x14ac:dyDescent="0.2">
      <c r="A73" s="145" t="s">
        <v>226</v>
      </c>
      <c r="B73" s="182" t="s">
        <v>15</v>
      </c>
      <c r="C73" s="182" t="s">
        <v>27</v>
      </c>
      <c r="D73" s="203">
        <v>2024</v>
      </c>
      <c r="E73" s="204">
        <v>4.4820000000000002</v>
      </c>
      <c r="F73" s="204">
        <v>0</v>
      </c>
      <c r="G73" s="204">
        <v>0.29599999999999999</v>
      </c>
      <c r="H73" s="204">
        <f t="shared" si="8"/>
        <v>0.93804939305148594</v>
      </c>
      <c r="I73" s="204">
        <f t="shared" si="9"/>
        <v>6.1950606948514016E-2</v>
      </c>
      <c r="J73" s="204">
        <f>(INDEX('Final allowances'!$S$29:$S$46, MATCH('Financial model inputs'!$B73, 'Final allowances'!$B$29:$B$46,0))/5) * H73</f>
        <v>5.0382277454757602</v>
      </c>
      <c r="K73" s="204">
        <f>(INDEX('Final allowances'!$S$29:$S$46, MATCH('Financial model inputs'!$B73, 'Final allowances'!$B$29:$B$46,0))/5) * I73</f>
        <v>0.33273436248568161</v>
      </c>
      <c r="L73" s="204">
        <f>(INDEX('Final allowances'!$P$51:$P$67,MATCH('Financial model inputs'!$B73,'Final allowances'!$B$51:$B$67,0))/5)</f>
        <v>2.2913711467314504</v>
      </c>
      <c r="M73" s="204">
        <f>INDEX('Final allowances'!$L$71:$N$89,MATCH('Financial model inputs'!$B73,'Final allowances'!$B$71:$B$89,0),MATCH('Financial model inputs'!$M$3,'Final allowances'!$L$71:$N$71,0))/5</f>
        <v>0</v>
      </c>
      <c r="N73" s="204">
        <f t="shared" si="10"/>
        <v>2.6241055092171321</v>
      </c>
      <c r="O73" s="204">
        <f>INDEX('Final allowances'!$I$6:$I$22,MATCH('Financial model inputs'!$B73,'Final allowances'!$B$6:$B$22,0))/5</f>
        <v>7.6623332546928919</v>
      </c>
      <c r="P73" s="204">
        <f>INDEX('Final allowances'!$F$6:$F$22,MATCH('Financial model inputs'!$B73,'Final allowances'!$B$6:$B$22,0))/5</f>
        <v>7.6623332546928919</v>
      </c>
      <c r="Q73" s="204">
        <v>17.527999999999999</v>
      </c>
      <c r="R73" s="204">
        <v>1.4359999999999999</v>
      </c>
      <c r="S73" s="204">
        <v>3.6360000000000001</v>
      </c>
      <c r="T73" s="204">
        <f t="shared" si="11"/>
        <v>0.77557522123893807</v>
      </c>
      <c r="U73" s="204">
        <f t="shared" si="12"/>
        <v>0.22442477876106198</v>
      </c>
      <c r="V73" s="204">
        <f>(INDEX('Final allowances'!$T$29:$T$46, MATCH('Financial model inputs'!$B73, 'Final allowances'!$B$29:$B$46,0))/5) * T73</f>
        <v>22.468679569651723</v>
      </c>
      <c r="W73" s="204">
        <f>(INDEX('Final allowances'!$T$29:$T$46, MATCH('Financial model inputs'!$B73, 'Final allowances'!$B$29:$B$46,0))/5) * U73</f>
        <v>6.5016626413323575</v>
      </c>
      <c r="X73" s="204">
        <f>(INDEX('Final allowances'!$Q$51:$Q$67,MATCH('Financial model inputs'!$B73,'Final allowances'!$B$51:$B$67,0))/5)</f>
        <v>1.1612511072460499</v>
      </c>
      <c r="Y73" s="204">
        <f>INDEX('Final allowances'!$L$71:$N$89,MATCH('Financial model inputs'!$B73,'Final allowances'!$B$71:$B$89,0),MATCH('Financial model inputs'!$Y$3,'Final allowances'!$L$71:$N$71,0))/5</f>
        <v>0</v>
      </c>
      <c r="Z73" s="204">
        <f t="shared" si="13"/>
        <v>7.6629137485784078</v>
      </c>
      <c r="AA73" s="204">
        <f>INDEX('Final allowances'!$J$6:$J$22,MATCH('Financial model inputs'!$B73,'Final allowances'!$B$6:$B$22,0))/5</f>
        <v>30.380593318230133</v>
      </c>
      <c r="AB73" s="204">
        <f>INDEX('Final allowances'!$G$6:$G$22,MATCH('Financial model inputs'!$B73,'Final allowances'!$B$6:$B$22,0))/5</f>
        <v>30.131593318230131</v>
      </c>
      <c r="AC73" s="204">
        <v>0</v>
      </c>
      <c r="AD73" s="204">
        <v>0</v>
      </c>
      <c r="AE73" s="204">
        <f t="shared" si="14"/>
        <v>0</v>
      </c>
      <c r="AF73" s="204">
        <f t="shared" si="15"/>
        <v>0.249</v>
      </c>
      <c r="AG73" s="204">
        <v>0</v>
      </c>
      <c r="AH73" s="204">
        <v>0</v>
      </c>
      <c r="AI73" s="204">
        <v>0</v>
      </c>
      <c r="AJ73" s="204">
        <v>0.249</v>
      </c>
    </row>
    <row r="74" spans="1:36" s="205" customFormat="1" x14ac:dyDescent="0.2">
      <c r="A74" s="145" t="s">
        <v>227</v>
      </c>
      <c r="B74" s="182" t="s">
        <v>15</v>
      </c>
      <c r="C74" s="182" t="s">
        <v>28</v>
      </c>
      <c r="D74" s="203">
        <v>2025</v>
      </c>
      <c r="E74" s="204">
        <v>4.3879999999999999</v>
      </c>
      <c r="F74" s="204">
        <v>0</v>
      </c>
      <c r="G74" s="204">
        <v>0.30599999999999999</v>
      </c>
      <c r="H74" s="204">
        <f t="shared" si="8"/>
        <v>0.93481039625053264</v>
      </c>
      <c r="I74" s="204">
        <f t="shared" si="9"/>
        <v>6.5189603749467404E-2</v>
      </c>
      <c r="J74" s="204">
        <f>(INDEX('Final allowances'!$S$29:$S$46, MATCH('Financial model inputs'!$B74, 'Final allowances'!$B$29:$B$46,0))/5) * H74</f>
        <v>5.0208312163900315</v>
      </c>
      <c r="K74" s="204">
        <f>(INDEX('Final allowances'!$S$29:$S$46, MATCH('Financial model inputs'!$B74, 'Final allowances'!$B$29:$B$46,0))/5) * I74</f>
        <v>0.35013089157141059</v>
      </c>
      <c r="L74" s="204">
        <f>(INDEX('Final allowances'!$P$51:$P$67,MATCH('Financial model inputs'!$B74,'Final allowances'!$B$51:$B$67,0))/5)</f>
        <v>2.2913711467314504</v>
      </c>
      <c r="M74" s="204">
        <f>INDEX('Final allowances'!$L$71:$N$89,MATCH('Financial model inputs'!$B74,'Final allowances'!$B$71:$B$89,0),MATCH('Financial model inputs'!$M$3,'Final allowances'!$L$71:$N$71,0))/5</f>
        <v>0</v>
      </c>
      <c r="N74" s="204">
        <f t="shared" si="10"/>
        <v>2.6415020383028609</v>
      </c>
      <c r="O74" s="204">
        <f>INDEX('Final allowances'!$I$6:$I$22,MATCH('Financial model inputs'!$B74,'Final allowances'!$B$6:$B$22,0))/5</f>
        <v>7.6623332546928919</v>
      </c>
      <c r="P74" s="204">
        <f>INDEX('Final allowances'!$F$6:$F$22,MATCH('Financial model inputs'!$B74,'Final allowances'!$B$6:$B$22,0))/5</f>
        <v>7.6623332546928919</v>
      </c>
      <c r="Q74" s="204">
        <v>17.373999999999999</v>
      </c>
      <c r="R74" s="204">
        <v>1.202</v>
      </c>
      <c r="S74" s="204">
        <v>4.75</v>
      </c>
      <c r="T74" s="204">
        <f t="shared" si="11"/>
        <v>0.74483409071422435</v>
      </c>
      <c r="U74" s="204">
        <f t="shared" si="12"/>
        <v>0.25516590928577554</v>
      </c>
      <c r="V74" s="204">
        <f>(INDEX('Final allowances'!$T$29:$T$46, MATCH('Financial model inputs'!$B74, 'Final allowances'!$B$29:$B$46,0))/5) * T74</f>
        <v>21.578098498398237</v>
      </c>
      <c r="W74" s="204">
        <f>(INDEX('Final allowances'!$T$29:$T$46, MATCH('Financial model inputs'!$B74, 'Final allowances'!$B$29:$B$46,0))/5) * U74</f>
        <v>7.3922437125858371</v>
      </c>
      <c r="X74" s="204">
        <f>(INDEX('Final allowances'!$Q$51:$Q$67,MATCH('Financial model inputs'!$B74,'Final allowances'!$B$51:$B$67,0))/5)</f>
        <v>1.1612511072460499</v>
      </c>
      <c r="Y74" s="204">
        <f>INDEX('Final allowances'!$L$71:$N$89,MATCH('Financial model inputs'!$B74,'Final allowances'!$B$71:$B$89,0),MATCH('Financial model inputs'!$Y$3,'Final allowances'!$L$71:$N$71,0))/5</f>
        <v>0</v>
      </c>
      <c r="Z74" s="204">
        <f t="shared" si="13"/>
        <v>8.5534948198318865</v>
      </c>
      <c r="AA74" s="204">
        <f>INDEX('Final allowances'!$J$6:$J$22,MATCH('Financial model inputs'!$B74,'Final allowances'!$B$6:$B$22,0))/5</f>
        <v>30.380593318230133</v>
      </c>
      <c r="AB74" s="204">
        <f>INDEX('Final allowances'!$G$6:$G$22,MATCH('Financial model inputs'!$B74,'Final allowances'!$B$6:$B$22,0))/5</f>
        <v>30.131593318230131</v>
      </c>
      <c r="AC74" s="204">
        <v>0</v>
      </c>
      <c r="AD74" s="204">
        <v>0</v>
      </c>
      <c r="AE74" s="204">
        <f t="shared" si="14"/>
        <v>0</v>
      </c>
      <c r="AF74" s="204">
        <f t="shared" si="15"/>
        <v>0.249</v>
      </c>
      <c r="AG74" s="204">
        <v>0</v>
      </c>
      <c r="AH74" s="204">
        <v>0</v>
      </c>
      <c r="AI74" s="204">
        <v>0</v>
      </c>
      <c r="AJ74" s="204">
        <v>0.249</v>
      </c>
    </row>
    <row r="75" spans="1:36" s="205" customFormat="1" x14ac:dyDescent="0.2">
      <c r="A75" s="145" t="s">
        <v>228</v>
      </c>
      <c r="B75" s="182" t="s">
        <v>16</v>
      </c>
      <c r="C75" s="182" t="s">
        <v>24</v>
      </c>
      <c r="D75" s="203">
        <v>2021</v>
      </c>
      <c r="E75" s="204">
        <v>4.0389999999999997</v>
      </c>
      <c r="F75" s="204">
        <v>7.0000000000000001E-3</v>
      </c>
      <c r="G75" s="204">
        <v>0.91700000000000004</v>
      </c>
      <c r="H75" s="204">
        <f t="shared" si="8"/>
        <v>0.81382228490832165</v>
      </c>
      <c r="I75" s="204">
        <f t="shared" si="9"/>
        <v>0.18617771509167846</v>
      </c>
      <c r="J75" s="204">
        <f>(INDEX('Final allowances'!$S$29:$S$46, MATCH('Financial model inputs'!$B75, 'Final allowances'!$B$29:$B$46,0))/5) * H75</f>
        <v>3.6525065394281042</v>
      </c>
      <c r="K75" s="204">
        <f>(INDEX('Final allowances'!$S$29:$S$46, MATCH('Financial model inputs'!$B75, 'Final allowances'!$B$29:$B$46,0))/5) * I75</f>
        <v>0.83558208527644684</v>
      </c>
      <c r="L75" s="204">
        <f>(INDEX('Final allowances'!$P$51:$P$67,MATCH('Financial model inputs'!$B75,'Final allowances'!$B$51:$B$67,0))/5)</f>
        <v>0.10245636934270645</v>
      </c>
      <c r="M75" s="204">
        <f>INDEX('Final allowances'!$L$71:$N$89,MATCH('Financial model inputs'!$B75,'Final allowances'!$B$71:$B$89,0),MATCH('Financial model inputs'!$M$3,'Final allowances'!$L$71:$N$71,0))/5</f>
        <v>0</v>
      </c>
      <c r="N75" s="204">
        <f t="shared" si="10"/>
        <v>0.93803845461915325</v>
      </c>
      <c r="O75" s="204">
        <f>INDEX('Final allowances'!$I$6:$I$22,MATCH('Financial model inputs'!$B75,'Final allowances'!$B$6:$B$22,0))/5</f>
        <v>4.5905449940472574</v>
      </c>
      <c r="P75" s="204">
        <f>INDEX('Final allowances'!$F$6:$F$22,MATCH('Financial model inputs'!$B75,'Final allowances'!$B$6:$B$22,0))/5</f>
        <v>4.5905449940472574</v>
      </c>
      <c r="Q75" s="204">
        <v>24.076999999999998</v>
      </c>
      <c r="R75" s="204">
        <v>6.7469999999999999</v>
      </c>
      <c r="S75" s="204">
        <v>8.722999999999999</v>
      </c>
      <c r="T75" s="204">
        <f t="shared" si="11"/>
        <v>0.60881988519988872</v>
      </c>
      <c r="U75" s="204">
        <f t="shared" si="12"/>
        <v>0.39118011480011128</v>
      </c>
      <c r="V75" s="204">
        <f>(INDEX('Final allowances'!$T$29:$T$46, MATCH('Financial model inputs'!$B75, 'Final allowances'!$B$29:$B$46,0))/5) * T75</f>
        <v>20.545005858358213</v>
      </c>
      <c r="W75" s="204">
        <f>(INDEX('Final allowances'!$T$29:$T$46, MATCH('Financial model inputs'!$B75, 'Final allowances'!$B$29:$B$46,0))/5) * U75</f>
        <v>13.200616381974564</v>
      </c>
      <c r="X75" s="204">
        <f>(INDEX('Final allowances'!$Q$51:$Q$67,MATCH('Financial model inputs'!$B75,'Final allowances'!$B$51:$B$67,0))/5)</f>
        <v>4.6361311725792973</v>
      </c>
      <c r="Y75" s="204">
        <f>INDEX('Final allowances'!$L$71:$N$89,MATCH('Financial model inputs'!$B75,'Final allowances'!$B$71:$B$89,0),MATCH('Financial model inputs'!$Y$3,'Final allowances'!$L$71:$N$71,0))/5</f>
        <v>0</v>
      </c>
      <c r="Z75" s="204">
        <f t="shared" si="13"/>
        <v>17.83674755455386</v>
      </c>
      <c r="AA75" s="204">
        <f>INDEX('Final allowances'!$J$6:$J$22,MATCH('Financial model inputs'!$B75,'Final allowances'!$B$6:$B$22,0))/5</f>
        <v>40.398953412912078</v>
      </c>
      <c r="AB75" s="204">
        <f>INDEX('Final allowances'!$G$6:$G$22,MATCH('Financial model inputs'!$B75,'Final allowances'!$B$6:$B$22,0))/5</f>
        <v>38.381753412912076</v>
      </c>
      <c r="AC75" s="204">
        <v>0</v>
      </c>
      <c r="AD75" s="204">
        <v>0</v>
      </c>
      <c r="AE75" s="204">
        <f t="shared" si="14"/>
        <v>0</v>
      </c>
      <c r="AF75" s="204">
        <f t="shared" si="15"/>
        <v>1.9379999999999999</v>
      </c>
      <c r="AG75" s="204">
        <v>0</v>
      </c>
      <c r="AH75" s="204">
        <v>0</v>
      </c>
      <c r="AI75" s="204">
        <v>0</v>
      </c>
      <c r="AJ75" s="204">
        <v>1.9379999999999999</v>
      </c>
    </row>
    <row r="76" spans="1:36" s="205" customFormat="1" x14ac:dyDescent="0.2">
      <c r="A76" s="145" t="s">
        <v>229</v>
      </c>
      <c r="B76" s="182" t="s">
        <v>16</v>
      </c>
      <c r="C76" s="182" t="s">
        <v>25</v>
      </c>
      <c r="D76" s="203">
        <v>2022</v>
      </c>
      <c r="E76" s="204">
        <v>3.9609999999999999</v>
      </c>
      <c r="F76" s="204">
        <v>0.14299999999999999</v>
      </c>
      <c r="G76" s="204">
        <v>0.91700000000000004</v>
      </c>
      <c r="H76" s="204">
        <f t="shared" si="8"/>
        <v>0.78888667596096396</v>
      </c>
      <c r="I76" s="204">
        <f t="shared" si="9"/>
        <v>0.21111332403903607</v>
      </c>
      <c r="J76" s="204">
        <f>(INDEX('Final allowances'!$S$29:$S$46, MATCH('Financial model inputs'!$B76, 'Final allowances'!$B$29:$B$46,0))/5) * H76</f>
        <v>3.5405933165613872</v>
      </c>
      <c r="K76" s="204">
        <f>(INDEX('Final allowances'!$S$29:$S$46, MATCH('Financial model inputs'!$B76, 'Final allowances'!$B$29:$B$46,0))/5) * I76</f>
        <v>0.94749530814316352</v>
      </c>
      <c r="L76" s="204">
        <f>(INDEX('Final allowances'!$P$51:$P$67,MATCH('Financial model inputs'!$B76,'Final allowances'!$B$51:$B$67,0))/5)</f>
        <v>0.10245636934270645</v>
      </c>
      <c r="M76" s="204">
        <f>INDEX('Final allowances'!$L$71:$N$89,MATCH('Financial model inputs'!$B76,'Final allowances'!$B$71:$B$89,0),MATCH('Financial model inputs'!$M$3,'Final allowances'!$L$71:$N$71,0))/5</f>
        <v>0</v>
      </c>
      <c r="N76" s="204">
        <f t="shared" si="10"/>
        <v>1.0499516774858699</v>
      </c>
      <c r="O76" s="204">
        <f>INDEX('Final allowances'!$I$6:$I$22,MATCH('Financial model inputs'!$B76,'Final allowances'!$B$6:$B$22,0))/5</f>
        <v>4.5905449940472574</v>
      </c>
      <c r="P76" s="204">
        <f>INDEX('Final allowances'!$F$6:$F$22,MATCH('Financial model inputs'!$B76,'Final allowances'!$B$6:$B$22,0))/5</f>
        <v>4.5905449940472574</v>
      </c>
      <c r="Q76" s="204">
        <v>23.706000000000003</v>
      </c>
      <c r="R76" s="204">
        <v>7.1989999999999998</v>
      </c>
      <c r="S76" s="204">
        <v>10.387</v>
      </c>
      <c r="T76" s="204">
        <f t="shared" si="11"/>
        <v>0.57410636442894514</v>
      </c>
      <c r="U76" s="204">
        <f t="shared" si="12"/>
        <v>0.42589363557105486</v>
      </c>
      <c r="V76" s="204">
        <f>(INDEX('Final allowances'!$T$29:$T$46, MATCH('Financial model inputs'!$B76, 'Final allowances'!$B$29:$B$46,0))/5) * T76</f>
        <v>19.373576499790005</v>
      </c>
      <c r="W76" s="204">
        <f>(INDEX('Final allowances'!$T$29:$T$46, MATCH('Financial model inputs'!$B76, 'Final allowances'!$B$29:$B$46,0))/5) * U76</f>
        <v>14.372045740542772</v>
      </c>
      <c r="X76" s="204">
        <f>(INDEX('Final allowances'!$Q$51:$Q$67,MATCH('Financial model inputs'!$B76,'Final allowances'!$B$51:$B$67,0))/5)</f>
        <v>4.6361311725792973</v>
      </c>
      <c r="Y76" s="204">
        <f>INDEX('Final allowances'!$L$71:$N$89,MATCH('Financial model inputs'!$B76,'Final allowances'!$B$71:$B$89,0),MATCH('Financial model inputs'!$Y$3,'Final allowances'!$L$71:$N$71,0))/5</f>
        <v>0</v>
      </c>
      <c r="Z76" s="204">
        <f t="shared" si="13"/>
        <v>19.008176913122071</v>
      </c>
      <c r="AA76" s="204">
        <f>INDEX('Final allowances'!$J$6:$J$22,MATCH('Financial model inputs'!$B76,'Final allowances'!$B$6:$B$22,0))/5</f>
        <v>40.398953412912078</v>
      </c>
      <c r="AB76" s="204">
        <f>INDEX('Final allowances'!$G$6:$G$22,MATCH('Financial model inputs'!$B76,'Final allowances'!$B$6:$B$22,0))/5</f>
        <v>38.381753412912076</v>
      </c>
      <c r="AC76" s="204">
        <v>0</v>
      </c>
      <c r="AD76" s="204">
        <v>0</v>
      </c>
      <c r="AE76" s="204">
        <f t="shared" si="14"/>
        <v>0</v>
      </c>
      <c r="AF76" s="204">
        <f t="shared" si="15"/>
        <v>1.966</v>
      </c>
      <c r="AG76" s="204">
        <v>0</v>
      </c>
      <c r="AH76" s="204">
        <v>0</v>
      </c>
      <c r="AI76" s="204">
        <v>0</v>
      </c>
      <c r="AJ76" s="204">
        <v>1.966</v>
      </c>
    </row>
    <row r="77" spans="1:36" s="205" customFormat="1" x14ac:dyDescent="0.2">
      <c r="A77" s="145" t="s">
        <v>230</v>
      </c>
      <c r="B77" s="182" t="s">
        <v>16</v>
      </c>
      <c r="C77" s="182" t="s">
        <v>26</v>
      </c>
      <c r="D77" s="203">
        <v>2023</v>
      </c>
      <c r="E77" s="204">
        <v>3.887</v>
      </c>
      <c r="F77" s="204">
        <v>7.0000000000000001E-3</v>
      </c>
      <c r="G77" s="204">
        <v>0.87</v>
      </c>
      <c r="H77" s="204">
        <f t="shared" si="8"/>
        <v>0.81591099916036935</v>
      </c>
      <c r="I77" s="204">
        <f t="shared" si="9"/>
        <v>0.18408900083963056</v>
      </c>
      <c r="J77" s="204">
        <f>(INDEX('Final allowances'!$S$29:$S$46, MATCH('Financial model inputs'!$B77, 'Final allowances'!$B$29:$B$46,0))/5) * H77</f>
        <v>3.661880874102978</v>
      </c>
      <c r="K77" s="204">
        <f>(INDEX('Final allowances'!$S$29:$S$46, MATCH('Financial model inputs'!$B77, 'Final allowances'!$B$29:$B$46,0))/5) * I77</f>
        <v>0.82620775060157237</v>
      </c>
      <c r="L77" s="204">
        <f>(INDEX('Final allowances'!$P$51:$P$67,MATCH('Financial model inputs'!$B77,'Final allowances'!$B$51:$B$67,0))/5)</f>
        <v>0.10245636934270645</v>
      </c>
      <c r="M77" s="204">
        <f>INDEX('Final allowances'!$L$71:$N$89,MATCH('Financial model inputs'!$B77,'Final allowances'!$B$71:$B$89,0),MATCH('Financial model inputs'!$M$3,'Final allowances'!$L$71:$N$71,0))/5</f>
        <v>0</v>
      </c>
      <c r="N77" s="204">
        <f t="shared" si="10"/>
        <v>0.92866411994427878</v>
      </c>
      <c r="O77" s="204">
        <f>INDEX('Final allowances'!$I$6:$I$22,MATCH('Financial model inputs'!$B77,'Final allowances'!$B$6:$B$22,0))/5</f>
        <v>4.5905449940472574</v>
      </c>
      <c r="P77" s="204">
        <f>INDEX('Final allowances'!$F$6:$F$22,MATCH('Financial model inputs'!$B77,'Final allowances'!$B$6:$B$22,0))/5</f>
        <v>4.5905449940472574</v>
      </c>
      <c r="Q77" s="204">
        <v>23.39</v>
      </c>
      <c r="R77" s="204">
        <v>7.024</v>
      </c>
      <c r="S77" s="204">
        <v>8.9660000000000011</v>
      </c>
      <c r="T77" s="204">
        <f t="shared" si="11"/>
        <v>0.59395632300660228</v>
      </c>
      <c r="U77" s="204">
        <f t="shared" si="12"/>
        <v>0.40604367699339766</v>
      </c>
      <c r="V77" s="204">
        <f>(INDEX('Final allowances'!$T$29:$T$46, MATCH('Financial model inputs'!$B77, 'Final allowances'!$B$29:$B$46,0))/5) * T77</f>
        <v>20.043425703437876</v>
      </c>
      <c r="W77" s="204">
        <f>(INDEX('Final allowances'!$T$29:$T$46, MATCH('Financial model inputs'!$B77, 'Final allowances'!$B$29:$B$46,0))/5) * U77</f>
        <v>13.702196536894899</v>
      </c>
      <c r="X77" s="204">
        <f>(INDEX('Final allowances'!$Q$51:$Q$67,MATCH('Financial model inputs'!$B77,'Final allowances'!$B$51:$B$67,0))/5)</f>
        <v>4.6361311725792973</v>
      </c>
      <c r="Y77" s="204">
        <f>INDEX('Final allowances'!$L$71:$N$89,MATCH('Financial model inputs'!$B77,'Final allowances'!$B$71:$B$89,0),MATCH('Financial model inputs'!$Y$3,'Final allowances'!$L$71:$N$71,0))/5</f>
        <v>0</v>
      </c>
      <c r="Z77" s="204">
        <f t="shared" si="13"/>
        <v>18.338327709474196</v>
      </c>
      <c r="AA77" s="204">
        <f>INDEX('Final allowances'!$J$6:$J$22,MATCH('Financial model inputs'!$B77,'Final allowances'!$B$6:$B$22,0))/5</f>
        <v>40.398953412912078</v>
      </c>
      <c r="AB77" s="204">
        <f>INDEX('Final allowances'!$G$6:$G$22,MATCH('Financial model inputs'!$B77,'Final allowances'!$B$6:$B$22,0))/5</f>
        <v>38.381753412912076</v>
      </c>
      <c r="AC77" s="204">
        <v>0</v>
      </c>
      <c r="AD77" s="204">
        <v>0</v>
      </c>
      <c r="AE77" s="204">
        <f t="shared" si="14"/>
        <v>0</v>
      </c>
      <c r="AF77" s="204">
        <f t="shared" si="15"/>
        <v>2.0270000000000001</v>
      </c>
      <c r="AG77" s="204">
        <v>0</v>
      </c>
      <c r="AH77" s="204">
        <v>0</v>
      </c>
      <c r="AI77" s="204">
        <v>0</v>
      </c>
      <c r="AJ77" s="204">
        <v>2.0270000000000001</v>
      </c>
    </row>
    <row r="78" spans="1:36" s="205" customFormat="1" x14ac:dyDescent="0.2">
      <c r="A78" s="145" t="s">
        <v>231</v>
      </c>
      <c r="B78" s="182" t="s">
        <v>16</v>
      </c>
      <c r="C78" s="182" t="s">
        <v>27</v>
      </c>
      <c r="D78" s="203">
        <v>2024</v>
      </c>
      <c r="E78" s="204">
        <v>3.6960000000000002</v>
      </c>
      <c r="F78" s="204">
        <v>7.0000000000000001E-3</v>
      </c>
      <c r="G78" s="204">
        <v>0.83599999999999997</v>
      </c>
      <c r="H78" s="204">
        <f t="shared" si="8"/>
        <v>0.81427627230667543</v>
      </c>
      <c r="I78" s="204">
        <f t="shared" si="9"/>
        <v>0.18572372769332449</v>
      </c>
      <c r="J78" s="204">
        <f>(INDEX('Final allowances'!$S$29:$S$46, MATCH('Financial model inputs'!$B78, 'Final allowances'!$B$29:$B$46,0))/5) * H78</f>
        <v>3.6545440751064149</v>
      </c>
      <c r="K78" s="204">
        <f>(INDEX('Final allowances'!$S$29:$S$46, MATCH('Financial model inputs'!$B78, 'Final allowances'!$B$29:$B$46,0))/5) * I78</f>
        <v>0.83354454959813518</v>
      </c>
      <c r="L78" s="204">
        <f>(INDEX('Final allowances'!$P$51:$P$67,MATCH('Financial model inputs'!$B78,'Final allowances'!$B$51:$B$67,0))/5)</f>
        <v>0.10245636934270645</v>
      </c>
      <c r="M78" s="204">
        <f>INDEX('Final allowances'!$L$71:$N$89,MATCH('Financial model inputs'!$B78,'Final allowances'!$B$71:$B$89,0),MATCH('Financial model inputs'!$M$3,'Final allowances'!$L$71:$N$71,0))/5</f>
        <v>0</v>
      </c>
      <c r="N78" s="204">
        <f t="shared" si="10"/>
        <v>0.93600091894084159</v>
      </c>
      <c r="O78" s="204">
        <f>INDEX('Final allowances'!$I$6:$I$22,MATCH('Financial model inputs'!$B78,'Final allowances'!$B$6:$B$22,0))/5</f>
        <v>4.5905449940472574</v>
      </c>
      <c r="P78" s="204">
        <f>INDEX('Final allowances'!$F$6:$F$22,MATCH('Financial model inputs'!$B78,'Final allowances'!$B$6:$B$22,0))/5</f>
        <v>4.5905449940472574</v>
      </c>
      <c r="Q78" s="204">
        <v>22.707000000000001</v>
      </c>
      <c r="R78" s="204">
        <v>5.9769999999999994</v>
      </c>
      <c r="S78" s="204">
        <v>6.2160000000000002</v>
      </c>
      <c r="T78" s="204">
        <f t="shared" si="11"/>
        <v>0.65063037249283673</v>
      </c>
      <c r="U78" s="204">
        <f t="shared" si="12"/>
        <v>0.34936962750716333</v>
      </c>
      <c r="V78" s="204">
        <f>(INDEX('Final allowances'!$T$29:$T$46, MATCH('Financial model inputs'!$B78, 'Final allowances'!$B$29:$B$46,0))/5) * T78</f>
        <v>21.95592676823027</v>
      </c>
      <c r="W78" s="204">
        <f>(INDEX('Final allowances'!$T$29:$T$46, MATCH('Financial model inputs'!$B78, 'Final allowances'!$B$29:$B$46,0))/5) * U78</f>
        <v>11.78969547210251</v>
      </c>
      <c r="X78" s="204">
        <f>(INDEX('Final allowances'!$Q$51:$Q$67,MATCH('Financial model inputs'!$B78,'Final allowances'!$B$51:$B$67,0))/5)</f>
        <v>4.6361311725792973</v>
      </c>
      <c r="Y78" s="204">
        <f>INDEX('Final allowances'!$L$71:$N$89,MATCH('Financial model inputs'!$B78,'Final allowances'!$B$71:$B$89,0),MATCH('Financial model inputs'!$Y$3,'Final allowances'!$L$71:$N$71,0))/5</f>
        <v>0</v>
      </c>
      <c r="Z78" s="204">
        <f t="shared" si="13"/>
        <v>16.425826644681806</v>
      </c>
      <c r="AA78" s="204">
        <f>INDEX('Final allowances'!$J$6:$J$22,MATCH('Financial model inputs'!$B78,'Final allowances'!$B$6:$B$22,0))/5</f>
        <v>40.398953412912078</v>
      </c>
      <c r="AB78" s="204">
        <f>INDEX('Final allowances'!$G$6:$G$22,MATCH('Financial model inputs'!$B78,'Final allowances'!$B$6:$B$22,0))/5</f>
        <v>38.381753412912076</v>
      </c>
      <c r="AC78" s="204">
        <v>0</v>
      </c>
      <c r="AD78" s="204">
        <v>0</v>
      </c>
      <c r="AE78" s="204">
        <f t="shared" si="14"/>
        <v>0</v>
      </c>
      <c r="AF78" s="204">
        <f t="shared" si="15"/>
        <v>2.08</v>
      </c>
      <c r="AG78" s="204">
        <v>0</v>
      </c>
      <c r="AH78" s="204">
        <v>0</v>
      </c>
      <c r="AI78" s="204">
        <v>0</v>
      </c>
      <c r="AJ78" s="204">
        <v>2.08</v>
      </c>
    </row>
    <row r="79" spans="1:36" s="205" customFormat="1" x14ac:dyDescent="0.2">
      <c r="A79" s="145" t="s">
        <v>232</v>
      </c>
      <c r="B79" s="182" t="s">
        <v>16</v>
      </c>
      <c r="C79" s="182" t="s">
        <v>28</v>
      </c>
      <c r="D79" s="203">
        <v>2025</v>
      </c>
      <c r="E79" s="204">
        <v>3.5920000000000001</v>
      </c>
      <c r="F79" s="204">
        <v>7.0000000000000001E-3</v>
      </c>
      <c r="G79" s="204">
        <v>0.86</v>
      </c>
      <c r="H79" s="204">
        <f t="shared" si="8"/>
        <v>0.80556178515362187</v>
      </c>
      <c r="I79" s="204">
        <f t="shared" si="9"/>
        <v>0.19443821484637808</v>
      </c>
      <c r="J79" s="204">
        <f>(INDEX('Final allowances'!$S$29:$S$46, MATCH('Financial model inputs'!$B79, 'Final allowances'!$B$29:$B$46,0))/5) * H79</f>
        <v>3.6154326844446616</v>
      </c>
      <c r="K79" s="204">
        <f>(INDEX('Final allowances'!$S$29:$S$46, MATCH('Financial model inputs'!$B79, 'Final allowances'!$B$29:$B$46,0))/5) * I79</f>
        <v>0.87265594025988891</v>
      </c>
      <c r="L79" s="204">
        <f>(INDEX('Final allowances'!$P$51:$P$67,MATCH('Financial model inputs'!$B79,'Final allowances'!$B$51:$B$67,0))/5)</f>
        <v>0.10245636934270645</v>
      </c>
      <c r="M79" s="204">
        <f>INDEX('Final allowances'!$L$71:$N$89,MATCH('Financial model inputs'!$B79,'Final allowances'!$B$71:$B$89,0),MATCH('Financial model inputs'!$M$3,'Final allowances'!$L$71:$N$71,0))/5</f>
        <v>0</v>
      </c>
      <c r="N79" s="204">
        <f t="shared" si="10"/>
        <v>0.97511230960259532</v>
      </c>
      <c r="O79" s="204">
        <f>INDEX('Final allowances'!$I$6:$I$22,MATCH('Financial model inputs'!$B79,'Final allowances'!$B$6:$B$22,0))/5</f>
        <v>4.5905449940472574</v>
      </c>
      <c r="P79" s="204">
        <f>INDEX('Final allowances'!$F$6:$F$22,MATCH('Financial model inputs'!$B79,'Final allowances'!$B$6:$B$22,0))/5</f>
        <v>4.5905449940472574</v>
      </c>
      <c r="Q79" s="204">
        <v>22.202999999999999</v>
      </c>
      <c r="R79" s="204">
        <v>6.0629999999999997</v>
      </c>
      <c r="S79" s="204">
        <v>5.7249999999999996</v>
      </c>
      <c r="T79" s="204">
        <f t="shared" si="11"/>
        <v>0.65320231826071606</v>
      </c>
      <c r="U79" s="204">
        <f t="shared" si="12"/>
        <v>0.34679768173928394</v>
      </c>
      <c r="V79" s="204">
        <f>(INDEX('Final allowances'!$T$29:$T$46, MATCH('Financial model inputs'!$B79, 'Final allowances'!$B$29:$B$46,0))/5) * T79</f>
        <v>22.042718678535749</v>
      </c>
      <c r="W79" s="204">
        <f>(INDEX('Final allowances'!$T$29:$T$46, MATCH('Financial model inputs'!$B79, 'Final allowances'!$B$29:$B$46,0))/5) * U79</f>
        <v>11.702903561797029</v>
      </c>
      <c r="X79" s="204">
        <f>(INDEX('Final allowances'!$Q$51:$Q$67,MATCH('Financial model inputs'!$B79,'Final allowances'!$B$51:$B$67,0))/5)</f>
        <v>4.6361311725792973</v>
      </c>
      <c r="Y79" s="204">
        <f>INDEX('Final allowances'!$L$71:$N$89,MATCH('Financial model inputs'!$B79,'Final allowances'!$B$71:$B$89,0),MATCH('Financial model inputs'!$Y$3,'Final allowances'!$L$71:$N$71,0))/5</f>
        <v>0</v>
      </c>
      <c r="Z79" s="204">
        <f t="shared" si="13"/>
        <v>16.339034734376327</v>
      </c>
      <c r="AA79" s="204">
        <f>INDEX('Final allowances'!$J$6:$J$22,MATCH('Financial model inputs'!$B79,'Final allowances'!$B$6:$B$22,0))/5</f>
        <v>40.398953412912078</v>
      </c>
      <c r="AB79" s="204">
        <f>INDEX('Final allowances'!$G$6:$G$22,MATCH('Financial model inputs'!$B79,'Final allowances'!$B$6:$B$22,0))/5</f>
        <v>38.381753412912076</v>
      </c>
      <c r="AC79" s="204">
        <v>0</v>
      </c>
      <c r="AD79" s="204">
        <v>0</v>
      </c>
      <c r="AE79" s="204">
        <f t="shared" si="14"/>
        <v>0</v>
      </c>
      <c r="AF79" s="204">
        <f t="shared" si="15"/>
        <v>2.0750000000000002</v>
      </c>
      <c r="AG79" s="204">
        <v>0</v>
      </c>
      <c r="AH79" s="204">
        <v>0</v>
      </c>
      <c r="AI79" s="204">
        <v>0</v>
      </c>
      <c r="AJ79" s="204">
        <v>2.0750000000000002</v>
      </c>
    </row>
    <row r="80" spans="1:36" s="205" customFormat="1" x14ac:dyDescent="0.2">
      <c r="A80" s="145" t="s">
        <v>233</v>
      </c>
      <c r="B80" s="182" t="s">
        <v>17</v>
      </c>
      <c r="C80" s="182" t="s">
        <v>24</v>
      </c>
      <c r="D80" s="203">
        <v>2021</v>
      </c>
      <c r="E80" s="204">
        <v>13.497</v>
      </c>
      <c r="F80" s="204">
        <v>0.98599999999999999</v>
      </c>
      <c r="G80" s="204">
        <v>2.391</v>
      </c>
      <c r="H80" s="204">
        <f t="shared" si="8"/>
        <v>0.79986962190352007</v>
      </c>
      <c r="I80" s="204">
        <f t="shared" si="9"/>
        <v>0.20013037809647974</v>
      </c>
      <c r="J80" s="204">
        <f>(INDEX('Final allowances'!$S$29:$S$46, MATCH('Financial model inputs'!$B80, 'Final allowances'!$B$29:$B$46,0))/5) * H80</f>
        <v>12.571441525108792</v>
      </c>
      <c r="K80" s="204">
        <f>(INDEX('Final allowances'!$S$29:$S$46, MATCH('Financial model inputs'!$B80, 'Final allowances'!$B$29:$B$46,0))/5) * I80</f>
        <v>3.1454217996808467</v>
      </c>
      <c r="L80" s="204">
        <f>(INDEX('Final allowances'!$P$51:$P$67,MATCH('Financial model inputs'!$B80,'Final allowances'!$B$51:$B$67,0))/5)</f>
        <v>7.3685919412744214</v>
      </c>
      <c r="M80" s="204">
        <f>INDEX('Final allowances'!$L$71:$N$89,MATCH('Financial model inputs'!$B80,'Final allowances'!$B$71:$B$89,0),MATCH('Financial model inputs'!$M$3,'Final allowances'!$L$71:$N$71,0))/5</f>
        <v>0</v>
      </c>
      <c r="N80" s="204">
        <f t="shared" si="10"/>
        <v>10.514013740955267</v>
      </c>
      <c r="O80" s="204">
        <f>INDEX('Final allowances'!$I$6:$I$22,MATCH('Financial model inputs'!$B80,'Final allowances'!$B$6:$B$22,0))/5</f>
        <v>23.582029902350428</v>
      </c>
      <c r="P80" s="204">
        <f>INDEX('Final allowances'!$F$6:$F$22,MATCH('Financial model inputs'!$B80,'Final allowances'!$B$6:$B$22,0))/5</f>
        <v>23.085455266064066</v>
      </c>
      <c r="Q80" s="204">
        <v>77.355999999999995</v>
      </c>
      <c r="R80" s="204">
        <v>15.757</v>
      </c>
      <c r="S80" s="204">
        <v>25.262999999999998</v>
      </c>
      <c r="T80" s="204">
        <f t="shared" si="11"/>
        <v>0.65347705616003238</v>
      </c>
      <c r="U80" s="204">
        <f t="shared" si="12"/>
        <v>0.34652294383996751</v>
      </c>
      <c r="V80" s="204">
        <f>(INDEX('Final allowances'!$T$29:$T$46, MATCH('Financial model inputs'!$B80, 'Final allowances'!$B$29:$B$46,0))/5) * T80</f>
        <v>80.491241657112155</v>
      </c>
      <c r="W80" s="204">
        <f>(INDEX('Final allowances'!$T$29:$T$46, MATCH('Financial model inputs'!$B80, 'Final allowances'!$B$29:$B$46,0))/5) * U80</f>
        <v>42.682542178689957</v>
      </c>
      <c r="X80" s="204">
        <f>(INDEX('Final allowances'!$Q$51:$Q$67,MATCH('Financial model inputs'!$B80,'Final allowances'!$B$51:$B$67,0))/5)</f>
        <v>27.018021825136525</v>
      </c>
      <c r="Y80" s="204">
        <f>INDEX('Final allowances'!$L$71:$N$89,MATCH('Financial model inputs'!$B80,'Final allowances'!$B$71:$B$89,0),MATCH('Financial model inputs'!$Y$3,'Final allowances'!$L$71:$N$71,0))/5</f>
        <v>0</v>
      </c>
      <c r="Z80" s="204">
        <f t="shared" si="13"/>
        <v>69.700564003826486</v>
      </c>
      <c r="AA80" s="204">
        <f>INDEX('Final allowances'!$J$6:$J$22,MATCH('Financial model inputs'!$B80,'Final allowances'!$B$6:$B$22,0))/5</f>
        <v>153.63240782019847</v>
      </c>
      <c r="AB80" s="204">
        <f>INDEX('Final allowances'!$G$6:$G$22,MATCH('Financial model inputs'!$B80,'Final allowances'!$B$6:$B$22,0))/5</f>
        <v>150.19180566093866</v>
      </c>
      <c r="AC80" s="204">
        <v>0.52471961619994423</v>
      </c>
      <c r="AD80" s="204">
        <v>3.1675009949962227</v>
      </c>
      <c r="AE80" s="204">
        <f t="shared" si="14"/>
        <v>0</v>
      </c>
      <c r="AF80" s="204">
        <f t="shared" si="15"/>
        <v>0.443</v>
      </c>
      <c r="AG80" s="204">
        <v>0</v>
      </c>
      <c r="AH80" s="204">
        <v>0</v>
      </c>
      <c r="AI80" s="204">
        <v>0</v>
      </c>
      <c r="AJ80" s="204">
        <v>0.443</v>
      </c>
    </row>
    <row r="81" spans="1:36" s="205" customFormat="1" x14ac:dyDescent="0.2">
      <c r="A81" s="145" t="s">
        <v>234</v>
      </c>
      <c r="B81" s="182" t="s">
        <v>17</v>
      </c>
      <c r="C81" s="182" t="s">
        <v>25</v>
      </c>
      <c r="D81" s="203">
        <v>2022</v>
      </c>
      <c r="E81" s="204">
        <v>13.611000000000001</v>
      </c>
      <c r="F81" s="204">
        <v>1.006</v>
      </c>
      <c r="G81" s="204">
        <v>2.3860000000000001</v>
      </c>
      <c r="H81" s="204">
        <f t="shared" si="8"/>
        <v>0.8005057930953362</v>
      </c>
      <c r="I81" s="204">
        <f t="shared" si="9"/>
        <v>0.19949420690466391</v>
      </c>
      <c r="J81" s="204">
        <f>(INDEX('Final allowances'!$S$29:$S$46, MATCH('Financial model inputs'!$B81, 'Final allowances'!$B$29:$B$46,0))/5) * H81</f>
        <v>12.581440140781735</v>
      </c>
      <c r="K81" s="204">
        <f>(INDEX('Final allowances'!$S$29:$S$46, MATCH('Financial model inputs'!$B81, 'Final allowances'!$B$29:$B$46,0))/5) * I81</f>
        <v>3.1354231840079088</v>
      </c>
      <c r="L81" s="204">
        <f>(INDEX('Final allowances'!$P$51:$P$67,MATCH('Financial model inputs'!$B81,'Final allowances'!$B$51:$B$67,0))/5)</f>
        <v>7.3685919412744214</v>
      </c>
      <c r="M81" s="204">
        <f>INDEX('Final allowances'!$L$71:$N$89,MATCH('Financial model inputs'!$B81,'Final allowances'!$B$71:$B$89,0),MATCH('Financial model inputs'!$M$3,'Final allowances'!$L$71:$N$71,0))/5</f>
        <v>0</v>
      </c>
      <c r="N81" s="204">
        <f t="shared" si="10"/>
        <v>10.504015125282329</v>
      </c>
      <c r="O81" s="204">
        <f>INDEX('Final allowances'!$I$6:$I$22,MATCH('Financial model inputs'!$B81,'Final allowances'!$B$6:$B$22,0))/5</f>
        <v>23.582029902350428</v>
      </c>
      <c r="P81" s="204">
        <f>INDEX('Final allowances'!$F$6:$F$22,MATCH('Financial model inputs'!$B81,'Final allowances'!$B$6:$B$22,0))/5</f>
        <v>23.085455266064066</v>
      </c>
      <c r="Q81" s="204">
        <v>79.557999999999993</v>
      </c>
      <c r="R81" s="204">
        <v>15.631</v>
      </c>
      <c r="S81" s="204">
        <v>24.864999999999998</v>
      </c>
      <c r="T81" s="204">
        <f t="shared" si="11"/>
        <v>0.66268512502707111</v>
      </c>
      <c r="U81" s="204">
        <f t="shared" si="12"/>
        <v>0.33731487497292884</v>
      </c>
      <c r="V81" s="204">
        <f>(INDEX('Final allowances'!$T$29:$T$46, MATCH('Financial model inputs'!$B81, 'Final allowances'!$B$29:$B$46,0))/5) * T81</f>
        <v>81.625434341285967</v>
      </c>
      <c r="W81" s="204">
        <f>(INDEX('Final allowances'!$T$29:$T$46, MATCH('Financial model inputs'!$B81, 'Final allowances'!$B$29:$B$46,0))/5) * U81</f>
        <v>41.54834949451616</v>
      </c>
      <c r="X81" s="204">
        <f>(INDEX('Final allowances'!$Q$51:$Q$67,MATCH('Financial model inputs'!$B81,'Final allowances'!$B$51:$B$67,0))/5)</f>
        <v>27.018021825136525</v>
      </c>
      <c r="Y81" s="204">
        <f>INDEX('Final allowances'!$L$71:$N$89,MATCH('Financial model inputs'!$B81,'Final allowances'!$B$71:$B$89,0),MATCH('Financial model inputs'!$Y$3,'Final allowances'!$L$71:$N$71,0))/5</f>
        <v>0</v>
      </c>
      <c r="Z81" s="204">
        <f t="shared" si="13"/>
        <v>68.566371319652688</v>
      </c>
      <c r="AA81" s="204">
        <f>INDEX('Final allowances'!$J$6:$J$22,MATCH('Financial model inputs'!$B81,'Final allowances'!$B$6:$B$22,0))/5</f>
        <v>153.63240782019847</v>
      </c>
      <c r="AB81" s="204">
        <f>INDEX('Final allowances'!$G$6:$G$22,MATCH('Financial model inputs'!$B81,'Final allowances'!$B$6:$B$22,0))/5</f>
        <v>150.19180566093866</v>
      </c>
      <c r="AC81" s="204">
        <v>0.51030531439236149</v>
      </c>
      <c r="AD81" s="204">
        <v>3.08048820967604</v>
      </c>
      <c r="AE81" s="204">
        <f t="shared" si="14"/>
        <v>0</v>
      </c>
      <c r="AF81" s="204">
        <f t="shared" si="15"/>
        <v>0.443</v>
      </c>
      <c r="AG81" s="204">
        <v>0</v>
      </c>
      <c r="AH81" s="204">
        <v>0</v>
      </c>
      <c r="AI81" s="204">
        <v>0</v>
      </c>
      <c r="AJ81" s="204">
        <v>0.443</v>
      </c>
    </row>
    <row r="82" spans="1:36" s="205" customFormat="1" x14ac:dyDescent="0.2">
      <c r="A82" s="145" t="s">
        <v>235</v>
      </c>
      <c r="B82" s="182" t="s">
        <v>17</v>
      </c>
      <c r="C82" s="182" t="s">
        <v>26</v>
      </c>
      <c r="D82" s="203">
        <v>2023</v>
      </c>
      <c r="E82" s="204">
        <v>13.715</v>
      </c>
      <c r="F82" s="204">
        <v>1.0249999999999999</v>
      </c>
      <c r="G82" s="204">
        <v>2.3740000000000001</v>
      </c>
      <c r="H82" s="204">
        <f t="shared" si="8"/>
        <v>0.80139067430174127</v>
      </c>
      <c r="I82" s="204">
        <f t="shared" si="9"/>
        <v>0.19860932569825873</v>
      </c>
      <c r="J82" s="204">
        <f>(INDEX('Final allowances'!$S$29:$S$46, MATCH('Financial model inputs'!$B82, 'Final allowances'!$B$29:$B$46,0))/5) * H82</f>
        <v>12.595347697761479</v>
      </c>
      <c r="K82" s="204">
        <f>(INDEX('Final allowances'!$S$29:$S$46, MATCH('Financial model inputs'!$B82, 'Final allowances'!$B$29:$B$46,0))/5) * I82</f>
        <v>3.1215156270281637</v>
      </c>
      <c r="L82" s="204">
        <f>(INDEX('Final allowances'!$P$51:$P$67,MATCH('Financial model inputs'!$B82,'Final allowances'!$B$51:$B$67,0))/5)</f>
        <v>7.3685919412744214</v>
      </c>
      <c r="M82" s="204">
        <f>INDEX('Final allowances'!$L$71:$N$89,MATCH('Financial model inputs'!$B82,'Final allowances'!$B$71:$B$89,0),MATCH('Financial model inputs'!$M$3,'Final allowances'!$L$71:$N$71,0))/5</f>
        <v>0</v>
      </c>
      <c r="N82" s="204">
        <f t="shared" si="10"/>
        <v>10.490107568302586</v>
      </c>
      <c r="O82" s="204">
        <f>INDEX('Final allowances'!$I$6:$I$22,MATCH('Financial model inputs'!$B82,'Final allowances'!$B$6:$B$22,0))/5</f>
        <v>23.582029902350428</v>
      </c>
      <c r="P82" s="204">
        <f>INDEX('Final allowances'!$F$6:$F$22,MATCH('Financial model inputs'!$B82,'Final allowances'!$B$6:$B$22,0))/5</f>
        <v>23.085455266064066</v>
      </c>
      <c r="Q82" s="204">
        <v>80.534000000000006</v>
      </c>
      <c r="R82" s="204">
        <v>15.411</v>
      </c>
      <c r="S82" s="204">
        <v>24.355000000000004</v>
      </c>
      <c r="T82" s="204">
        <f t="shared" si="11"/>
        <v>0.66944305901911882</v>
      </c>
      <c r="U82" s="204">
        <f t="shared" si="12"/>
        <v>0.33055694098088112</v>
      </c>
      <c r="V82" s="204">
        <f>(INDEX('Final allowances'!$T$29:$T$46, MATCH('Financial model inputs'!$B82, 'Final allowances'!$B$29:$B$46,0))/5) * T82</f>
        <v>82.457834641999071</v>
      </c>
      <c r="W82" s="204">
        <f>(INDEX('Final allowances'!$T$29:$T$46, MATCH('Financial model inputs'!$B82, 'Final allowances'!$B$29:$B$46,0))/5) * U82</f>
        <v>40.715949193803056</v>
      </c>
      <c r="X82" s="204">
        <f>(INDEX('Final allowances'!$Q$51:$Q$67,MATCH('Financial model inputs'!$B82,'Final allowances'!$B$51:$B$67,0))/5)</f>
        <v>27.018021825136525</v>
      </c>
      <c r="Y82" s="204">
        <f>INDEX('Final allowances'!$L$71:$N$89,MATCH('Financial model inputs'!$B82,'Final allowances'!$B$71:$B$89,0),MATCH('Financial model inputs'!$Y$3,'Final allowances'!$L$71:$N$71,0))/5</f>
        <v>0</v>
      </c>
      <c r="Z82" s="204">
        <f t="shared" si="13"/>
        <v>67.733971018939584</v>
      </c>
      <c r="AA82" s="204">
        <f>INDEX('Final allowances'!$J$6:$J$22,MATCH('Financial model inputs'!$B82,'Final allowances'!$B$6:$B$22,0))/5</f>
        <v>153.63240782019847</v>
      </c>
      <c r="AB82" s="204">
        <f>INDEX('Final allowances'!$G$6:$G$22,MATCH('Financial model inputs'!$B82,'Final allowances'!$B$6:$B$22,0))/5</f>
        <v>150.19180566093866</v>
      </c>
      <c r="AC82" s="204">
        <v>0.49623695582816091</v>
      </c>
      <c r="AD82" s="204">
        <v>2.9955637312035432</v>
      </c>
      <c r="AE82" s="204">
        <f t="shared" si="14"/>
        <v>0</v>
      </c>
      <c r="AF82" s="204">
        <f t="shared" si="15"/>
        <v>0.443</v>
      </c>
      <c r="AG82" s="204">
        <v>0</v>
      </c>
      <c r="AH82" s="204">
        <v>0</v>
      </c>
      <c r="AI82" s="204">
        <v>0</v>
      </c>
      <c r="AJ82" s="204">
        <v>0.443</v>
      </c>
    </row>
    <row r="83" spans="1:36" s="205" customFormat="1" x14ac:dyDescent="0.2">
      <c r="A83" s="145" t="s">
        <v>236</v>
      </c>
      <c r="B83" s="182" t="s">
        <v>17</v>
      </c>
      <c r="C83" s="182" t="s">
        <v>27</v>
      </c>
      <c r="D83" s="203">
        <v>2024</v>
      </c>
      <c r="E83" s="204">
        <v>13.984</v>
      </c>
      <c r="F83" s="204">
        <v>0.95599999999999996</v>
      </c>
      <c r="G83" s="204">
        <v>2.3530000000000002</v>
      </c>
      <c r="H83" s="204">
        <f t="shared" si="8"/>
        <v>0.808650899207772</v>
      </c>
      <c r="I83" s="204">
        <f t="shared" si="9"/>
        <v>0.19134910079222808</v>
      </c>
      <c r="J83" s="204">
        <f>(INDEX('Final allowances'!$S$29:$S$46, MATCH('Financial model inputs'!$B83, 'Final allowances'!$B$29:$B$46,0))/5) * H83</f>
        <v>12.709455660316797</v>
      </c>
      <c r="K83" s="204">
        <f>(INDEX('Final allowances'!$S$29:$S$46, MATCH('Financial model inputs'!$B83, 'Final allowances'!$B$29:$B$46,0))/5) * I83</f>
        <v>3.0074076644728462</v>
      </c>
      <c r="L83" s="204">
        <f>(INDEX('Final allowances'!$P$51:$P$67,MATCH('Financial model inputs'!$B83,'Final allowances'!$B$51:$B$67,0))/5)</f>
        <v>7.3685919412744214</v>
      </c>
      <c r="M83" s="204">
        <f>INDEX('Final allowances'!$L$71:$N$89,MATCH('Financial model inputs'!$B83,'Final allowances'!$B$71:$B$89,0),MATCH('Financial model inputs'!$M$3,'Final allowances'!$L$71:$N$71,0))/5</f>
        <v>0</v>
      </c>
      <c r="N83" s="204">
        <f t="shared" si="10"/>
        <v>10.375999605747268</v>
      </c>
      <c r="O83" s="204">
        <f>INDEX('Final allowances'!$I$6:$I$22,MATCH('Financial model inputs'!$B83,'Final allowances'!$B$6:$B$22,0))/5</f>
        <v>23.582029902350428</v>
      </c>
      <c r="P83" s="204">
        <f>INDEX('Final allowances'!$F$6:$F$22,MATCH('Financial model inputs'!$B83,'Final allowances'!$B$6:$B$22,0))/5</f>
        <v>23.085455266064066</v>
      </c>
      <c r="Q83" s="204">
        <v>82.085999999999999</v>
      </c>
      <c r="R83" s="204">
        <v>14.807</v>
      </c>
      <c r="S83" s="204">
        <v>23.533000000000001</v>
      </c>
      <c r="T83" s="204">
        <f t="shared" si="11"/>
        <v>0.6816302127447561</v>
      </c>
      <c r="U83" s="204">
        <f t="shared" si="12"/>
        <v>0.3183697872552439</v>
      </c>
      <c r="V83" s="204">
        <f>(INDEX('Final allowances'!$T$29:$T$46, MATCH('Financial model inputs'!$B83, 'Final allowances'!$B$29:$B$46,0))/5) * T83</f>
        <v>83.958972480574403</v>
      </c>
      <c r="W83" s="204">
        <f>(INDEX('Final allowances'!$T$29:$T$46, MATCH('Financial model inputs'!$B83, 'Final allowances'!$B$29:$B$46,0))/5) * U83</f>
        <v>39.214811355227724</v>
      </c>
      <c r="X83" s="204">
        <f>(INDEX('Final allowances'!$Q$51:$Q$67,MATCH('Financial model inputs'!$B83,'Final allowances'!$B$51:$B$67,0))/5)</f>
        <v>27.018021825136525</v>
      </c>
      <c r="Y83" s="204">
        <f>INDEX('Final allowances'!$L$71:$N$89,MATCH('Financial model inputs'!$B83,'Final allowances'!$B$71:$B$89,0),MATCH('Financial model inputs'!$Y$3,'Final allowances'!$L$71:$N$71,0))/5</f>
        <v>0</v>
      </c>
      <c r="Z83" s="204">
        <f t="shared" si="13"/>
        <v>66.232833180364253</v>
      </c>
      <c r="AA83" s="204">
        <f>INDEX('Final allowances'!$J$6:$J$22,MATCH('Financial model inputs'!$B83,'Final allowances'!$B$6:$B$22,0))/5</f>
        <v>153.63240782019847</v>
      </c>
      <c r="AB83" s="204">
        <f>INDEX('Final allowances'!$G$6:$G$22,MATCH('Financial model inputs'!$B83,'Final allowances'!$B$6:$B$22,0))/5</f>
        <v>150.19180566093866</v>
      </c>
      <c r="AC83" s="204">
        <v>0.48250623786950098</v>
      </c>
      <c r="AD83" s="204">
        <v>2.9126774402143853</v>
      </c>
      <c r="AE83" s="204">
        <f t="shared" si="14"/>
        <v>0</v>
      </c>
      <c r="AF83" s="204">
        <f t="shared" si="15"/>
        <v>0.443</v>
      </c>
      <c r="AG83" s="204">
        <v>0</v>
      </c>
      <c r="AH83" s="204">
        <v>0</v>
      </c>
      <c r="AI83" s="204">
        <v>0</v>
      </c>
      <c r="AJ83" s="204">
        <v>0.443</v>
      </c>
    </row>
    <row r="84" spans="1:36" s="205" customFormat="1" x14ac:dyDescent="0.2">
      <c r="A84" s="145" t="s">
        <v>237</v>
      </c>
      <c r="B84" s="182" t="s">
        <v>17</v>
      </c>
      <c r="C84" s="182" t="s">
        <v>28</v>
      </c>
      <c r="D84" s="203">
        <v>2025</v>
      </c>
      <c r="E84" s="204">
        <v>14.109</v>
      </c>
      <c r="F84" s="204">
        <v>0.89</v>
      </c>
      <c r="G84" s="204">
        <v>2.0019999999999998</v>
      </c>
      <c r="H84" s="204">
        <f t="shared" si="8"/>
        <v>0.82989235927298388</v>
      </c>
      <c r="I84" s="204">
        <f t="shared" si="9"/>
        <v>0.17010764072701604</v>
      </c>
      <c r="J84" s="204">
        <f>(INDEX('Final allowances'!$S$29:$S$46, MATCH('Financial model inputs'!$B84, 'Final allowances'!$B$29:$B$46,0))/5) * H84</f>
        <v>13.043304784980711</v>
      </c>
      <c r="K84" s="204">
        <f>(INDEX('Final allowances'!$S$29:$S$46, MATCH('Financial model inputs'!$B84, 'Final allowances'!$B$29:$B$46,0))/5) * I84</f>
        <v>2.6735585398089312</v>
      </c>
      <c r="L84" s="204">
        <f>(INDEX('Final allowances'!$P$51:$P$67,MATCH('Financial model inputs'!$B84,'Final allowances'!$B$51:$B$67,0))/5)</f>
        <v>7.3685919412744214</v>
      </c>
      <c r="M84" s="204">
        <f>INDEX('Final allowances'!$L$71:$N$89,MATCH('Financial model inputs'!$B84,'Final allowances'!$B$71:$B$89,0),MATCH('Financial model inputs'!$M$3,'Final allowances'!$L$71:$N$71,0))/5</f>
        <v>0</v>
      </c>
      <c r="N84" s="204">
        <f t="shared" si="10"/>
        <v>10.042150481083352</v>
      </c>
      <c r="O84" s="204">
        <f>INDEX('Final allowances'!$I$6:$I$22,MATCH('Financial model inputs'!$B84,'Final allowances'!$B$6:$B$22,0))/5</f>
        <v>23.582029902350428</v>
      </c>
      <c r="P84" s="204">
        <f>INDEX('Final allowances'!$F$6:$F$22,MATCH('Financial model inputs'!$B84,'Final allowances'!$B$6:$B$22,0))/5</f>
        <v>23.085455266064066</v>
      </c>
      <c r="Q84" s="204">
        <v>83.864000000000004</v>
      </c>
      <c r="R84" s="204">
        <v>14.292999999999999</v>
      </c>
      <c r="S84" s="204">
        <v>22.491999999999997</v>
      </c>
      <c r="T84" s="204">
        <f t="shared" si="11"/>
        <v>0.69510729471441957</v>
      </c>
      <c r="U84" s="204">
        <f t="shared" si="12"/>
        <v>0.30489270528558043</v>
      </c>
      <c r="V84" s="204">
        <f>(INDEX('Final allowances'!$T$29:$T$46, MATCH('Financial model inputs'!$B84, 'Final allowances'!$B$29:$B$46,0))/5) * T84</f>
        <v>85.618995661843115</v>
      </c>
      <c r="W84" s="204">
        <f>(INDEX('Final allowances'!$T$29:$T$46, MATCH('Financial model inputs'!$B84, 'Final allowances'!$B$29:$B$46,0))/5) * U84</f>
        <v>37.554788173959011</v>
      </c>
      <c r="X84" s="204">
        <f>(INDEX('Final allowances'!$Q$51:$Q$67,MATCH('Financial model inputs'!$B84,'Final allowances'!$B$51:$B$67,0))/5)</f>
        <v>27.018021825136525</v>
      </c>
      <c r="Y84" s="204">
        <f>INDEX('Final allowances'!$L$71:$N$89,MATCH('Financial model inputs'!$B84,'Final allowances'!$B$71:$B$89,0),MATCH('Financial model inputs'!$Y$3,'Final allowances'!$L$71:$N$71,0))/5</f>
        <v>0</v>
      </c>
      <c r="Z84" s="204">
        <f t="shared" si="13"/>
        <v>64.57280999909554</v>
      </c>
      <c r="AA84" s="204">
        <f>INDEX('Final allowances'!$J$6:$J$22,MATCH('Financial model inputs'!$B84,'Final allowances'!$B$6:$B$22,0))/5</f>
        <v>153.63240782019847</v>
      </c>
      <c r="AB84" s="204">
        <f>INDEX('Final allowances'!$G$6:$G$22,MATCH('Financial model inputs'!$B84,'Final allowances'!$B$6:$B$22,0))/5</f>
        <v>150.19180566093866</v>
      </c>
      <c r="AC84" s="204">
        <v>0.46910505714184897</v>
      </c>
      <c r="AD84" s="204">
        <v>2.8317804202089678</v>
      </c>
      <c r="AE84" s="204">
        <f t="shared" si="14"/>
        <v>0</v>
      </c>
      <c r="AF84" s="204">
        <f t="shared" si="15"/>
        <v>0.443</v>
      </c>
      <c r="AG84" s="204">
        <v>0</v>
      </c>
      <c r="AH84" s="204">
        <v>0</v>
      </c>
      <c r="AI84" s="204">
        <v>0</v>
      </c>
      <c r="AJ84" s="204">
        <v>0.443</v>
      </c>
    </row>
    <row r="85" spans="1:36" s="205" customFormat="1" x14ac:dyDescent="0.2">
      <c r="A85" s="145" t="s">
        <v>238</v>
      </c>
      <c r="B85" s="182" t="s">
        <v>18</v>
      </c>
      <c r="C85" s="182" t="s">
        <v>24</v>
      </c>
      <c r="D85" s="203">
        <v>2021</v>
      </c>
      <c r="E85" s="204">
        <v>6.9520892527402998</v>
      </c>
      <c r="F85" s="204">
        <v>0</v>
      </c>
      <c r="G85" s="204">
        <v>1.28735879298814</v>
      </c>
      <c r="H85" s="204">
        <f t="shared" si="8"/>
        <v>0.84375667085423978</v>
      </c>
      <c r="I85" s="204">
        <f t="shared" si="9"/>
        <v>0.15624332914576031</v>
      </c>
      <c r="J85" s="204">
        <f>(INDEX('Final allowances'!$S$29:$S$46, MATCH('Financial model inputs'!$B85, 'Final allowances'!$B$29:$B$46,0))/5) * H85</f>
        <v>7.1538024703116312</v>
      </c>
      <c r="K85" s="204">
        <f>(INDEX('Final allowances'!$S$29:$S$46, MATCH('Financial model inputs'!$B85, 'Final allowances'!$B$29:$B$46,0))/5) * I85</f>
        <v>1.3247112024382959</v>
      </c>
      <c r="L85" s="204">
        <f>(INDEX('Final allowances'!$P$51:$P$67,MATCH('Financial model inputs'!$B85,'Final allowances'!$B$51:$B$67,0))/5)</f>
        <v>1.4394112188697616</v>
      </c>
      <c r="M85" s="204">
        <f>INDEX('Final allowances'!$L$71:$N$89,MATCH('Financial model inputs'!$B85,'Final allowances'!$B$71:$B$89,0),MATCH('Financial model inputs'!$M$3,'Final allowances'!$L$71:$N$71,0))/5</f>
        <v>0</v>
      </c>
      <c r="N85" s="204">
        <f t="shared" si="10"/>
        <v>2.7641224213080573</v>
      </c>
      <c r="O85" s="204">
        <f>INDEX('Final allowances'!$I$6:$I$22,MATCH('Financial model inputs'!$B85,'Final allowances'!$B$6:$B$22,0))/5</f>
        <v>10.088964724361182</v>
      </c>
      <c r="P85" s="204">
        <f>INDEX('Final allowances'!$F$6:$F$22,MATCH('Financial model inputs'!$B85,'Final allowances'!$B$6:$B$22,0))/5</f>
        <v>9.9179248916196876</v>
      </c>
      <c r="Q85" s="204">
        <v>61.701341695540677</v>
      </c>
      <c r="R85" s="204">
        <v>0</v>
      </c>
      <c r="S85" s="204">
        <v>12.970267048722363</v>
      </c>
      <c r="T85" s="204">
        <f t="shared" si="11"/>
        <v>0.82630256309137229</v>
      </c>
      <c r="U85" s="204">
        <f t="shared" si="12"/>
        <v>0.17369743690862771</v>
      </c>
      <c r="V85" s="204">
        <f>(INDEX('Final allowances'!$T$29:$T$46, MATCH('Financial model inputs'!$B85, 'Final allowances'!$B$29:$B$46,0))/5) * T85</f>
        <v>63.888593128583807</v>
      </c>
      <c r="W85" s="204">
        <f>(INDEX('Final allowances'!$T$29:$T$46, MATCH('Financial model inputs'!$B85, 'Final allowances'!$B$29:$B$46,0))/5) * U85</f>
        <v>13.430050165421109</v>
      </c>
      <c r="X85" s="204">
        <f>(INDEX('Final allowances'!$Q$51:$Q$67,MATCH('Financial model inputs'!$B85,'Final allowances'!$B$51:$B$67,0))/5)</f>
        <v>17.993329574895203</v>
      </c>
      <c r="Y85" s="204">
        <f>INDEX('Final allowances'!$L$71:$N$89,MATCH('Financial model inputs'!$B85,'Final allowances'!$B$71:$B$89,0),MATCH('Financial model inputs'!$Y$3,'Final allowances'!$L$71:$N$71,0))/5</f>
        <v>0</v>
      </c>
      <c r="Z85" s="204">
        <f t="shared" si="13"/>
        <v>31.423379740316314</v>
      </c>
      <c r="AA85" s="204">
        <f>INDEX('Final allowances'!$J$6:$J$22,MATCH('Financial model inputs'!$B85,'Final allowances'!$B$6:$B$22,0))/5</f>
        <v>98.476075990915177</v>
      </c>
      <c r="AB85" s="204">
        <f>INDEX('Final allowances'!$G$6:$G$22,MATCH('Financial model inputs'!$B85,'Final allowances'!$B$6:$B$22,0))/5</f>
        <v>95.311972868900114</v>
      </c>
      <c r="AC85" s="204">
        <v>0.16476876289022505</v>
      </c>
      <c r="AD85" s="204">
        <v>1.7668697235133513</v>
      </c>
      <c r="AE85" s="204">
        <f t="shared" si="14"/>
        <v>6.2710698512684097E-3</v>
      </c>
      <c r="AF85" s="204">
        <f t="shared" si="15"/>
        <v>1.3972333985017038</v>
      </c>
      <c r="AG85" s="204">
        <v>0</v>
      </c>
      <c r="AH85" s="204">
        <v>6.2710698512684097E-3</v>
      </c>
      <c r="AI85" s="204">
        <v>0</v>
      </c>
      <c r="AJ85" s="204">
        <v>1.3972333985017038</v>
      </c>
    </row>
    <row r="86" spans="1:36" s="205" customFormat="1" x14ac:dyDescent="0.2">
      <c r="A86" s="145" t="s">
        <v>239</v>
      </c>
      <c r="B86" s="182" t="s">
        <v>18</v>
      </c>
      <c r="C86" s="182" t="s">
        <v>25</v>
      </c>
      <c r="D86" s="203">
        <v>2022</v>
      </c>
      <c r="E86" s="204">
        <v>6.9543993590561204</v>
      </c>
      <c r="F86" s="204">
        <v>0</v>
      </c>
      <c r="G86" s="204">
        <v>2.3589704997205501</v>
      </c>
      <c r="H86" s="204">
        <f t="shared" si="8"/>
        <v>0.74671139066838199</v>
      </c>
      <c r="I86" s="204">
        <f t="shared" si="9"/>
        <v>0.25328860933161795</v>
      </c>
      <c r="J86" s="204">
        <f>(INDEX('Final allowances'!$S$29:$S$46, MATCH('Financial model inputs'!$B86, 'Final allowances'!$B$29:$B$46,0))/5) * H86</f>
        <v>6.3310027353799887</v>
      </c>
      <c r="K86" s="204">
        <f>(INDEX('Final allowances'!$S$29:$S$46, MATCH('Financial model inputs'!$B86, 'Final allowances'!$B$29:$B$46,0))/5) * I86</f>
        <v>2.1475109373699373</v>
      </c>
      <c r="L86" s="204">
        <f>(INDEX('Final allowances'!$P$51:$P$67,MATCH('Financial model inputs'!$B86,'Final allowances'!$B$51:$B$67,0))/5)</f>
        <v>1.4394112188697616</v>
      </c>
      <c r="M86" s="204">
        <f>INDEX('Final allowances'!$L$71:$N$89,MATCH('Financial model inputs'!$B86,'Final allowances'!$B$71:$B$89,0),MATCH('Financial model inputs'!$M$3,'Final allowances'!$L$71:$N$71,0))/5</f>
        <v>0</v>
      </c>
      <c r="N86" s="204">
        <f t="shared" si="10"/>
        <v>3.5869221562396989</v>
      </c>
      <c r="O86" s="204">
        <f>INDEX('Final allowances'!$I$6:$I$22,MATCH('Financial model inputs'!$B86,'Final allowances'!$B$6:$B$22,0))/5</f>
        <v>10.088964724361182</v>
      </c>
      <c r="P86" s="204">
        <f>INDEX('Final allowances'!$F$6:$F$22,MATCH('Financial model inputs'!$B86,'Final allowances'!$B$6:$B$22,0))/5</f>
        <v>9.9179248916196876</v>
      </c>
      <c r="Q86" s="204">
        <v>60.385946847233441</v>
      </c>
      <c r="R86" s="204">
        <v>0</v>
      </c>
      <c r="S86" s="204">
        <v>16.535200021552718</v>
      </c>
      <c r="T86" s="204">
        <f t="shared" si="11"/>
        <v>0.78503700614658223</v>
      </c>
      <c r="U86" s="204">
        <f t="shared" si="12"/>
        <v>0.21496299385341766</v>
      </c>
      <c r="V86" s="204">
        <f>(INDEX('Final allowances'!$T$29:$T$46, MATCH('Financial model inputs'!$B86, 'Final allowances'!$B$29:$B$46,0))/5) * T86</f>
        <v>60.697996250841136</v>
      </c>
      <c r="W86" s="204">
        <f>(INDEX('Final allowances'!$T$29:$T$46, MATCH('Financial model inputs'!$B86, 'Final allowances'!$B$29:$B$46,0))/5) * U86</f>
        <v>16.620647043163771</v>
      </c>
      <c r="X86" s="204">
        <f>(INDEX('Final allowances'!$Q$51:$Q$67,MATCH('Financial model inputs'!$B86,'Final allowances'!$B$51:$B$67,0))/5)</f>
        <v>17.993329574895203</v>
      </c>
      <c r="Y86" s="204">
        <f>INDEX('Final allowances'!$L$71:$N$89,MATCH('Financial model inputs'!$B86,'Final allowances'!$B$71:$B$89,0),MATCH('Financial model inputs'!$Y$3,'Final allowances'!$L$71:$N$71,0))/5</f>
        <v>0</v>
      </c>
      <c r="Z86" s="204">
        <f t="shared" si="13"/>
        <v>34.61397661805897</v>
      </c>
      <c r="AA86" s="204">
        <f>INDEX('Final allowances'!$J$6:$J$22,MATCH('Financial model inputs'!$B86,'Final allowances'!$B$6:$B$22,0))/5</f>
        <v>98.476075990915177</v>
      </c>
      <c r="AB86" s="204">
        <f>INDEX('Final allowances'!$G$6:$G$22,MATCH('Financial model inputs'!$B86,'Final allowances'!$B$6:$B$22,0))/5</f>
        <v>95.311972868900114</v>
      </c>
      <c r="AC86" s="204">
        <v>0.16476876289022505</v>
      </c>
      <c r="AD86" s="204">
        <v>1.7668697235133513</v>
      </c>
      <c r="AE86" s="204">
        <f t="shared" si="14"/>
        <v>6.2710698512684097E-3</v>
      </c>
      <c r="AF86" s="204">
        <f t="shared" si="15"/>
        <v>1.3972333985017038</v>
      </c>
      <c r="AG86" s="204">
        <v>0</v>
      </c>
      <c r="AH86" s="204">
        <v>6.2710698512684097E-3</v>
      </c>
      <c r="AI86" s="204">
        <v>0</v>
      </c>
      <c r="AJ86" s="204">
        <v>1.3972333985017038</v>
      </c>
    </row>
    <row r="87" spans="1:36" s="205" customFormat="1" x14ac:dyDescent="0.2">
      <c r="A87" s="145" t="s">
        <v>240</v>
      </c>
      <c r="B87" s="182" t="s">
        <v>18</v>
      </c>
      <c r="C87" s="182" t="s">
        <v>26</v>
      </c>
      <c r="D87" s="203">
        <v>2023</v>
      </c>
      <c r="E87" s="204">
        <v>7.2980334838987204</v>
      </c>
      <c r="F87" s="204">
        <v>0</v>
      </c>
      <c r="G87" s="204">
        <v>1.5061589040493599</v>
      </c>
      <c r="H87" s="204">
        <f t="shared" si="8"/>
        <v>0.82892707954552225</v>
      </c>
      <c r="I87" s="204">
        <f t="shared" si="9"/>
        <v>0.17107292045447767</v>
      </c>
      <c r="J87" s="204">
        <f>(INDEX('Final allowances'!$S$29:$S$46, MATCH('Financial model inputs'!$B87, 'Final allowances'!$B$29:$B$46,0))/5) * H87</f>
        <v>7.0280695776393767</v>
      </c>
      <c r="K87" s="204">
        <f>(INDEX('Final allowances'!$S$29:$S$46, MATCH('Financial model inputs'!$B87, 'Final allowances'!$B$29:$B$46,0))/5) * I87</f>
        <v>1.4504440951105495</v>
      </c>
      <c r="L87" s="204">
        <f>(INDEX('Final allowances'!$P$51:$P$67,MATCH('Financial model inputs'!$B87,'Final allowances'!$B$51:$B$67,0))/5)</f>
        <v>1.4394112188697616</v>
      </c>
      <c r="M87" s="204">
        <f>INDEX('Final allowances'!$L$71:$N$89,MATCH('Financial model inputs'!$B87,'Final allowances'!$B$71:$B$89,0),MATCH('Financial model inputs'!$M$3,'Final allowances'!$L$71:$N$71,0))/5</f>
        <v>0</v>
      </c>
      <c r="N87" s="204">
        <f t="shared" si="10"/>
        <v>2.8898553139803109</v>
      </c>
      <c r="O87" s="204">
        <f>INDEX('Final allowances'!$I$6:$I$22,MATCH('Financial model inputs'!$B87,'Final allowances'!$B$6:$B$22,0))/5</f>
        <v>10.088964724361182</v>
      </c>
      <c r="P87" s="204">
        <f>INDEX('Final allowances'!$F$6:$F$22,MATCH('Financial model inputs'!$B87,'Final allowances'!$B$6:$B$22,0))/5</f>
        <v>9.9179248916196876</v>
      </c>
      <c r="Q87" s="204">
        <v>58.299407876804622</v>
      </c>
      <c r="R87" s="204">
        <v>0</v>
      </c>
      <c r="S87" s="204">
        <v>17.651554075562274</v>
      </c>
      <c r="T87" s="204">
        <f t="shared" si="11"/>
        <v>0.76759275166741725</v>
      </c>
      <c r="U87" s="204">
        <f t="shared" si="12"/>
        <v>0.23240724833258269</v>
      </c>
      <c r="V87" s="204">
        <f>(INDEX('Final allowances'!$T$29:$T$46, MATCH('Financial model inputs'!$B87, 'Final allowances'!$B$29:$B$46,0))/5) * T87</f>
        <v>59.349230161236733</v>
      </c>
      <c r="W87" s="204">
        <f>(INDEX('Final allowances'!$T$29:$T$46, MATCH('Financial model inputs'!$B87, 'Final allowances'!$B$29:$B$46,0))/5) * U87</f>
        <v>17.969413132768178</v>
      </c>
      <c r="X87" s="204">
        <f>(INDEX('Final allowances'!$Q$51:$Q$67,MATCH('Financial model inputs'!$B87,'Final allowances'!$B$51:$B$67,0))/5)</f>
        <v>17.993329574895203</v>
      </c>
      <c r="Y87" s="204">
        <f>INDEX('Final allowances'!$L$71:$N$89,MATCH('Financial model inputs'!$B87,'Final allowances'!$B$71:$B$89,0),MATCH('Financial model inputs'!$Y$3,'Final allowances'!$L$71:$N$71,0))/5</f>
        <v>0</v>
      </c>
      <c r="Z87" s="204">
        <f t="shared" si="13"/>
        <v>35.962742707663381</v>
      </c>
      <c r="AA87" s="204">
        <f>INDEX('Final allowances'!$J$6:$J$22,MATCH('Financial model inputs'!$B87,'Final allowances'!$B$6:$B$22,0))/5</f>
        <v>98.476075990915177</v>
      </c>
      <c r="AB87" s="204">
        <f>INDEX('Final allowances'!$G$6:$G$22,MATCH('Financial model inputs'!$B87,'Final allowances'!$B$6:$B$22,0))/5</f>
        <v>95.311972868900114</v>
      </c>
      <c r="AC87" s="204">
        <v>0.16476876289022505</v>
      </c>
      <c r="AD87" s="204">
        <v>1.7668697235133513</v>
      </c>
      <c r="AE87" s="204">
        <f t="shared" si="14"/>
        <v>6.2710698512684097E-3</v>
      </c>
      <c r="AF87" s="204">
        <f t="shared" si="15"/>
        <v>1.3972333985017038</v>
      </c>
      <c r="AG87" s="204">
        <v>0</v>
      </c>
      <c r="AH87" s="204">
        <v>6.2710698512684097E-3</v>
      </c>
      <c r="AI87" s="204">
        <v>0</v>
      </c>
      <c r="AJ87" s="204">
        <v>1.3972333985017038</v>
      </c>
    </row>
    <row r="88" spans="1:36" s="205" customFormat="1" x14ac:dyDescent="0.2">
      <c r="A88" s="145" t="s">
        <v>241</v>
      </c>
      <c r="B88" s="182" t="s">
        <v>18</v>
      </c>
      <c r="C88" s="182" t="s">
        <v>27</v>
      </c>
      <c r="D88" s="203">
        <v>2024</v>
      </c>
      <c r="E88" s="204">
        <v>7.2963765427521396</v>
      </c>
      <c r="F88" s="204">
        <v>0</v>
      </c>
      <c r="G88" s="204">
        <v>1.8847339799320399</v>
      </c>
      <c r="H88" s="204">
        <f t="shared" si="8"/>
        <v>0.79471612118432267</v>
      </c>
      <c r="I88" s="204">
        <f t="shared" si="9"/>
        <v>0.20528387881567745</v>
      </c>
      <c r="J88" s="204">
        <f>(INDEX('Final allowances'!$S$29:$S$46, MATCH('Financial model inputs'!$B88, 'Final allowances'!$B$29:$B$46,0))/5) * H88</f>
        <v>6.7380114994160669</v>
      </c>
      <c r="K88" s="204">
        <f>(INDEX('Final allowances'!$S$29:$S$46, MATCH('Financial model inputs'!$B88, 'Final allowances'!$B$29:$B$46,0))/5) * I88</f>
        <v>1.7405021733338601</v>
      </c>
      <c r="L88" s="204">
        <f>(INDEX('Final allowances'!$P$51:$P$67,MATCH('Financial model inputs'!$B88,'Final allowances'!$B$51:$B$67,0))/5)</f>
        <v>1.4394112188697616</v>
      </c>
      <c r="M88" s="204">
        <f>INDEX('Final allowances'!$L$71:$N$89,MATCH('Financial model inputs'!$B88,'Final allowances'!$B$71:$B$89,0),MATCH('Financial model inputs'!$M$3,'Final allowances'!$L$71:$N$71,0))/5</f>
        <v>0</v>
      </c>
      <c r="N88" s="204">
        <f t="shared" si="10"/>
        <v>3.1799133922036216</v>
      </c>
      <c r="O88" s="204">
        <f>INDEX('Final allowances'!$I$6:$I$22,MATCH('Financial model inputs'!$B88,'Final allowances'!$B$6:$B$22,0))/5</f>
        <v>10.088964724361182</v>
      </c>
      <c r="P88" s="204">
        <f>INDEX('Final allowances'!$F$6:$F$22,MATCH('Financial model inputs'!$B88,'Final allowances'!$B$6:$B$22,0))/5</f>
        <v>9.9179248916196876</v>
      </c>
      <c r="Q88" s="204">
        <v>55.30310875445673</v>
      </c>
      <c r="R88" s="204">
        <v>0</v>
      </c>
      <c r="S88" s="204">
        <v>15.431005041959803</v>
      </c>
      <c r="T88" s="204">
        <f t="shared" si="11"/>
        <v>0.78184493713496472</v>
      </c>
      <c r="U88" s="204">
        <f t="shared" si="12"/>
        <v>0.21815506286503519</v>
      </c>
      <c r="V88" s="204">
        <f>(INDEX('Final allowances'!$T$29:$T$46, MATCH('Financial model inputs'!$B88, 'Final allowances'!$B$29:$B$46,0))/5) * T88</f>
        <v>60.451189805562031</v>
      </c>
      <c r="W88" s="204">
        <f>(INDEX('Final allowances'!$T$29:$T$46, MATCH('Financial model inputs'!$B88, 'Final allowances'!$B$29:$B$46,0))/5) * U88</f>
        <v>16.867453488442873</v>
      </c>
      <c r="X88" s="204">
        <f>(INDEX('Final allowances'!$Q$51:$Q$67,MATCH('Financial model inputs'!$B88,'Final allowances'!$B$51:$B$67,0))/5)</f>
        <v>17.993329574895203</v>
      </c>
      <c r="Y88" s="204">
        <f>INDEX('Final allowances'!$L$71:$N$89,MATCH('Financial model inputs'!$B88,'Final allowances'!$B$71:$B$89,0),MATCH('Financial model inputs'!$Y$3,'Final allowances'!$L$71:$N$71,0))/5</f>
        <v>0</v>
      </c>
      <c r="Z88" s="204">
        <f t="shared" si="13"/>
        <v>34.860783063338076</v>
      </c>
      <c r="AA88" s="204">
        <f>INDEX('Final allowances'!$J$6:$J$22,MATCH('Financial model inputs'!$B88,'Final allowances'!$B$6:$B$22,0))/5</f>
        <v>98.476075990915177</v>
      </c>
      <c r="AB88" s="204">
        <f>INDEX('Final allowances'!$G$6:$G$22,MATCH('Financial model inputs'!$B88,'Final allowances'!$B$6:$B$22,0))/5</f>
        <v>95.311972868900114</v>
      </c>
      <c r="AC88" s="204">
        <v>0.16476876289022505</v>
      </c>
      <c r="AD88" s="204">
        <v>1.7668697235133513</v>
      </c>
      <c r="AE88" s="204">
        <f t="shared" si="14"/>
        <v>6.2710698512684097E-3</v>
      </c>
      <c r="AF88" s="204">
        <f t="shared" si="15"/>
        <v>1.3972333985017038</v>
      </c>
      <c r="AG88" s="204">
        <v>0</v>
      </c>
      <c r="AH88" s="204">
        <v>6.2710698512684097E-3</v>
      </c>
      <c r="AI88" s="204">
        <v>0</v>
      </c>
      <c r="AJ88" s="204">
        <v>1.3972333985017038</v>
      </c>
    </row>
    <row r="89" spans="1:36" s="205" customFormat="1" x14ac:dyDescent="0.2">
      <c r="A89" s="145" t="s">
        <v>242</v>
      </c>
      <c r="B89" s="182" t="s">
        <v>18</v>
      </c>
      <c r="C89" s="182" t="s">
        <v>28</v>
      </c>
      <c r="D89" s="203">
        <v>2025</v>
      </c>
      <c r="E89" s="204">
        <v>7.2966937984380102</v>
      </c>
      <c r="F89" s="204">
        <v>0</v>
      </c>
      <c r="G89" s="204">
        <v>2.57268223610594</v>
      </c>
      <c r="H89" s="204">
        <f t="shared" si="8"/>
        <v>0.73932675914857671</v>
      </c>
      <c r="I89" s="204">
        <f t="shared" si="9"/>
        <v>0.26067324085142329</v>
      </c>
      <c r="J89" s="204">
        <f>(INDEX('Final allowances'!$S$29:$S$46, MATCH('Financial model inputs'!$B89, 'Final allowances'!$B$29:$B$46,0))/5) * H89</f>
        <v>6.2683920360710994</v>
      </c>
      <c r="K89" s="204">
        <f>(INDEX('Final allowances'!$S$29:$S$46, MATCH('Financial model inputs'!$B89, 'Final allowances'!$B$29:$B$46,0))/5) * I89</f>
        <v>2.210121636678827</v>
      </c>
      <c r="L89" s="204">
        <f>(INDEX('Final allowances'!$P$51:$P$67,MATCH('Financial model inputs'!$B89,'Final allowances'!$B$51:$B$67,0))/5)</f>
        <v>1.4394112188697616</v>
      </c>
      <c r="M89" s="204">
        <f>INDEX('Final allowances'!$L$71:$N$89,MATCH('Financial model inputs'!$B89,'Final allowances'!$B$71:$B$89,0),MATCH('Financial model inputs'!$M$3,'Final allowances'!$L$71:$N$71,0))/5</f>
        <v>0</v>
      </c>
      <c r="N89" s="204">
        <f t="shared" si="10"/>
        <v>3.6495328555485886</v>
      </c>
      <c r="O89" s="204">
        <f>INDEX('Final allowances'!$I$6:$I$22,MATCH('Financial model inputs'!$B89,'Final allowances'!$B$6:$B$22,0))/5</f>
        <v>10.088964724361182</v>
      </c>
      <c r="P89" s="204">
        <f>INDEX('Final allowances'!$F$6:$F$22,MATCH('Financial model inputs'!$B89,'Final allowances'!$B$6:$B$22,0))/5</f>
        <v>9.9179248916196876</v>
      </c>
      <c r="Q89" s="204">
        <v>55.266181470889421</v>
      </c>
      <c r="R89" s="204">
        <v>0</v>
      </c>
      <c r="S89" s="204">
        <v>13.564589210860772</v>
      </c>
      <c r="T89" s="204">
        <f t="shared" si="11"/>
        <v>0.80292841302651152</v>
      </c>
      <c r="U89" s="204">
        <f t="shared" si="12"/>
        <v>0.19707158697348845</v>
      </c>
      <c r="V89" s="204">
        <f>(INDEX('Final allowances'!$T$29:$T$46, MATCH('Financial model inputs'!$B89, 'Final allowances'!$B$29:$B$46,0))/5) * T89</f>
        <v>62.081335557418292</v>
      </c>
      <c r="W89" s="204">
        <f>(INDEX('Final allowances'!$T$29:$T$46, MATCH('Financial model inputs'!$B89, 'Final allowances'!$B$29:$B$46,0))/5) * U89</f>
        <v>15.237307736586619</v>
      </c>
      <c r="X89" s="204">
        <f>(INDEX('Final allowances'!$Q$51:$Q$67,MATCH('Financial model inputs'!$B89,'Final allowances'!$B$51:$B$67,0))/5)</f>
        <v>17.993329574895203</v>
      </c>
      <c r="Y89" s="204">
        <f>INDEX('Final allowances'!$L$71:$N$89,MATCH('Financial model inputs'!$B89,'Final allowances'!$B$71:$B$89,0),MATCH('Financial model inputs'!$Y$3,'Final allowances'!$L$71:$N$71,0))/5</f>
        <v>0</v>
      </c>
      <c r="Z89" s="204">
        <f t="shared" si="13"/>
        <v>33.230637311481821</v>
      </c>
      <c r="AA89" s="204">
        <f>INDEX('Final allowances'!$J$6:$J$22,MATCH('Financial model inputs'!$B89,'Final allowances'!$B$6:$B$22,0))/5</f>
        <v>98.476075990915177</v>
      </c>
      <c r="AB89" s="204">
        <f>INDEX('Final allowances'!$G$6:$G$22,MATCH('Financial model inputs'!$B89,'Final allowances'!$B$6:$B$22,0))/5</f>
        <v>95.311972868900114</v>
      </c>
      <c r="AC89" s="204">
        <v>0.16476876289022505</v>
      </c>
      <c r="AD89" s="204">
        <v>1.766869723513351</v>
      </c>
      <c r="AE89" s="204">
        <f t="shared" si="14"/>
        <v>6.2710698512684097E-3</v>
      </c>
      <c r="AF89" s="204">
        <f t="shared" si="15"/>
        <v>1.3972333985017038</v>
      </c>
      <c r="AG89" s="204">
        <v>0</v>
      </c>
      <c r="AH89" s="204">
        <v>6.2710698512684097E-3</v>
      </c>
      <c r="AI89" s="204">
        <v>0</v>
      </c>
      <c r="AJ89" s="204">
        <v>1.3972333985017038</v>
      </c>
    </row>
    <row r="91" spans="1:36" x14ac:dyDescent="0.2">
      <c r="C91" s="249"/>
      <c r="D91" s="1"/>
      <c r="E91" s="218"/>
      <c r="F91" s="218"/>
      <c r="G91" s="218"/>
      <c r="H91" s="218"/>
      <c r="I91" s="218"/>
      <c r="J91" s="218"/>
      <c r="K91" s="218"/>
      <c r="L91" s="218"/>
      <c r="M91" s="218"/>
      <c r="N91" s="218"/>
      <c r="O91" s="218"/>
      <c r="P91" s="218"/>
      <c r="Q91" s="218"/>
      <c r="R91" s="218"/>
      <c r="S91" s="218"/>
      <c r="T91" s="218"/>
      <c r="U91" s="218"/>
      <c r="V91" s="218"/>
      <c r="W91" s="218"/>
      <c r="X91" s="218"/>
      <c r="Y91" s="218"/>
      <c r="Z91" s="218"/>
      <c r="AA91" s="218"/>
      <c r="AB91" s="218"/>
      <c r="AC91" s="218"/>
      <c r="AD91" s="218"/>
      <c r="AE91" s="218"/>
      <c r="AF91" s="218"/>
      <c r="AG91" s="218"/>
      <c r="AH91" s="218"/>
      <c r="AI91" s="218"/>
      <c r="AJ91" s="218"/>
    </row>
    <row r="92" spans="1:36" x14ac:dyDescent="0.2">
      <c r="C92" s="249"/>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row>
    <row r="93" spans="1:36" x14ac:dyDescent="0.2">
      <c r="C93" s="249"/>
      <c r="D93" s="1"/>
      <c r="E93" s="218"/>
      <c r="F93" s="218"/>
      <c r="G93" s="218"/>
      <c r="H93" s="218"/>
      <c r="I93" s="218"/>
      <c r="J93" s="218"/>
      <c r="K93" s="218"/>
      <c r="L93" s="218"/>
      <c r="M93" s="218"/>
      <c r="N93" s="218"/>
      <c r="O93" s="218"/>
      <c r="P93" s="218"/>
      <c r="Q93" s="218"/>
      <c r="R93" s="218"/>
      <c r="S93" s="218"/>
      <c r="T93" s="218"/>
      <c r="U93" s="218"/>
      <c r="V93" s="218"/>
      <c r="W93" s="218"/>
      <c r="X93" s="218"/>
      <c r="Y93" s="218"/>
      <c r="Z93" s="218"/>
      <c r="AA93" s="218"/>
      <c r="AB93" s="218"/>
      <c r="AC93" s="218"/>
      <c r="AD93" s="218"/>
      <c r="AE93" s="218"/>
      <c r="AF93" s="218"/>
      <c r="AG93" s="218"/>
      <c r="AH93" s="218"/>
      <c r="AI93" s="218"/>
      <c r="AJ93" s="218"/>
    </row>
    <row r="94" spans="1:36" x14ac:dyDescent="0.2">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row>
    <row r="95" spans="1:36" x14ac:dyDescent="0.2">
      <c r="C95" s="1"/>
      <c r="D95" s="219"/>
      <c r="E95" s="218"/>
      <c r="F95" s="218"/>
      <c r="G95" s="218"/>
      <c r="H95" s="218"/>
      <c r="I95" s="218"/>
      <c r="J95" s="218"/>
      <c r="K95" s="218"/>
      <c r="L95" s="218"/>
      <c r="M95" s="218"/>
      <c r="N95" s="218"/>
      <c r="O95" s="218"/>
      <c r="P95" s="218"/>
      <c r="Q95" s="218"/>
      <c r="R95" s="218"/>
      <c r="S95" s="218"/>
      <c r="T95" s="218"/>
      <c r="U95" s="218"/>
      <c r="V95" s="218"/>
      <c r="W95" s="218"/>
      <c r="X95" s="218"/>
      <c r="Y95" s="218"/>
      <c r="Z95" s="218"/>
      <c r="AA95" s="218"/>
      <c r="AB95" s="218"/>
      <c r="AC95" s="218"/>
      <c r="AD95" s="218"/>
      <c r="AE95" s="218"/>
      <c r="AF95" s="218"/>
      <c r="AG95" s="218"/>
      <c r="AH95" s="218"/>
      <c r="AI95" s="218"/>
      <c r="AJ95" s="218"/>
    </row>
    <row r="96" spans="1:36" x14ac:dyDescent="0.2">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row>
  </sheetData>
  <mergeCells count="1">
    <mergeCell ref="C91:C93"/>
  </mergeCells>
  <conditionalFormatting sqref="B1">
    <cfRule type="expression" dxfId="2" priority="2">
      <formula>B1="error"</formula>
    </cfRule>
    <cfRule type="expression" dxfId="1" priority="3">
      <formula>B1="OK"</formula>
    </cfRule>
  </conditionalFormatting>
  <conditionalFormatting sqref="E95:AJ95">
    <cfRule type="containsText" dxfId="0" priority="1" operator="containsText" text="ok">
      <formula>NOT(ISERROR(SEARCH("ok",E95)))</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sheetPr>
  <dimension ref="A1:L562"/>
  <sheetViews>
    <sheetView zoomScaleNormal="100" workbookViewId="0">
      <pane xSplit="6" ySplit="2" topLeftCell="G3" activePane="bottomRight" state="frozen"/>
      <selection pane="topRight" activeCell="E1" sqref="E1"/>
      <selection pane="bottomLeft" activeCell="A2" sqref="A2"/>
      <selection pane="bottomRight"/>
    </sheetView>
  </sheetViews>
  <sheetFormatPr defaultColWidth="8.625" defaultRowHeight="15" x14ac:dyDescent="0.25"/>
  <cols>
    <col min="1" max="1" width="8.625" style="4"/>
    <col min="2" max="2" width="27" style="4" customWidth="1"/>
    <col min="3" max="3" width="20" style="4" customWidth="1"/>
    <col min="4" max="4" width="23.625" style="4" customWidth="1"/>
    <col min="5" max="5" width="44.5" style="4" customWidth="1"/>
    <col min="6" max="6" width="8.625" style="45"/>
    <col min="7" max="7" width="14.625" style="4" bestFit="1" customWidth="1"/>
    <col min="8" max="12" width="15.125" style="4" bestFit="1" customWidth="1"/>
    <col min="13" max="16384" width="8.625" style="2"/>
  </cols>
  <sheetData>
    <row r="1" spans="1:12" x14ac:dyDescent="0.25">
      <c r="A1" s="80">
        <f>COUNTA(A3:A581)</f>
        <v>560</v>
      </c>
      <c r="B1" s="13"/>
      <c r="C1" s="13"/>
      <c r="D1" s="13"/>
      <c r="E1" s="76" t="s">
        <v>77</v>
      </c>
      <c r="F1" s="76"/>
      <c r="G1" s="13"/>
      <c r="H1" s="13"/>
      <c r="I1" s="13"/>
      <c r="J1" s="13"/>
      <c r="K1" s="13"/>
      <c r="L1" s="13"/>
    </row>
    <row r="2" spans="1:12" s="4" customFormat="1" x14ac:dyDescent="0.2">
      <c r="A2" s="77" t="s">
        <v>29</v>
      </c>
      <c r="B2" s="77" t="s">
        <v>117</v>
      </c>
      <c r="C2" s="77" t="s">
        <v>118</v>
      </c>
      <c r="D2" s="77" t="s">
        <v>30</v>
      </c>
      <c r="E2" s="77" t="s">
        <v>31</v>
      </c>
      <c r="F2" s="77" t="s">
        <v>32</v>
      </c>
      <c r="G2" s="77" t="s">
        <v>22</v>
      </c>
      <c r="H2" s="77" t="s">
        <v>24</v>
      </c>
      <c r="I2" s="77" t="s">
        <v>25</v>
      </c>
      <c r="J2" s="77" t="s">
        <v>26</v>
      </c>
      <c r="K2" s="13" t="s">
        <v>27</v>
      </c>
      <c r="L2" s="13" t="s">
        <v>28</v>
      </c>
    </row>
    <row r="3" spans="1:12" x14ac:dyDescent="0.25">
      <c r="A3" s="12" t="s">
        <v>4</v>
      </c>
      <c r="B3" s="13" t="s">
        <v>126</v>
      </c>
      <c r="C3" s="12" t="str">
        <f>A3&amp;B3</f>
        <v>ANHC_WR_PR19CA004</v>
      </c>
      <c r="D3" s="4" t="s">
        <v>123</v>
      </c>
      <c r="E3" s="13" t="s">
        <v>64</v>
      </c>
      <c r="F3" s="76" t="s">
        <v>2</v>
      </c>
      <c r="G3" s="13" t="s">
        <v>59</v>
      </c>
      <c r="H3" s="46">
        <f>_xlfn.IFNA(INDEX('Final allowances'!$F$5:$H$22,MATCH(F_interface!$A3,'Final allowances'!$B$5:$B$22,0),MATCH(F_interface!$D3,'Final allowances'!$F$5:$H$5,0))/5,0)</f>
        <v>52.85965955014548</v>
      </c>
      <c r="I3" s="46">
        <f>_xlfn.IFNA(INDEX('Final allowances'!$F$5:$H$22,MATCH(F_interface!$A3,'Final allowances'!$B$5:$B$22,0),MATCH(F_interface!$D3,'Final allowances'!$F$5:$H$5,0))/5,0)</f>
        <v>52.85965955014548</v>
      </c>
      <c r="J3" s="46">
        <f>_xlfn.IFNA(INDEX('Final allowances'!$F$5:$H$22,MATCH(F_interface!$A3,'Final allowances'!$B$5:$B$22,0),MATCH(F_interface!$D3,'Final allowances'!$F$5:$H$5,0))/5,0)</f>
        <v>52.85965955014548</v>
      </c>
      <c r="K3" s="46">
        <f>_xlfn.IFNA(INDEX('Final allowances'!$F$5:$H$22,MATCH(F_interface!$A3,'Final allowances'!$B$5:$B$22,0),MATCH(F_interface!$D3,'Final allowances'!$F$5:$H$5,0))/5,0)</f>
        <v>52.85965955014548</v>
      </c>
      <c r="L3" s="46">
        <f>_xlfn.IFNA(INDEX('Final allowances'!$F$5:$H$22,MATCH(F_interface!$A3,'Final allowances'!$B$5:$B$22,0),MATCH(F_interface!$D3,'Final allowances'!$F$5:$H$5,0))/5,0)</f>
        <v>52.85965955014548</v>
      </c>
    </row>
    <row r="4" spans="1:12" x14ac:dyDescent="0.25">
      <c r="A4" s="12" t="s">
        <v>90</v>
      </c>
      <c r="B4" s="13" t="s">
        <v>126</v>
      </c>
      <c r="C4" s="12" t="str">
        <f t="shared" ref="C4:C96" si="0">A4&amp;B4</f>
        <v>HDDC_WR_PR19CA004</v>
      </c>
      <c r="D4" s="4" t="s">
        <v>123</v>
      </c>
      <c r="E4" s="13" t="s">
        <v>64</v>
      </c>
      <c r="F4" s="76" t="s">
        <v>2</v>
      </c>
      <c r="G4" s="13" t="s">
        <v>59</v>
      </c>
      <c r="H4" s="46">
        <f>_xlfn.IFNA(INDEX('Final allowances'!$F$5:$H$22,MATCH(F_interface!$A4,'Final allowances'!$B$5:$B$22,0),MATCH(F_interface!$D4,'Final allowances'!$F$5:$H$5,0))/5,0)</f>
        <v>3.6778891602422332</v>
      </c>
      <c r="I4" s="46">
        <f>_xlfn.IFNA(INDEX('Final allowances'!$F$5:$H$22,MATCH(F_interface!$A4,'Final allowances'!$B$5:$B$22,0),MATCH(F_interface!$D4,'Final allowances'!$F$5:$H$5,0))/5,0)</f>
        <v>3.6778891602422332</v>
      </c>
      <c r="J4" s="46">
        <f>_xlfn.IFNA(INDEX('Final allowances'!$F$5:$H$22,MATCH(F_interface!$A4,'Final allowances'!$B$5:$B$22,0),MATCH(F_interface!$D4,'Final allowances'!$F$5:$H$5,0))/5,0)</f>
        <v>3.6778891602422332</v>
      </c>
      <c r="K4" s="46">
        <f>_xlfn.IFNA(INDEX('Final allowances'!$F$5:$H$22,MATCH(F_interface!$A4,'Final allowances'!$B$5:$B$22,0),MATCH(F_interface!$D4,'Final allowances'!$F$5:$H$5,0))/5,0)</f>
        <v>3.6778891602422332</v>
      </c>
      <c r="L4" s="46">
        <f>_xlfn.IFNA(INDEX('Final allowances'!$F$5:$H$22,MATCH(F_interface!$A4,'Final allowances'!$B$5:$B$22,0),MATCH(F_interface!$D4,'Final allowances'!$F$5:$H$5,0))/5,0)</f>
        <v>3.6778891602422332</v>
      </c>
    </row>
    <row r="5" spans="1:12" x14ac:dyDescent="0.25">
      <c r="A5" s="12" t="s">
        <v>5</v>
      </c>
      <c r="B5" s="13" t="s">
        <v>126</v>
      </c>
      <c r="C5" s="12" t="str">
        <f t="shared" si="0"/>
        <v>NESC_WR_PR19CA004</v>
      </c>
      <c r="D5" s="4" t="s">
        <v>123</v>
      </c>
      <c r="E5" s="13" t="s">
        <v>64</v>
      </c>
      <c r="F5" s="76" t="s">
        <v>2</v>
      </c>
      <c r="G5" s="13" t="s">
        <v>59</v>
      </c>
      <c r="H5" s="46">
        <f>_xlfn.IFNA(INDEX('Final allowances'!$F$5:$H$22,MATCH(F_interface!$A5,'Final allowances'!$B$5:$B$22,0),MATCH(F_interface!$D5,'Final allowances'!$F$5:$H$5,0))/5,0)</f>
        <v>52.307481011688751</v>
      </c>
      <c r="I5" s="46">
        <f>_xlfn.IFNA(INDEX('Final allowances'!$F$5:$H$22,MATCH(F_interface!$A5,'Final allowances'!$B$5:$B$22,0),MATCH(F_interface!$D5,'Final allowances'!$F$5:$H$5,0))/5,0)</f>
        <v>52.307481011688751</v>
      </c>
      <c r="J5" s="46">
        <f>_xlfn.IFNA(INDEX('Final allowances'!$F$5:$H$22,MATCH(F_interface!$A5,'Final allowances'!$B$5:$B$22,0),MATCH(F_interface!$D5,'Final allowances'!$F$5:$H$5,0))/5,0)</f>
        <v>52.307481011688751</v>
      </c>
      <c r="K5" s="46">
        <f>_xlfn.IFNA(INDEX('Final allowances'!$F$5:$H$22,MATCH(F_interface!$A5,'Final allowances'!$B$5:$B$22,0),MATCH(F_interface!$D5,'Final allowances'!$F$5:$H$5,0))/5,0)</f>
        <v>52.307481011688751</v>
      </c>
      <c r="L5" s="46">
        <f>_xlfn.IFNA(INDEX('Final allowances'!$F$5:$H$22,MATCH(F_interface!$A5,'Final allowances'!$B$5:$B$22,0),MATCH(F_interface!$D5,'Final allowances'!$F$5:$H$5,0))/5,0)</f>
        <v>52.307481011688751</v>
      </c>
    </row>
    <row r="6" spans="1:12" x14ac:dyDescent="0.25">
      <c r="A6" s="12" t="s">
        <v>6</v>
      </c>
      <c r="B6" s="13" t="s">
        <v>126</v>
      </c>
      <c r="C6" s="12" t="str">
        <f t="shared" si="0"/>
        <v>NWTC_WR_PR19CA004</v>
      </c>
      <c r="D6" s="4" t="s">
        <v>123</v>
      </c>
      <c r="E6" s="13" t="s">
        <v>64</v>
      </c>
      <c r="F6" s="76" t="s">
        <v>2</v>
      </c>
      <c r="G6" s="13" t="s">
        <v>59</v>
      </c>
      <c r="H6" s="46">
        <f>_xlfn.IFNA(INDEX('Final allowances'!$F$5:$H$22,MATCH(F_interface!$A6,'Final allowances'!$B$5:$B$22,0),MATCH(F_interface!$D6,'Final allowances'!$F$5:$H$5,0))/5,0)</f>
        <v>76.297981930990233</v>
      </c>
      <c r="I6" s="46">
        <f>_xlfn.IFNA(INDEX('Final allowances'!$F$5:$H$22,MATCH(F_interface!$A6,'Final allowances'!$B$5:$B$22,0),MATCH(F_interface!$D6,'Final allowances'!$F$5:$H$5,0))/5,0)</f>
        <v>76.297981930990233</v>
      </c>
      <c r="J6" s="46">
        <f>_xlfn.IFNA(INDEX('Final allowances'!$F$5:$H$22,MATCH(F_interface!$A6,'Final allowances'!$B$5:$B$22,0),MATCH(F_interface!$D6,'Final allowances'!$F$5:$H$5,0))/5,0)</f>
        <v>76.297981930990233</v>
      </c>
      <c r="K6" s="46">
        <f>_xlfn.IFNA(INDEX('Final allowances'!$F$5:$H$22,MATCH(F_interface!$A6,'Final allowances'!$B$5:$B$22,0),MATCH(F_interface!$D6,'Final allowances'!$F$5:$H$5,0))/5,0)</f>
        <v>76.297981930990233</v>
      </c>
      <c r="L6" s="46">
        <f>_xlfn.IFNA(INDEX('Final allowances'!$F$5:$H$22,MATCH(F_interface!$A6,'Final allowances'!$B$5:$B$22,0),MATCH(F_interface!$D6,'Final allowances'!$F$5:$H$5,0))/5,0)</f>
        <v>76.297981930990233</v>
      </c>
    </row>
    <row r="7" spans="1:12" x14ac:dyDescent="0.25">
      <c r="A7" s="12" t="s">
        <v>7</v>
      </c>
      <c r="B7" s="13" t="s">
        <v>126</v>
      </c>
      <c r="C7" s="12" t="str">
        <f t="shared" si="0"/>
        <v>SRNC_WR_PR19CA004</v>
      </c>
      <c r="D7" s="4" t="s">
        <v>123</v>
      </c>
      <c r="E7" s="13" t="s">
        <v>64</v>
      </c>
      <c r="F7" s="76" t="s">
        <v>2</v>
      </c>
      <c r="G7" s="13" t="s">
        <v>59</v>
      </c>
      <c r="H7" s="46">
        <f>_xlfn.IFNA(INDEX('Final allowances'!$F$5:$H$22,MATCH(F_interface!$A7,'Final allowances'!$B$5:$B$22,0),MATCH(F_interface!$D7,'Final allowances'!$F$5:$H$5,0))/5,0)</f>
        <v>24.670693831207206</v>
      </c>
      <c r="I7" s="46">
        <f>_xlfn.IFNA(INDEX('Final allowances'!$F$5:$H$22,MATCH(F_interface!$A7,'Final allowances'!$B$5:$B$22,0),MATCH(F_interface!$D7,'Final allowances'!$F$5:$H$5,0))/5,0)</f>
        <v>24.670693831207206</v>
      </c>
      <c r="J7" s="46">
        <f>_xlfn.IFNA(INDEX('Final allowances'!$F$5:$H$22,MATCH(F_interface!$A7,'Final allowances'!$B$5:$B$22,0),MATCH(F_interface!$D7,'Final allowances'!$F$5:$H$5,0))/5,0)</f>
        <v>24.670693831207206</v>
      </c>
      <c r="K7" s="46">
        <f>_xlfn.IFNA(INDEX('Final allowances'!$F$5:$H$22,MATCH(F_interface!$A7,'Final allowances'!$B$5:$B$22,0),MATCH(F_interface!$D7,'Final allowances'!$F$5:$H$5,0))/5,0)</f>
        <v>24.670693831207206</v>
      </c>
      <c r="L7" s="46">
        <f>_xlfn.IFNA(INDEX('Final allowances'!$F$5:$H$22,MATCH(F_interface!$A7,'Final allowances'!$B$5:$B$22,0),MATCH(F_interface!$D7,'Final allowances'!$F$5:$H$5,0))/5,0)</f>
        <v>24.670693831207206</v>
      </c>
    </row>
    <row r="8" spans="1:12" x14ac:dyDescent="0.25">
      <c r="A8" s="12" t="s">
        <v>89</v>
      </c>
      <c r="B8" s="13" t="s">
        <v>126</v>
      </c>
      <c r="C8" s="12" t="str">
        <f t="shared" si="0"/>
        <v>SVEC_WR_PR19CA004</v>
      </c>
      <c r="D8" s="4" t="s">
        <v>123</v>
      </c>
      <c r="E8" s="13" t="s">
        <v>64</v>
      </c>
      <c r="F8" s="76" t="s">
        <v>2</v>
      </c>
      <c r="G8" s="13" t="s">
        <v>59</v>
      </c>
      <c r="H8" s="46">
        <f>_xlfn.IFNA(INDEX('Final allowances'!$F$5:$H$22,MATCH(F_interface!$A8,'Final allowances'!$B$5:$B$22,0),MATCH(F_interface!$D8,'Final allowances'!$F$5:$H$5,0))/5,0)</f>
        <v>67.261472741814856</v>
      </c>
      <c r="I8" s="46">
        <f>_xlfn.IFNA(INDEX('Final allowances'!$F$5:$H$22,MATCH(F_interface!$A8,'Final allowances'!$B$5:$B$22,0),MATCH(F_interface!$D8,'Final allowances'!$F$5:$H$5,0))/5,0)</f>
        <v>67.261472741814856</v>
      </c>
      <c r="J8" s="46">
        <f>_xlfn.IFNA(INDEX('Final allowances'!$F$5:$H$22,MATCH(F_interface!$A8,'Final allowances'!$B$5:$B$22,0),MATCH(F_interface!$D8,'Final allowances'!$F$5:$H$5,0))/5,0)</f>
        <v>67.261472741814856</v>
      </c>
      <c r="K8" s="46">
        <f>_xlfn.IFNA(INDEX('Final allowances'!$F$5:$H$22,MATCH(F_interface!$A8,'Final allowances'!$B$5:$B$22,0),MATCH(F_interface!$D8,'Final allowances'!$F$5:$H$5,0))/5,0)</f>
        <v>67.261472741814856</v>
      </c>
      <c r="L8" s="46">
        <f>_xlfn.IFNA(INDEX('Final allowances'!$F$5:$H$22,MATCH(F_interface!$A8,'Final allowances'!$B$5:$B$22,0),MATCH(F_interface!$D8,'Final allowances'!$F$5:$H$5,0))/5,0)</f>
        <v>67.261472741814856</v>
      </c>
    </row>
    <row r="9" spans="1:12" x14ac:dyDescent="0.25">
      <c r="A9" s="12" t="s">
        <v>93</v>
      </c>
      <c r="B9" s="13" t="s">
        <v>126</v>
      </c>
      <c r="C9" s="12" t="str">
        <f t="shared" si="0"/>
        <v>SVHC_WR_PR19CA004</v>
      </c>
      <c r="D9" s="4" t="s">
        <v>123</v>
      </c>
      <c r="E9" s="13" t="s">
        <v>64</v>
      </c>
      <c r="F9" s="76" t="s">
        <v>2</v>
      </c>
      <c r="G9" s="13" t="s">
        <v>59</v>
      </c>
      <c r="H9" s="46">
        <f>_xlfn.IFNA(INDEX('Final allowances'!$F$5:$H$22,MATCH(F_interface!$A9,'Final allowances'!$B$5:$B$22,0),MATCH(F_interface!$D9,'Final allowances'!$F$5:$H$5,0))/5,0)</f>
        <v>0</v>
      </c>
      <c r="I9" s="46">
        <f>_xlfn.IFNA(INDEX('Final allowances'!$F$5:$H$22,MATCH(F_interface!$A9,'Final allowances'!$B$5:$B$22,0),MATCH(F_interface!$D9,'Final allowances'!$F$5:$H$5,0))/5,0)</f>
        <v>0</v>
      </c>
      <c r="J9" s="46">
        <f>_xlfn.IFNA(INDEX('Final allowances'!$F$5:$H$22,MATCH(F_interface!$A9,'Final allowances'!$B$5:$B$22,0),MATCH(F_interface!$D9,'Final allowances'!$F$5:$H$5,0))/5,0)</f>
        <v>0</v>
      </c>
      <c r="K9" s="46">
        <f>_xlfn.IFNA(INDEX('Final allowances'!$F$5:$H$22,MATCH(F_interface!$A9,'Final allowances'!$B$5:$B$22,0),MATCH(F_interface!$D9,'Final allowances'!$F$5:$H$5,0))/5,0)</f>
        <v>0</v>
      </c>
      <c r="L9" s="46">
        <f>_xlfn.IFNA(INDEX('Final allowances'!$F$5:$H$22,MATCH(F_interface!$A9,'Final allowances'!$B$5:$B$22,0),MATCH(F_interface!$D9,'Final allowances'!$F$5:$H$5,0))/5,0)</f>
        <v>0</v>
      </c>
    </row>
    <row r="10" spans="1:12" x14ac:dyDescent="0.25">
      <c r="A10" s="12" t="s">
        <v>8</v>
      </c>
      <c r="B10" s="13" t="s">
        <v>126</v>
      </c>
      <c r="C10" s="12" t="str">
        <f t="shared" si="0"/>
        <v>SVTC_WR_PR19CA004</v>
      </c>
      <c r="D10" s="4" t="s">
        <v>123</v>
      </c>
      <c r="E10" s="13" t="s">
        <v>64</v>
      </c>
      <c r="F10" s="76" t="s">
        <v>2</v>
      </c>
      <c r="G10" s="13" t="s">
        <v>59</v>
      </c>
      <c r="H10" s="46">
        <f>_xlfn.IFNA(INDEX('Final allowances'!$F$5:$H$22,MATCH(F_interface!$A10,'Final allowances'!$B$5:$B$22,0),MATCH(F_interface!$D10,'Final allowances'!$F$5:$H$5,0))/5,0)</f>
        <v>0</v>
      </c>
      <c r="I10" s="46">
        <f>_xlfn.IFNA(INDEX('Final allowances'!$F$5:$H$22,MATCH(F_interface!$A10,'Final allowances'!$B$5:$B$22,0),MATCH(F_interface!$D10,'Final allowances'!$F$5:$H$5,0))/5,0)</f>
        <v>0</v>
      </c>
      <c r="J10" s="46">
        <f>_xlfn.IFNA(INDEX('Final allowances'!$F$5:$H$22,MATCH(F_interface!$A10,'Final allowances'!$B$5:$B$22,0),MATCH(F_interface!$D10,'Final allowances'!$F$5:$H$5,0))/5,0)</f>
        <v>0</v>
      </c>
      <c r="K10" s="46">
        <f>_xlfn.IFNA(INDEX('Final allowances'!$F$5:$H$22,MATCH(F_interface!$A10,'Final allowances'!$B$5:$B$22,0),MATCH(F_interface!$D10,'Final allowances'!$F$5:$H$5,0))/5,0)</f>
        <v>0</v>
      </c>
      <c r="L10" s="46">
        <f>_xlfn.IFNA(INDEX('Final allowances'!$F$5:$H$22,MATCH(F_interface!$A10,'Final allowances'!$B$5:$B$22,0),MATCH(F_interface!$D10,'Final allowances'!$F$5:$H$5,0))/5,0)</f>
        <v>0</v>
      </c>
    </row>
    <row r="11" spans="1:12" x14ac:dyDescent="0.25">
      <c r="A11" s="12" t="s">
        <v>19</v>
      </c>
      <c r="B11" s="13" t="s">
        <v>126</v>
      </c>
      <c r="C11" s="12" t="str">
        <f t="shared" si="0"/>
        <v>SWBC_WR_PR19CA004</v>
      </c>
      <c r="D11" s="4" t="s">
        <v>123</v>
      </c>
      <c r="E11" s="13" t="s">
        <v>64</v>
      </c>
      <c r="F11" s="76" t="s">
        <v>2</v>
      </c>
      <c r="G11" s="13" t="s">
        <v>59</v>
      </c>
      <c r="H11" s="46">
        <f>_xlfn.IFNA(INDEX('Final allowances'!$F$5:$H$22,MATCH(F_interface!$A11,'Final allowances'!$B$5:$B$22,0),MATCH(F_interface!$D11,'Final allowances'!$F$5:$H$5,0))/5,0)</f>
        <v>15.398929713042241</v>
      </c>
      <c r="I11" s="46">
        <f>_xlfn.IFNA(INDEX('Final allowances'!$F$5:$H$22,MATCH(F_interface!$A11,'Final allowances'!$B$5:$B$22,0),MATCH(F_interface!$D11,'Final allowances'!$F$5:$H$5,0))/5,0)</f>
        <v>15.398929713042241</v>
      </c>
      <c r="J11" s="46">
        <f>_xlfn.IFNA(INDEX('Final allowances'!$F$5:$H$22,MATCH(F_interface!$A11,'Final allowances'!$B$5:$B$22,0),MATCH(F_interface!$D11,'Final allowances'!$F$5:$H$5,0))/5,0)</f>
        <v>15.398929713042241</v>
      </c>
      <c r="K11" s="46">
        <f>_xlfn.IFNA(INDEX('Final allowances'!$F$5:$H$22,MATCH(F_interface!$A11,'Final allowances'!$B$5:$B$22,0),MATCH(F_interface!$D11,'Final allowances'!$F$5:$H$5,0))/5,0)</f>
        <v>15.398929713042241</v>
      </c>
      <c r="L11" s="46">
        <f>_xlfn.IFNA(INDEX('Final allowances'!$F$5:$H$22,MATCH(F_interface!$A11,'Final allowances'!$B$5:$B$22,0),MATCH(F_interface!$D11,'Final allowances'!$F$5:$H$5,0))/5,0)</f>
        <v>15.398929713042241</v>
      </c>
    </row>
    <row r="12" spans="1:12" x14ac:dyDescent="0.25">
      <c r="A12" s="12" t="s">
        <v>9</v>
      </c>
      <c r="B12" s="13" t="s">
        <v>126</v>
      </c>
      <c r="C12" s="12" t="str">
        <f t="shared" si="0"/>
        <v>TMSC_WR_PR19CA004</v>
      </c>
      <c r="D12" s="4" t="s">
        <v>123</v>
      </c>
      <c r="E12" s="13" t="s">
        <v>64</v>
      </c>
      <c r="F12" s="76" t="s">
        <v>2</v>
      </c>
      <c r="G12" s="13" t="s">
        <v>59</v>
      </c>
      <c r="H12" s="46">
        <f>_xlfn.IFNA(INDEX('Final allowances'!$F$5:$H$22,MATCH(F_interface!$A12,'Final allowances'!$B$5:$B$22,0),MATCH(F_interface!$D12,'Final allowances'!$F$5:$H$5,0))/5,0)</f>
        <v>96.602881849142221</v>
      </c>
      <c r="I12" s="46">
        <f>_xlfn.IFNA(INDEX('Final allowances'!$F$5:$H$22,MATCH(F_interface!$A12,'Final allowances'!$B$5:$B$22,0),MATCH(F_interface!$D12,'Final allowances'!$F$5:$H$5,0))/5,0)</f>
        <v>96.602881849142221</v>
      </c>
      <c r="J12" s="46">
        <f>_xlfn.IFNA(INDEX('Final allowances'!$F$5:$H$22,MATCH(F_interface!$A12,'Final allowances'!$B$5:$B$22,0),MATCH(F_interface!$D12,'Final allowances'!$F$5:$H$5,0))/5,0)</f>
        <v>96.602881849142221</v>
      </c>
      <c r="K12" s="46">
        <f>_xlfn.IFNA(INDEX('Final allowances'!$F$5:$H$22,MATCH(F_interface!$A12,'Final allowances'!$B$5:$B$22,0),MATCH(F_interface!$D12,'Final allowances'!$F$5:$H$5,0))/5,0)</f>
        <v>96.602881849142221</v>
      </c>
      <c r="L12" s="46">
        <f>_xlfn.IFNA(INDEX('Final allowances'!$F$5:$H$22,MATCH(F_interface!$A12,'Final allowances'!$B$5:$B$22,0),MATCH(F_interface!$D12,'Final allowances'!$F$5:$H$5,0))/5,0)</f>
        <v>96.602881849142221</v>
      </c>
    </row>
    <row r="13" spans="1:12" x14ac:dyDescent="0.25">
      <c r="A13" s="12" t="s">
        <v>23</v>
      </c>
      <c r="B13" s="13" t="s">
        <v>126</v>
      </c>
      <c r="C13" s="12" t="str">
        <f t="shared" si="0"/>
        <v>WSHC_WR_PR19CA004</v>
      </c>
      <c r="D13" s="4" t="s">
        <v>123</v>
      </c>
      <c r="E13" s="13" t="s">
        <v>64</v>
      </c>
      <c r="F13" s="76" t="s">
        <v>2</v>
      </c>
      <c r="G13" s="13" t="s">
        <v>59</v>
      </c>
      <c r="H13" s="46">
        <f>_xlfn.IFNA(INDEX('Final allowances'!$F$5:$H$22,MATCH(F_interface!$A13,'Final allowances'!$B$5:$B$22,0),MATCH(F_interface!$D13,'Final allowances'!$F$5:$H$5,0))/5,0)</f>
        <v>57.639015012232996</v>
      </c>
      <c r="I13" s="46">
        <f>_xlfn.IFNA(INDEX('Final allowances'!$F$5:$H$22,MATCH(F_interface!$A13,'Final allowances'!$B$5:$B$22,0),MATCH(F_interface!$D13,'Final allowances'!$F$5:$H$5,0))/5,0)</f>
        <v>57.639015012232996</v>
      </c>
      <c r="J13" s="46">
        <f>_xlfn.IFNA(INDEX('Final allowances'!$F$5:$H$22,MATCH(F_interface!$A13,'Final allowances'!$B$5:$B$22,0),MATCH(F_interface!$D13,'Final allowances'!$F$5:$H$5,0))/5,0)</f>
        <v>57.639015012232996</v>
      </c>
      <c r="K13" s="46">
        <f>_xlfn.IFNA(INDEX('Final allowances'!$F$5:$H$22,MATCH(F_interface!$A13,'Final allowances'!$B$5:$B$22,0),MATCH(F_interface!$D13,'Final allowances'!$F$5:$H$5,0))/5,0)</f>
        <v>57.639015012232996</v>
      </c>
      <c r="L13" s="46">
        <f>_xlfn.IFNA(INDEX('Final allowances'!$F$5:$H$22,MATCH(F_interface!$A13,'Final allowances'!$B$5:$B$22,0),MATCH(F_interface!$D13,'Final allowances'!$F$5:$H$5,0))/5,0)</f>
        <v>57.639015012232996</v>
      </c>
    </row>
    <row r="14" spans="1:12" x14ac:dyDescent="0.25">
      <c r="A14" s="12" t="s">
        <v>10</v>
      </c>
      <c r="B14" s="13" t="s">
        <v>126</v>
      </c>
      <c r="C14" s="12" t="str">
        <f t="shared" si="0"/>
        <v>WSXC_WR_PR19CA004</v>
      </c>
      <c r="D14" s="4" t="s">
        <v>123</v>
      </c>
      <c r="E14" s="13" t="s">
        <v>64</v>
      </c>
      <c r="F14" s="76" t="s">
        <v>2</v>
      </c>
      <c r="G14" s="13" t="s">
        <v>59</v>
      </c>
      <c r="H14" s="46">
        <f>_xlfn.IFNA(INDEX('Final allowances'!$F$5:$H$22,MATCH(F_interface!$A14,'Final allowances'!$B$5:$B$22,0),MATCH(F_interface!$D14,'Final allowances'!$F$5:$H$5,0))/5,0)</f>
        <v>16.486048214607269</v>
      </c>
      <c r="I14" s="46">
        <f>_xlfn.IFNA(INDEX('Final allowances'!$F$5:$H$22,MATCH(F_interface!$A14,'Final allowances'!$B$5:$B$22,0),MATCH(F_interface!$D14,'Final allowances'!$F$5:$H$5,0))/5,0)</f>
        <v>16.486048214607269</v>
      </c>
      <c r="J14" s="46">
        <f>_xlfn.IFNA(INDEX('Final allowances'!$F$5:$H$22,MATCH(F_interface!$A14,'Final allowances'!$B$5:$B$22,0),MATCH(F_interface!$D14,'Final allowances'!$F$5:$H$5,0))/5,0)</f>
        <v>16.486048214607269</v>
      </c>
      <c r="K14" s="46">
        <f>_xlfn.IFNA(INDEX('Final allowances'!$F$5:$H$22,MATCH(F_interface!$A14,'Final allowances'!$B$5:$B$22,0),MATCH(F_interface!$D14,'Final allowances'!$F$5:$H$5,0))/5,0)</f>
        <v>16.486048214607269</v>
      </c>
      <c r="L14" s="46">
        <f>_xlfn.IFNA(INDEX('Final allowances'!$F$5:$H$22,MATCH(F_interface!$A14,'Final allowances'!$B$5:$B$22,0),MATCH(F_interface!$D14,'Final allowances'!$F$5:$H$5,0))/5,0)</f>
        <v>16.486048214607269</v>
      </c>
    </row>
    <row r="15" spans="1:12" x14ac:dyDescent="0.25">
      <c r="A15" s="12" t="s">
        <v>11</v>
      </c>
      <c r="B15" s="13" t="s">
        <v>126</v>
      </c>
      <c r="C15" s="12" t="str">
        <f t="shared" si="0"/>
        <v>YKYC_WR_PR19CA004</v>
      </c>
      <c r="D15" s="4" t="s">
        <v>123</v>
      </c>
      <c r="E15" s="13" t="s">
        <v>64</v>
      </c>
      <c r="F15" s="76" t="s">
        <v>2</v>
      </c>
      <c r="G15" s="13" t="s">
        <v>59</v>
      </c>
      <c r="H15" s="46">
        <f>_xlfn.IFNA(INDEX('Final allowances'!$F$5:$H$22,MATCH(F_interface!$A15,'Final allowances'!$B$5:$B$22,0),MATCH(F_interface!$D15,'Final allowances'!$F$5:$H$5,0))/5,0)</f>
        <v>49.443861232726078</v>
      </c>
      <c r="I15" s="46">
        <f>_xlfn.IFNA(INDEX('Final allowances'!$F$5:$H$22,MATCH(F_interface!$A15,'Final allowances'!$B$5:$B$22,0),MATCH(F_interface!$D15,'Final allowances'!$F$5:$H$5,0))/5,0)</f>
        <v>49.443861232726078</v>
      </c>
      <c r="J15" s="46">
        <f>_xlfn.IFNA(INDEX('Final allowances'!$F$5:$H$22,MATCH(F_interface!$A15,'Final allowances'!$B$5:$B$22,0),MATCH(F_interface!$D15,'Final allowances'!$F$5:$H$5,0))/5,0)</f>
        <v>49.443861232726078</v>
      </c>
      <c r="K15" s="46">
        <f>_xlfn.IFNA(INDEX('Final allowances'!$F$5:$H$22,MATCH(F_interface!$A15,'Final allowances'!$B$5:$B$22,0),MATCH(F_interface!$D15,'Final allowances'!$F$5:$H$5,0))/5,0)</f>
        <v>49.443861232726078</v>
      </c>
      <c r="L15" s="46">
        <f>_xlfn.IFNA(INDEX('Final allowances'!$F$5:$H$22,MATCH(F_interface!$A15,'Final allowances'!$B$5:$B$22,0),MATCH(F_interface!$D15,'Final allowances'!$F$5:$H$5,0))/5,0)</f>
        <v>49.443861232726078</v>
      </c>
    </row>
    <row r="16" spans="1:12" x14ac:dyDescent="0.25">
      <c r="A16" s="12" t="s">
        <v>12</v>
      </c>
      <c r="B16" s="13" t="s">
        <v>126</v>
      </c>
      <c r="C16" s="12" t="str">
        <f t="shared" si="0"/>
        <v>AFWC_WR_PR19CA004</v>
      </c>
      <c r="D16" s="4" t="s">
        <v>123</v>
      </c>
      <c r="E16" s="13" t="s">
        <v>64</v>
      </c>
      <c r="F16" s="76" t="s">
        <v>2</v>
      </c>
      <c r="G16" s="13" t="s">
        <v>59</v>
      </c>
      <c r="H16" s="46">
        <f>_xlfn.IFNA(INDEX('Final allowances'!$F$5:$H$22,MATCH(F_interface!$A16,'Final allowances'!$B$5:$B$22,0),MATCH(F_interface!$D16,'Final allowances'!$F$5:$H$5,0))/5,0)</f>
        <v>46.747911284580312</v>
      </c>
      <c r="I16" s="46">
        <f>_xlfn.IFNA(INDEX('Final allowances'!$F$5:$H$22,MATCH(F_interface!$A16,'Final allowances'!$B$5:$B$22,0),MATCH(F_interface!$D16,'Final allowances'!$F$5:$H$5,0))/5,0)</f>
        <v>46.747911284580312</v>
      </c>
      <c r="J16" s="46">
        <f>_xlfn.IFNA(INDEX('Final allowances'!$F$5:$H$22,MATCH(F_interface!$A16,'Final allowances'!$B$5:$B$22,0),MATCH(F_interface!$D16,'Final allowances'!$F$5:$H$5,0))/5,0)</f>
        <v>46.747911284580312</v>
      </c>
      <c r="K16" s="46">
        <f>_xlfn.IFNA(INDEX('Final allowances'!$F$5:$H$22,MATCH(F_interface!$A16,'Final allowances'!$B$5:$B$22,0),MATCH(F_interface!$D16,'Final allowances'!$F$5:$H$5,0))/5,0)</f>
        <v>46.747911284580312</v>
      </c>
      <c r="L16" s="46">
        <f>_xlfn.IFNA(INDEX('Final allowances'!$F$5:$H$22,MATCH(F_interface!$A16,'Final allowances'!$B$5:$B$22,0),MATCH(F_interface!$D16,'Final allowances'!$F$5:$H$5,0))/5,0)</f>
        <v>46.747911284580312</v>
      </c>
    </row>
    <row r="17" spans="1:12" x14ac:dyDescent="0.25">
      <c r="A17" s="12" t="s">
        <v>13</v>
      </c>
      <c r="B17" s="13" t="s">
        <v>126</v>
      </c>
      <c r="C17" s="12" t="str">
        <f t="shared" si="0"/>
        <v>BRLC_WR_PR19CA004</v>
      </c>
      <c r="D17" s="4" t="s">
        <v>123</v>
      </c>
      <c r="E17" s="13" t="s">
        <v>64</v>
      </c>
      <c r="F17" s="76" t="s">
        <v>2</v>
      </c>
      <c r="G17" s="13" t="s">
        <v>59</v>
      </c>
      <c r="H17" s="46">
        <f>_xlfn.IFNA(INDEX('Final allowances'!$F$5:$H$22,MATCH(F_interface!$A17,'Final allowances'!$B$5:$B$22,0),MATCH(F_interface!$D17,'Final allowances'!$F$5:$H$5,0))/5,0)</f>
        <v>13.810075900640021</v>
      </c>
      <c r="I17" s="46">
        <f>_xlfn.IFNA(INDEX('Final allowances'!$F$5:$H$22,MATCH(F_interface!$A17,'Final allowances'!$B$5:$B$22,0),MATCH(F_interface!$D17,'Final allowances'!$F$5:$H$5,0))/5,0)</f>
        <v>13.810075900640021</v>
      </c>
      <c r="J17" s="46">
        <f>_xlfn.IFNA(INDEX('Final allowances'!$F$5:$H$22,MATCH(F_interface!$A17,'Final allowances'!$B$5:$B$22,0),MATCH(F_interface!$D17,'Final allowances'!$F$5:$H$5,0))/5,0)</f>
        <v>13.810075900640021</v>
      </c>
      <c r="K17" s="46">
        <f>_xlfn.IFNA(INDEX('Final allowances'!$F$5:$H$22,MATCH(F_interface!$A17,'Final allowances'!$B$5:$B$22,0),MATCH(F_interface!$D17,'Final allowances'!$F$5:$H$5,0))/5,0)</f>
        <v>13.810075900640021</v>
      </c>
      <c r="L17" s="46">
        <f>_xlfn.IFNA(INDEX('Final allowances'!$F$5:$H$22,MATCH(F_interface!$A17,'Final allowances'!$B$5:$B$22,0),MATCH(F_interface!$D17,'Final allowances'!$F$5:$H$5,0))/5,0)</f>
        <v>13.810075900640021</v>
      </c>
    </row>
    <row r="18" spans="1:12" x14ac:dyDescent="0.25">
      <c r="A18" s="12" t="s">
        <v>14</v>
      </c>
      <c r="B18" s="13" t="s">
        <v>126</v>
      </c>
      <c r="C18" s="12" t="str">
        <f t="shared" si="0"/>
        <v>DVWC_WR_PR19CA004</v>
      </c>
      <c r="D18" s="4" t="s">
        <v>123</v>
      </c>
      <c r="E18" s="13" t="s">
        <v>64</v>
      </c>
      <c r="F18" s="76" t="s">
        <v>2</v>
      </c>
      <c r="G18" s="13" t="s">
        <v>59</v>
      </c>
      <c r="H18" s="46">
        <f>_xlfn.IFNA(INDEX('Final allowances'!$F$5:$H$22,MATCH(F_interface!$A18,'Final allowances'!$B$5:$B$22,0),MATCH(F_interface!$D18,'Final allowances'!$F$5:$H$5,0))/5,0)</f>
        <v>0</v>
      </c>
      <c r="I18" s="46">
        <f>_xlfn.IFNA(INDEX('Final allowances'!$F$5:$H$22,MATCH(F_interface!$A18,'Final allowances'!$B$5:$B$22,0),MATCH(F_interface!$D18,'Final allowances'!$F$5:$H$5,0))/5,0)</f>
        <v>0</v>
      </c>
      <c r="J18" s="46">
        <f>_xlfn.IFNA(INDEX('Final allowances'!$F$5:$H$22,MATCH(F_interface!$A18,'Final allowances'!$B$5:$B$22,0),MATCH(F_interface!$D18,'Final allowances'!$F$5:$H$5,0))/5,0)</f>
        <v>0</v>
      </c>
      <c r="K18" s="46">
        <f>_xlfn.IFNA(INDEX('Final allowances'!$F$5:$H$22,MATCH(F_interface!$A18,'Final allowances'!$B$5:$B$22,0),MATCH(F_interface!$D18,'Final allowances'!$F$5:$H$5,0))/5,0)</f>
        <v>0</v>
      </c>
      <c r="L18" s="46">
        <f>_xlfn.IFNA(INDEX('Final allowances'!$F$5:$H$22,MATCH(F_interface!$A18,'Final allowances'!$B$5:$B$22,0),MATCH(F_interface!$D18,'Final allowances'!$F$5:$H$5,0))/5,0)</f>
        <v>0</v>
      </c>
    </row>
    <row r="19" spans="1:12" x14ac:dyDescent="0.25">
      <c r="A19" s="12" t="s">
        <v>15</v>
      </c>
      <c r="B19" s="13" t="s">
        <v>126</v>
      </c>
      <c r="C19" s="12" t="str">
        <f t="shared" si="0"/>
        <v>PRTC_WR_PR19CA004</v>
      </c>
      <c r="D19" s="4" t="s">
        <v>123</v>
      </c>
      <c r="E19" s="13" t="s">
        <v>64</v>
      </c>
      <c r="F19" s="76" t="s">
        <v>2</v>
      </c>
      <c r="G19" s="13" t="s">
        <v>59</v>
      </c>
      <c r="H19" s="46">
        <f>_xlfn.IFNA(INDEX('Final allowances'!$F$5:$H$22,MATCH(F_interface!$A19,'Final allowances'!$B$5:$B$22,0),MATCH(F_interface!$D19,'Final allowances'!$F$5:$H$5,0))/5,0)</f>
        <v>7.6623332546928919</v>
      </c>
      <c r="I19" s="46">
        <f>_xlfn.IFNA(INDEX('Final allowances'!$F$5:$H$22,MATCH(F_interface!$A19,'Final allowances'!$B$5:$B$22,0),MATCH(F_interface!$D19,'Final allowances'!$F$5:$H$5,0))/5,0)</f>
        <v>7.6623332546928919</v>
      </c>
      <c r="J19" s="46">
        <f>_xlfn.IFNA(INDEX('Final allowances'!$F$5:$H$22,MATCH(F_interface!$A19,'Final allowances'!$B$5:$B$22,0),MATCH(F_interface!$D19,'Final allowances'!$F$5:$H$5,0))/5,0)</f>
        <v>7.6623332546928919</v>
      </c>
      <c r="K19" s="46">
        <f>_xlfn.IFNA(INDEX('Final allowances'!$F$5:$H$22,MATCH(F_interface!$A19,'Final allowances'!$B$5:$B$22,0),MATCH(F_interface!$D19,'Final allowances'!$F$5:$H$5,0))/5,0)</f>
        <v>7.6623332546928919</v>
      </c>
      <c r="L19" s="46">
        <f>_xlfn.IFNA(INDEX('Final allowances'!$F$5:$H$22,MATCH(F_interface!$A19,'Final allowances'!$B$5:$B$22,0),MATCH(F_interface!$D19,'Final allowances'!$F$5:$H$5,0))/5,0)</f>
        <v>7.6623332546928919</v>
      </c>
    </row>
    <row r="20" spans="1:12" x14ac:dyDescent="0.25">
      <c r="A20" s="12" t="s">
        <v>16</v>
      </c>
      <c r="B20" s="13" t="s">
        <v>126</v>
      </c>
      <c r="C20" s="12" t="str">
        <f t="shared" si="0"/>
        <v>SESC_WR_PR19CA004</v>
      </c>
      <c r="D20" s="4" t="s">
        <v>123</v>
      </c>
      <c r="E20" s="13" t="s">
        <v>64</v>
      </c>
      <c r="F20" s="76" t="s">
        <v>2</v>
      </c>
      <c r="G20" s="13" t="s">
        <v>59</v>
      </c>
      <c r="H20" s="46">
        <f>_xlfn.IFNA(INDEX('Final allowances'!$F$5:$H$22,MATCH(F_interface!$A20,'Final allowances'!$B$5:$B$22,0),MATCH(F_interface!$D20,'Final allowances'!$F$5:$H$5,0))/5,0)</f>
        <v>4.5905449940472574</v>
      </c>
      <c r="I20" s="46">
        <f>_xlfn.IFNA(INDEX('Final allowances'!$F$5:$H$22,MATCH(F_interface!$A20,'Final allowances'!$B$5:$B$22,0),MATCH(F_interface!$D20,'Final allowances'!$F$5:$H$5,0))/5,0)</f>
        <v>4.5905449940472574</v>
      </c>
      <c r="J20" s="46">
        <f>_xlfn.IFNA(INDEX('Final allowances'!$F$5:$H$22,MATCH(F_interface!$A20,'Final allowances'!$B$5:$B$22,0),MATCH(F_interface!$D20,'Final allowances'!$F$5:$H$5,0))/5,0)</f>
        <v>4.5905449940472574</v>
      </c>
      <c r="K20" s="46">
        <f>_xlfn.IFNA(INDEX('Final allowances'!$F$5:$H$22,MATCH(F_interface!$A20,'Final allowances'!$B$5:$B$22,0),MATCH(F_interface!$D20,'Final allowances'!$F$5:$H$5,0))/5,0)</f>
        <v>4.5905449940472574</v>
      </c>
      <c r="L20" s="46">
        <f>_xlfn.IFNA(INDEX('Final allowances'!$F$5:$H$22,MATCH(F_interface!$A20,'Final allowances'!$B$5:$B$22,0),MATCH(F_interface!$D20,'Final allowances'!$F$5:$H$5,0))/5,0)</f>
        <v>4.5905449940472574</v>
      </c>
    </row>
    <row r="21" spans="1:12" x14ac:dyDescent="0.25">
      <c r="A21" s="12" t="s">
        <v>17</v>
      </c>
      <c r="B21" s="13" t="s">
        <v>126</v>
      </c>
      <c r="C21" s="12" t="str">
        <f t="shared" si="0"/>
        <v>SEWC_WR_PR19CA004</v>
      </c>
      <c r="D21" s="4" t="s">
        <v>123</v>
      </c>
      <c r="E21" s="13" t="s">
        <v>64</v>
      </c>
      <c r="F21" s="76" t="s">
        <v>2</v>
      </c>
      <c r="G21" s="13" t="s">
        <v>59</v>
      </c>
      <c r="H21" s="46">
        <f>_xlfn.IFNA(INDEX('Final allowances'!$F$5:$H$22,MATCH(F_interface!$A21,'Final allowances'!$B$5:$B$22,0),MATCH(F_interface!$D21,'Final allowances'!$F$5:$H$5,0))/5,0)</f>
        <v>23.085455266064066</v>
      </c>
      <c r="I21" s="46">
        <f>_xlfn.IFNA(INDEX('Final allowances'!$F$5:$H$22,MATCH(F_interface!$A21,'Final allowances'!$B$5:$B$22,0),MATCH(F_interface!$D21,'Final allowances'!$F$5:$H$5,0))/5,0)</f>
        <v>23.085455266064066</v>
      </c>
      <c r="J21" s="46">
        <f>_xlfn.IFNA(INDEX('Final allowances'!$F$5:$H$22,MATCH(F_interface!$A21,'Final allowances'!$B$5:$B$22,0),MATCH(F_interface!$D21,'Final allowances'!$F$5:$H$5,0))/5,0)</f>
        <v>23.085455266064066</v>
      </c>
      <c r="K21" s="46">
        <f>_xlfn.IFNA(INDEX('Final allowances'!$F$5:$H$22,MATCH(F_interface!$A21,'Final allowances'!$B$5:$B$22,0),MATCH(F_interface!$D21,'Final allowances'!$F$5:$H$5,0))/5,0)</f>
        <v>23.085455266064066</v>
      </c>
      <c r="L21" s="46">
        <f>_xlfn.IFNA(INDEX('Final allowances'!$F$5:$H$22,MATCH(F_interface!$A21,'Final allowances'!$B$5:$B$22,0),MATCH(F_interface!$D21,'Final allowances'!$F$5:$H$5,0))/5,0)</f>
        <v>23.085455266064066</v>
      </c>
    </row>
    <row r="22" spans="1:12" x14ac:dyDescent="0.25">
      <c r="A22" s="12" t="s">
        <v>18</v>
      </c>
      <c r="B22" s="13" t="s">
        <v>126</v>
      </c>
      <c r="C22" s="12" t="str">
        <f t="shared" si="0"/>
        <v>SSCC_WR_PR19CA004</v>
      </c>
      <c r="D22" s="4" t="s">
        <v>123</v>
      </c>
      <c r="E22" s="13" t="s">
        <v>64</v>
      </c>
      <c r="F22" s="76" t="s">
        <v>2</v>
      </c>
      <c r="G22" s="13" t="s">
        <v>59</v>
      </c>
      <c r="H22" s="46">
        <f>_xlfn.IFNA(INDEX('Final allowances'!$F$5:$H$22,MATCH(F_interface!$A22,'Final allowances'!$B$5:$B$22,0),MATCH(F_interface!$D22,'Final allowances'!$F$5:$H$5,0))/5,0)</f>
        <v>9.9179248916196876</v>
      </c>
      <c r="I22" s="46">
        <f>_xlfn.IFNA(INDEX('Final allowances'!$F$5:$H$22,MATCH(F_interface!$A22,'Final allowances'!$B$5:$B$22,0),MATCH(F_interface!$D22,'Final allowances'!$F$5:$H$5,0))/5,0)</f>
        <v>9.9179248916196876</v>
      </c>
      <c r="J22" s="46">
        <f>_xlfn.IFNA(INDEX('Final allowances'!$F$5:$H$22,MATCH(F_interface!$A22,'Final allowances'!$B$5:$B$22,0),MATCH(F_interface!$D22,'Final allowances'!$F$5:$H$5,0))/5,0)</f>
        <v>9.9179248916196876</v>
      </c>
      <c r="K22" s="46">
        <f>_xlfn.IFNA(INDEX('Final allowances'!$F$5:$H$22,MATCH(F_interface!$A22,'Final allowances'!$B$5:$B$22,0),MATCH(F_interface!$D22,'Final allowances'!$F$5:$H$5,0))/5,0)</f>
        <v>9.9179248916196876</v>
      </c>
      <c r="L22" s="46">
        <f>_xlfn.IFNA(INDEX('Final allowances'!$F$5:$H$22,MATCH(F_interface!$A22,'Final allowances'!$B$5:$B$22,0),MATCH(F_interface!$D22,'Final allowances'!$F$5:$H$5,0))/5,0)</f>
        <v>9.9179248916196876</v>
      </c>
    </row>
    <row r="23" spans="1:12" x14ac:dyDescent="0.25">
      <c r="A23" s="12" t="s">
        <v>4</v>
      </c>
      <c r="B23" s="13" t="s">
        <v>127</v>
      </c>
      <c r="C23" s="12" t="str">
        <f t="shared" si="0"/>
        <v>ANHC_NPW_PR19CA004</v>
      </c>
      <c r="D23" s="4" t="s">
        <v>374</v>
      </c>
      <c r="E23" s="13" t="s">
        <v>65</v>
      </c>
      <c r="F23" s="76" t="s">
        <v>2</v>
      </c>
      <c r="G23" s="13" t="s">
        <v>59</v>
      </c>
      <c r="H23" s="46">
        <f>_xlfn.IFNA(INDEX('Final allowances'!$F$5:$H$22,MATCH(F_interface!$A23,'Final allowances'!$B$5:$B$22,0),MATCH(F_interface!$D23,'Final allowances'!$F$5:$H$5,0))/5,0)</f>
        <v>362.08265701553847</v>
      </c>
      <c r="I23" s="46">
        <f>_xlfn.IFNA(INDEX('Final allowances'!$F$5:$H$22,MATCH(F_interface!$A23,'Final allowances'!$B$5:$B$22,0),MATCH(F_interface!$D23,'Final allowances'!$F$5:$H$5,0))/5,0)</f>
        <v>362.08265701553847</v>
      </c>
      <c r="J23" s="46">
        <f>_xlfn.IFNA(INDEX('Final allowances'!$F$5:$H$22,MATCH(F_interface!$A23,'Final allowances'!$B$5:$B$22,0),MATCH(F_interface!$D23,'Final allowances'!$F$5:$H$5,0))/5,0)</f>
        <v>362.08265701553847</v>
      </c>
      <c r="K23" s="46">
        <f>_xlfn.IFNA(INDEX('Final allowances'!$F$5:$H$22,MATCH(F_interface!$A23,'Final allowances'!$B$5:$B$22,0),MATCH(F_interface!$D23,'Final allowances'!$F$5:$H$5,0))/5,0)</f>
        <v>362.08265701553847</v>
      </c>
      <c r="L23" s="46">
        <f>_xlfn.IFNA(INDEX('Final allowances'!$F$5:$H$22,MATCH(F_interface!$A23,'Final allowances'!$B$5:$B$22,0),MATCH(F_interface!$D23,'Final allowances'!$F$5:$H$5,0))/5,0)</f>
        <v>362.08265701553847</v>
      </c>
    </row>
    <row r="24" spans="1:12" x14ac:dyDescent="0.25">
      <c r="A24" s="12" t="s">
        <v>90</v>
      </c>
      <c r="B24" s="13" t="s">
        <v>127</v>
      </c>
      <c r="C24" s="12" t="str">
        <f t="shared" si="0"/>
        <v>HDDC_NPW_PR19CA004</v>
      </c>
      <c r="D24" s="4" t="s">
        <v>374</v>
      </c>
      <c r="E24" s="13" t="s">
        <v>65</v>
      </c>
      <c r="F24" s="76" t="s">
        <v>2</v>
      </c>
      <c r="G24" s="13" t="s">
        <v>59</v>
      </c>
      <c r="H24" s="46">
        <f>_xlfn.IFNA(INDEX('Final allowances'!$F$5:$H$22,MATCH(F_interface!$A24,'Final allowances'!$B$5:$B$22,0),MATCH(F_interface!$D24,'Final allowances'!$F$5:$H$5,0))/5,0)</f>
        <v>20.588104822041185</v>
      </c>
      <c r="I24" s="46">
        <f>_xlfn.IFNA(INDEX('Final allowances'!$F$5:$H$22,MATCH(F_interface!$A24,'Final allowances'!$B$5:$B$22,0),MATCH(F_interface!$D24,'Final allowances'!$F$5:$H$5,0))/5,0)</f>
        <v>20.588104822041185</v>
      </c>
      <c r="J24" s="46">
        <f>_xlfn.IFNA(INDEX('Final allowances'!$F$5:$H$22,MATCH(F_interface!$A24,'Final allowances'!$B$5:$B$22,0),MATCH(F_interface!$D24,'Final allowances'!$F$5:$H$5,0))/5,0)</f>
        <v>20.588104822041185</v>
      </c>
      <c r="K24" s="46">
        <f>_xlfn.IFNA(INDEX('Final allowances'!$F$5:$H$22,MATCH(F_interface!$A24,'Final allowances'!$B$5:$B$22,0),MATCH(F_interface!$D24,'Final allowances'!$F$5:$H$5,0))/5,0)</f>
        <v>20.588104822041185</v>
      </c>
      <c r="L24" s="46">
        <f>_xlfn.IFNA(INDEX('Final allowances'!$F$5:$H$22,MATCH(F_interface!$A24,'Final allowances'!$B$5:$B$22,0),MATCH(F_interface!$D24,'Final allowances'!$F$5:$H$5,0))/5,0)</f>
        <v>20.588104822041185</v>
      </c>
    </row>
    <row r="25" spans="1:12" x14ac:dyDescent="0.25">
      <c r="A25" s="12" t="s">
        <v>5</v>
      </c>
      <c r="B25" s="13" t="s">
        <v>127</v>
      </c>
      <c r="C25" s="12" t="str">
        <f t="shared" si="0"/>
        <v>NESC_NPW_PR19CA004</v>
      </c>
      <c r="D25" s="4" t="s">
        <v>374</v>
      </c>
      <c r="E25" s="13" t="s">
        <v>65</v>
      </c>
      <c r="F25" s="76" t="s">
        <v>2</v>
      </c>
      <c r="G25" s="13" t="s">
        <v>59</v>
      </c>
      <c r="H25" s="46">
        <f>_xlfn.IFNA(INDEX('Final allowances'!$F$5:$H$22,MATCH(F_interface!$A25,'Final allowances'!$B$5:$B$22,0),MATCH(F_interface!$D25,'Final allowances'!$F$5:$H$5,0))/5,0)</f>
        <v>269.92826655636276</v>
      </c>
      <c r="I25" s="46">
        <f>_xlfn.IFNA(INDEX('Final allowances'!$F$5:$H$22,MATCH(F_interface!$A25,'Final allowances'!$B$5:$B$22,0),MATCH(F_interface!$D25,'Final allowances'!$F$5:$H$5,0))/5,0)</f>
        <v>269.92826655636276</v>
      </c>
      <c r="J25" s="46">
        <f>_xlfn.IFNA(INDEX('Final allowances'!$F$5:$H$22,MATCH(F_interface!$A25,'Final allowances'!$B$5:$B$22,0),MATCH(F_interface!$D25,'Final allowances'!$F$5:$H$5,0))/5,0)</f>
        <v>269.92826655636276</v>
      </c>
      <c r="K25" s="46">
        <f>_xlfn.IFNA(INDEX('Final allowances'!$F$5:$H$22,MATCH(F_interface!$A25,'Final allowances'!$B$5:$B$22,0),MATCH(F_interface!$D25,'Final allowances'!$F$5:$H$5,0))/5,0)</f>
        <v>269.92826655636276</v>
      </c>
      <c r="L25" s="46">
        <f>_xlfn.IFNA(INDEX('Final allowances'!$F$5:$H$22,MATCH(F_interface!$A25,'Final allowances'!$B$5:$B$22,0),MATCH(F_interface!$D25,'Final allowances'!$F$5:$H$5,0))/5,0)</f>
        <v>269.92826655636276</v>
      </c>
    </row>
    <row r="26" spans="1:12" x14ac:dyDescent="0.25">
      <c r="A26" s="12" t="s">
        <v>6</v>
      </c>
      <c r="B26" s="13" t="s">
        <v>127</v>
      </c>
      <c r="C26" s="12" t="str">
        <f t="shared" si="0"/>
        <v>NWTC_NPW_PR19CA004</v>
      </c>
      <c r="D26" s="4" t="s">
        <v>374</v>
      </c>
      <c r="E26" s="13" t="s">
        <v>65</v>
      </c>
      <c r="F26" s="76" t="s">
        <v>2</v>
      </c>
      <c r="G26" s="13" t="s">
        <v>59</v>
      </c>
      <c r="H26" s="46">
        <f>_xlfn.IFNA(INDEX('Final allowances'!$F$5:$H$22,MATCH(F_interface!$A26,'Final allowances'!$B$5:$B$22,0),MATCH(F_interface!$D26,'Final allowances'!$F$5:$H$5,0))/5,0)</f>
        <v>423.26895774499678</v>
      </c>
      <c r="I26" s="46">
        <f>_xlfn.IFNA(INDEX('Final allowances'!$F$5:$H$22,MATCH(F_interface!$A26,'Final allowances'!$B$5:$B$22,0),MATCH(F_interface!$D26,'Final allowances'!$F$5:$H$5,0))/5,0)</f>
        <v>423.26895774499678</v>
      </c>
      <c r="J26" s="46">
        <f>_xlfn.IFNA(INDEX('Final allowances'!$F$5:$H$22,MATCH(F_interface!$A26,'Final allowances'!$B$5:$B$22,0),MATCH(F_interface!$D26,'Final allowances'!$F$5:$H$5,0))/5,0)</f>
        <v>423.26895774499678</v>
      </c>
      <c r="K26" s="46">
        <f>_xlfn.IFNA(INDEX('Final allowances'!$F$5:$H$22,MATCH(F_interface!$A26,'Final allowances'!$B$5:$B$22,0),MATCH(F_interface!$D26,'Final allowances'!$F$5:$H$5,0))/5,0)</f>
        <v>423.26895774499678</v>
      </c>
      <c r="L26" s="46">
        <f>_xlfn.IFNA(INDEX('Final allowances'!$F$5:$H$22,MATCH(F_interface!$A26,'Final allowances'!$B$5:$B$22,0),MATCH(F_interface!$D26,'Final allowances'!$F$5:$H$5,0))/5,0)</f>
        <v>423.26895774499678</v>
      </c>
    </row>
    <row r="27" spans="1:12" x14ac:dyDescent="0.25">
      <c r="A27" s="12" t="s">
        <v>7</v>
      </c>
      <c r="B27" s="13" t="s">
        <v>127</v>
      </c>
      <c r="C27" s="12" t="str">
        <f t="shared" si="0"/>
        <v>SRNC_NPW_PR19CA004</v>
      </c>
      <c r="D27" s="4" t="s">
        <v>374</v>
      </c>
      <c r="E27" s="13" t="s">
        <v>65</v>
      </c>
      <c r="F27" s="76" t="s">
        <v>2</v>
      </c>
      <c r="G27" s="13" t="s">
        <v>59</v>
      </c>
      <c r="H27" s="46">
        <f>_xlfn.IFNA(INDEX('Final allowances'!$F$5:$H$22,MATCH(F_interface!$A27,'Final allowances'!$B$5:$B$22,0),MATCH(F_interface!$D27,'Final allowances'!$F$5:$H$5,0))/5,0)</f>
        <v>180.11858298939214</v>
      </c>
      <c r="I27" s="46">
        <f>_xlfn.IFNA(INDEX('Final allowances'!$F$5:$H$22,MATCH(F_interface!$A27,'Final allowances'!$B$5:$B$22,0),MATCH(F_interface!$D27,'Final allowances'!$F$5:$H$5,0))/5,0)</f>
        <v>180.11858298939214</v>
      </c>
      <c r="J27" s="46">
        <f>_xlfn.IFNA(INDEX('Final allowances'!$F$5:$H$22,MATCH(F_interface!$A27,'Final allowances'!$B$5:$B$22,0),MATCH(F_interface!$D27,'Final allowances'!$F$5:$H$5,0))/5,0)</f>
        <v>180.11858298939214</v>
      </c>
      <c r="K27" s="46">
        <f>_xlfn.IFNA(INDEX('Final allowances'!$F$5:$H$22,MATCH(F_interface!$A27,'Final allowances'!$B$5:$B$22,0),MATCH(F_interface!$D27,'Final allowances'!$F$5:$H$5,0))/5,0)</f>
        <v>180.11858298939214</v>
      </c>
      <c r="L27" s="46">
        <f>_xlfn.IFNA(INDEX('Final allowances'!$F$5:$H$22,MATCH(F_interface!$A27,'Final allowances'!$B$5:$B$22,0),MATCH(F_interface!$D27,'Final allowances'!$F$5:$H$5,0))/5,0)</f>
        <v>180.11858298939214</v>
      </c>
    </row>
    <row r="28" spans="1:12" x14ac:dyDescent="0.25">
      <c r="A28" s="12" t="s">
        <v>89</v>
      </c>
      <c r="B28" s="13" t="s">
        <v>127</v>
      </c>
      <c r="C28" s="12" t="str">
        <f t="shared" si="0"/>
        <v>SVEC_NPW_PR19CA004</v>
      </c>
      <c r="D28" s="4" t="s">
        <v>374</v>
      </c>
      <c r="E28" s="13" t="s">
        <v>65</v>
      </c>
      <c r="F28" s="76" t="s">
        <v>2</v>
      </c>
      <c r="G28" s="13" t="s">
        <v>59</v>
      </c>
      <c r="H28" s="46">
        <f>_xlfn.IFNA(INDEX('Final allowances'!$F$5:$H$22,MATCH(F_interface!$A28,'Final allowances'!$B$5:$B$22,0),MATCH(F_interface!$D28,'Final allowances'!$F$5:$H$5,0))/5,0)</f>
        <v>502.62926542982723</v>
      </c>
      <c r="I28" s="46">
        <f>_xlfn.IFNA(INDEX('Final allowances'!$F$5:$H$22,MATCH(F_interface!$A28,'Final allowances'!$B$5:$B$22,0),MATCH(F_interface!$D28,'Final allowances'!$F$5:$H$5,0))/5,0)</f>
        <v>502.62926542982723</v>
      </c>
      <c r="J28" s="46">
        <f>_xlfn.IFNA(INDEX('Final allowances'!$F$5:$H$22,MATCH(F_interface!$A28,'Final allowances'!$B$5:$B$22,0),MATCH(F_interface!$D28,'Final allowances'!$F$5:$H$5,0))/5,0)</f>
        <v>502.62926542982723</v>
      </c>
      <c r="K28" s="46">
        <f>_xlfn.IFNA(INDEX('Final allowances'!$F$5:$H$22,MATCH(F_interface!$A28,'Final allowances'!$B$5:$B$22,0),MATCH(F_interface!$D28,'Final allowances'!$F$5:$H$5,0))/5,0)</f>
        <v>502.62926542982723</v>
      </c>
      <c r="L28" s="46">
        <f>_xlfn.IFNA(INDEX('Final allowances'!$F$5:$H$22,MATCH(F_interface!$A28,'Final allowances'!$B$5:$B$22,0),MATCH(F_interface!$D28,'Final allowances'!$F$5:$H$5,0))/5,0)</f>
        <v>502.62926542982723</v>
      </c>
    </row>
    <row r="29" spans="1:12" x14ac:dyDescent="0.25">
      <c r="A29" s="12" t="s">
        <v>93</v>
      </c>
      <c r="B29" s="13" t="s">
        <v>127</v>
      </c>
      <c r="C29" s="12" t="str">
        <f t="shared" si="0"/>
        <v>SVHC_NPW_PR19CA004</v>
      </c>
      <c r="D29" s="4" t="s">
        <v>374</v>
      </c>
      <c r="E29" s="13" t="s">
        <v>65</v>
      </c>
      <c r="F29" s="76" t="s">
        <v>2</v>
      </c>
      <c r="G29" s="13" t="s">
        <v>59</v>
      </c>
      <c r="H29" s="46">
        <f>_xlfn.IFNA(INDEX('Final allowances'!$F$5:$H$22,MATCH(F_interface!$A29,'Final allowances'!$B$5:$B$22,0),MATCH(F_interface!$D29,'Final allowances'!$F$5:$H$5,0))/5,0)</f>
        <v>0</v>
      </c>
      <c r="I29" s="46">
        <f>_xlfn.IFNA(INDEX('Final allowances'!$F$5:$H$22,MATCH(F_interface!$A29,'Final allowances'!$B$5:$B$22,0),MATCH(F_interface!$D29,'Final allowances'!$F$5:$H$5,0))/5,0)</f>
        <v>0</v>
      </c>
      <c r="J29" s="46">
        <f>_xlfn.IFNA(INDEX('Final allowances'!$F$5:$H$22,MATCH(F_interface!$A29,'Final allowances'!$B$5:$B$22,0),MATCH(F_interface!$D29,'Final allowances'!$F$5:$H$5,0))/5,0)</f>
        <v>0</v>
      </c>
      <c r="K29" s="46">
        <f>_xlfn.IFNA(INDEX('Final allowances'!$F$5:$H$22,MATCH(F_interface!$A29,'Final allowances'!$B$5:$B$22,0),MATCH(F_interface!$D29,'Final allowances'!$F$5:$H$5,0))/5,0)</f>
        <v>0</v>
      </c>
      <c r="L29" s="46">
        <f>_xlfn.IFNA(INDEX('Final allowances'!$F$5:$H$22,MATCH(F_interface!$A29,'Final allowances'!$B$5:$B$22,0),MATCH(F_interface!$D29,'Final allowances'!$F$5:$H$5,0))/5,0)</f>
        <v>0</v>
      </c>
    </row>
    <row r="30" spans="1:12" x14ac:dyDescent="0.25">
      <c r="A30" s="12" t="s">
        <v>8</v>
      </c>
      <c r="B30" s="13" t="s">
        <v>127</v>
      </c>
      <c r="C30" s="12" t="str">
        <f t="shared" si="0"/>
        <v>SVTC_NPW_PR19CA004</v>
      </c>
      <c r="D30" s="4" t="s">
        <v>374</v>
      </c>
      <c r="E30" s="13" t="s">
        <v>65</v>
      </c>
      <c r="F30" s="76" t="s">
        <v>2</v>
      </c>
      <c r="G30" s="13" t="s">
        <v>59</v>
      </c>
      <c r="H30" s="46">
        <f>_xlfn.IFNA(INDEX('Final allowances'!$F$5:$H$22,MATCH(F_interface!$A30,'Final allowances'!$B$5:$B$22,0),MATCH(F_interface!$D30,'Final allowances'!$F$5:$H$5,0))/5,0)</f>
        <v>0</v>
      </c>
      <c r="I30" s="46">
        <f>_xlfn.IFNA(INDEX('Final allowances'!$F$5:$H$22,MATCH(F_interface!$A30,'Final allowances'!$B$5:$B$22,0),MATCH(F_interface!$D30,'Final allowances'!$F$5:$H$5,0))/5,0)</f>
        <v>0</v>
      </c>
      <c r="J30" s="46">
        <f>_xlfn.IFNA(INDEX('Final allowances'!$F$5:$H$22,MATCH(F_interface!$A30,'Final allowances'!$B$5:$B$22,0),MATCH(F_interface!$D30,'Final allowances'!$F$5:$H$5,0))/5,0)</f>
        <v>0</v>
      </c>
      <c r="K30" s="46">
        <f>_xlfn.IFNA(INDEX('Final allowances'!$F$5:$H$22,MATCH(F_interface!$A30,'Final allowances'!$B$5:$B$22,0),MATCH(F_interface!$D30,'Final allowances'!$F$5:$H$5,0))/5,0)</f>
        <v>0</v>
      </c>
      <c r="L30" s="46">
        <f>_xlfn.IFNA(INDEX('Final allowances'!$F$5:$H$22,MATCH(F_interface!$A30,'Final allowances'!$B$5:$B$22,0),MATCH(F_interface!$D30,'Final allowances'!$F$5:$H$5,0))/5,0)</f>
        <v>0</v>
      </c>
    </row>
    <row r="31" spans="1:12" x14ac:dyDescent="0.25">
      <c r="A31" s="12" t="s">
        <v>19</v>
      </c>
      <c r="B31" s="13" t="s">
        <v>127</v>
      </c>
      <c r="C31" s="12" t="str">
        <f t="shared" si="0"/>
        <v>SWBC_NPW_PR19CA004</v>
      </c>
      <c r="D31" s="4" t="s">
        <v>374</v>
      </c>
      <c r="E31" s="13" t="s">
        <v>65</v>
      </c>
      <c r="F31" s="76" t="s">
        <v>2</v>
      </c>
      <c r="G31" s="13" t="s">
        <v>59</v>
      </c>
      <c r="H31" s="46">
        <f>_xlfn.IFNA(INDEX('Final allowances'!$F$5:$H$22,MATCH(F_interface!$A31,'Final allowances'!$B$5:$B$22,0),MATCH(F_interface!$D31,'Final allowances'!$F$5:$H$5,0))/5,0)</f>
        <v>162.59998069916824</v>
      </c>
      <c r="I31" s="46">
        <f>_xlfn.IFNA(INDEX('Final allowances'!$F$5:$H$22,MATCH(F_interface!$A31,'Final allowances'!$B$5:$B$22,0),MATCH(F_interface!$D31,'Final allowances'!$F$5:$H$5,0))/5,0)</f>
        <v>162.59998069916824</v>
      </c>
      <c r="J31" s="46">
        <f>_xlfn.IFNA(INDEX('Final allowances'!$F$5:$H$22,MATCH(F_interface!$A31,'Final allowances'!$B$5:$B$22,0),MATCH(F_interface!$D31,'Final allowances'!$F$5:$H$5,0))/5,0)</f>
        <v>162.59998069916824</v>
      </c>
      <c r="K31" s="46">
        <f>_xlfn.IFNA(INDEX('Final allowances'!$F$5:$H$22,MATCH(F_interface!$A31,'Final allowances'!$B$5:$B$22,0),MATCH(F_interface!$D31,'Final allowances'!$F$5:$H$5,0))/5,0)</f>
        <v>162.59998069916824</v>
      </c>
      <c r="L31" s="46">
        <f>_xlfn.IFNA(INDEX('Final allowances'!$F$5:$H$22,MATCH(F_interface!$A31,'Final allowances'!$B$5:$B$22,0),MATCH(F_interface!$D31,'Final allowances'!$F$5:$H$5,0))/5,0)</f>
        <v>162.59998069916824</v>
      </c>
    </row>
    <row r="32" spans="1:12" x14ac:dyDescent="0.25">
      <c r="A32" s="12" t="s">
        <v>9</v>
      </c>
      <c r="B32" s="13" t="s">
        <v>127</v>
      </c>
      <c r="C32" s="12" t="str">
        <f t="shared" si="0"/>
        <v>TMSC_NPW_PR19CA004</v>
      </c>
      <c r="D32" s="4" t="s">
        <v>374</v>
      </c>
      <c r="E32" s="13" t="s">
        <v>65</v>
      </c>
      <c r="F32" s="76" t="s">
        <v>2</v>
      </c>
      <c r="G32" s="13" t="s">
        <v>59</v>
      </c>
      <c r="H32" s="46">
        <f>_xlfn.IFNA(INDEX('Final allowances'!$F$5:$H$22,MATCH(F_interface!$A32,'Final allowances'!$B$5:$B$22,0),MATCH(F_interface!$D32,'Final allowances'!$F$5:$H$5,0))/5,0)</f>
        <v>736.17593131509705</v>
      </c>
      <c r="I32" s="46">
        <f>_xlfn.IFNA(INDEX('Final allowances'!$F$5:$H$22,MATCH(F_interface!$A32,'Final allowances'!$B$5:$B$22,0),MATCH(F_interface!$D32,'Final allowances'!$F$5:$H$5,0))/5,0)</f>
        <v>736.17593131509705</v>
      </c>
      <c r="J32" s="46">
        <f>_xlfn.IFNA(INDEX('Final allowances'!$F$5:$H$22,MATCH(F_interface!$A32,'Final allowances'!$B$5:$B$22,0),MATCH(F_interface!$D32,'Final allowances'!$F$5:$H$5,0))/5,0)</f>
        <v>736.17593131509705</v>
      </c>
      <c r="K32" s="46">
        <f>_xlfn.IFNA(INDEX('Final allowances'!$F$5:$H$22,MATCH(F_interface!$A32,'Final allowances'!$B$5:$B$22,0),MATCH(F_interface!$D32,'Final allowances'!$F$5:$H$5,0))/5,0)</f>
        <v>736.17593131509705</v>
      </c>
      <c r="L32" s="46">
        <f>_xlfn.IFNA(INDEX('Final allowances'!$F$5:$H$22,MATCH(F_interface!$A32,'Final allowances'!$B$5:$B$22,0),MATCH(F_interface!$D32,'Final allowances'!$F$5:$H$5,0))/5,0)</f>
        <v>736.17593131509705</v>
      </c>
    </row>
    <row r="33" spans="1:12" x14ac:dyDescent="0.25">
      <c r="A33" s="12" t="s">
        <v>23</v>
      </c>
      <c r="B33" s="13" t="s">
        <v>127</v>
      </c>
      <c r="C33" s="12" t="str">
        <f t="shared" si="0"/>
        <v>WSHC_NPW_PR19CA004</v>
      </c>
      <c r="D33" s="4" t="s">
        <v>374</v>
      </c>
      <c r="E33" s="13" t="s">
        <v>65</v>
      </c>
      <c r="F33" s="76" t="s">
        <v>2</v>
      </c>
      <c r="G33" s="13" t="s">
        <v>59</v>
      </c>
      <c r="H33" s="46">
        <f>_xlfn.IFNA(INDEX('Final allowances'!$F$5:$H$22,MATCH(F_interface!$A33,'Final allowances'!$B$5:$B$22,0),MATCH(F_interface!$D33,'Final allowances'!$F$5:$H$5,0))/5,0)</f>
        <v>210.36269703325451</v>
      </c>
      <c r="I33" s="46">
        <f>_xlfn.IFNA(INDEX('Final allowances'!$F$5:$H$22,MATCH(F_interface!$A33,'Final allowances'!$B$5:$B$22,0),MATCH(F_interface!$D33,'Final allowances'!$F$5:$H$5,0))/5,0)</f>
        <v>210.36269703325451</v>
      </c>
      <c r="J33" s="46">
        <f>_xlfn.IFNA(INDEX('Final allowances'!$F$5:$H$22,MATCH(F_interface!$A33,'Final allowances'!$B$5:$B$22,0),MATCH(F_interface!$D33,'Final allowances'!$F$5:$H$5,0))/5,0)</f>
        <v>210.36269703325451</v>
      </c>
      <c r="K33" s="46">
        <f>_xlfn.IFNA(INDEX('Final allowances'!$F$5:$H$22,MATCH(F_interface!$A33,'Final allowances'!$B$5:$B$22,0),MATCH(F_interface!$D33,'Final allowances'!$F$5:$H$5,0))/5,0)</f>
        <v>210.36269703325451</v>
      </c>
      <c r="L33" s="46">
        <f>_xlfn.IFNA(INDEX('Final allowances'!$F$5:$H$22,MATCH(F_interface!$A33,'Final allowances'!$B$5:$B$22,0),MATCH(F_interface!$D33,'Final allowances'!$F$5:$H$5,0))/5,0)</f>
        <v>210.36269703325451</v>
      </c>
    </row>
    <row r="34" spans="1:12" x14ac:dyDescent="0.25">
      <c r="A34" s="12" t="s">
        <v>10</v>
      </c>
      <c r="B34" s="13" t="s">
        <v>127</v>
      </c>
      <c r="C34" s="12" t="str">
        <f t="shared" si="0"/>
        <v>WSXC_NPW_PR19CA004</v>
      </c>
      <c r="D34" s="4" t="s">
        <v>374</v>
      </c>
      <c r="E34" s="13" t="s">
        <v>65</v>
      </c>
      <c r="F34" s="76" t="s">
        <v>2</v>
      </c>
      <c r="G34" s="13" t="s">
        <v>59</v>
      </c>
      <c r="H34" s="46">
        <f>_xlfn.IFNA(INDEX('Final allowances'!$F$5:$H$22,MATCH(F_interface!$A34,'Final allowances'!$B$5:$B$22,0),MATCH(F_interface!$D34,'Final allowances'!$F$5:$H$5,0))/5,0)</f>
        <v>105.58535138287102</v>
      </c>
      <c r="I34" s="46">
        <f>_xlfn.IFNA(INDEX('Final allowances'!$F$5:$H$22,MATCH(F_interface!$A34,'Final allowances'!$B$5:$B$22,0),MATCH(F_interface!$D34,'Final allowances'!$F$5:$H$5,0))/5,0)</f>
        <v>105.58535138287102</v>
      </c>
      <c r="J34" s="46">
        <f>_xlfn.IFNA(INDEX('Final allowances'!$F$5:$H$22,MATCH(F_interface!$A34,'Final allowances'!$B$5:$B$22,0),MATCH(F_interface!$D34,'Final allowances'!$F$5:$H$5,0))/5,0)</f>
        <v>105.58535138287102</v>
      </c>
      <c r="K34" s="46">
        <f>_xlfn.IFNA(INDEX('Final allowances'!$F$5:$H$22,MATCH(F_interface!$A34,'Final allowances'!$B$5:$B$22,0),MATCH(F_interface!$D34,'Final allowances'!$F$5:$H$5,0))/5,0)</f>
        <v>105.58535138287102</v>
      </c>
      <c r="L34" s="46">
        <f>_xlfn.IFNA(INDEX('Final allowances'!$F$5:$H$22,MATCH(F_interface!$A34,'Final allowances'!$B$5:$B$22,0),MATCH(F_interface!$D34,'Final allowances'!$F$5:$H$5,0))/5,0)</f>
        <v>105.58535138287102</v>
      </c>
    </row>
    <row r="35" spans="1:12" x14ac:dyDescent="0.25">
      <c r="A35" s="12" t="s">
        <v>11</v>
      </c>
      <c r="B35" s="13" t="s">
        <v>127</v>
      </c>
      <c r="C35" s="12" t="str">
        <f t="shared" si="0"/>
        <v>YKYC_NPW_PR19CA004</v>
      </c>
      <c r="D35" s="4" t="s">
        <v>374</v>
      </c>
      <c r="E35" s="13" t="s">
        <v>65</v>
      </c>
      <c r="F35" s="76" t="s">
        <v>2</v>
      </c>
      <c r="G35" s="13" t="s">
        <v>59</v>
      </c>
      <c r="H35" s="46">
        <f>_xlfn.IFNA(INDEX('Final allowances'!$F$5:$H$22,MATCH(F_interface!$A35,'Final allowances'!$B$5:$B$22,0),MATCH(F_interface!$D35,'Final allowances'!$F$5:$H$5,0))/5,0)</f>
        <v>287.26578673971142</v>
      </c>
      <c r="I35" s="46">
        <f>_xlfn.IFNA(INDEX('Final allowances'!$F$5:$H$22,MATCH(F_interface!$A35,'Final allowances'!$B$5:$B$22,0),MATCH(F_interface!$D35,'Final allowances'!$F$5:$H$5,0))/5,0)</f>
        <v>287.26578673971142</v>
      </c>
      <c r="J35" s="46">
        <f>_xlfn.IFNA(INDEX('Final allowances'!$F$5:$H$22,MATCH(F_interface!$A35,'Final allowances'!$B$5:$B$22,0),MATCH(F_interface!$D35,'Final allowances'!$F$5:$H$5,0))/5,0)</f>
        <v>287.26578673971142</v>
      </c>
      <c r="K35" s="46">
        <f>_xlfn.IFNA(INDEX('Final allowances'!$F$5:$H$22,MATCH(F_interface!$A35,'Final allowances'!$B$5:$B$22,0),MATCH(F_interface!$D35,'Final allowances'!$F$5:$H$5,0))/5,0)</f>
        <v>287.26578673971142</v>
      </c>
      <c r="L35" s="46">
        <f>_xlfn.IFNA(INDEX('Final allowances'!$F$5:$H$22,MATCH(F_interface!$A35,'Final allowances'!$B$5:$B$22,0),MATCH(F_interface!$D35,'Final allowances'!$F$5:$H$5,0))/5,0)</f>
        <v>287.26578673971142</v>
      </c>
    </row>
    <row r="36" spans="1:12" x14ac:dyDescent="0.25">
      <c r="A36" s="12" t="s">
        <v>12</v>
      </c>
      <c r="B36" s="13" t="s">
        <v>127</v>
      </c>
      <c r="C36" s="12" t="str">
        <f t="shared" si="0"/>
        <v>AFWC_NPW_PR19CA004</v>
      </c>
      <c r="D36" s="4" t="s">
        <v>374</v>
      </c>
      <c r="E36" s="13" t="s">
        <v>65</v>
      </c>
      <c r="F36" s="76" t="s">
        <v>2</v>
      </c>
      <c r="G36" s="13" t="s">
        <v>59</v>
      </c>
      <c r="H36" s="46">
        <f>_xlfn.IFNA(INDEX('Final allowances'!$F$5:$H$22,MATCH(F_interface!$A36,'Final allowances'!$B$5:$B$22,0),MATCH(F_interface!$D36,'Final allowances'!$F$5:$H$5,0))/5,0)</f>
        <v>215.3604427790836</v>
      </c>
      <c r="I36" s="46">
        <f>_xlfn.IFNA(INDEX('Final allowances'!$F$5:$H$22,MATCH(F_interface!$A36,'Final allowances'!$B$5:$B$22,0),MATCH(F_interface!$D36,'Final allowances'!$F$5:$H$5,0))/5,0)</f>
        <v>215.3604427790836</v>
      </c>
      <c r="J36" s="46">
        <f>_xlfn.IFNA(INDEX('Final allowances'!$F$5:$H$22,MATCH(F_interface!$A36,'Final allowances'!$B$5:$B$22,0),MATCH(F_interface!$D36,'Final allowances'!$F$5:$H$5,0))/5,0)</f>
        <v>215.3604427790836</v>
      </c>
      <c r="K36" s="46">
        <f>_xlfn.IFNA(INDEX('Final allowances'!$F$5:$H$22,MATCH(F_interface!$A36,'Final allowances'!$B$5:$B$22,0),MATCH(F_interface!$D36,'Final allowances'!$F$5:$H$5,0))/5,0)</f>
        <v>215.3604427790836</v>
      </c>
      <c r="L36" s="46">
        <f>_xlfn.IFNA(INDEX('Final allowances'!$F$5:$H$22,MATCH(F_interface!$A36,'Final allowances'!$B$5:$B$22,0),MATCH(F_interface!$D36,'Final allowances'!$F$5:$H$5,0))/5,0)</f>
        <v>215.3604427790836</v>
      </c>
    </row>
    <row r="37" spans="1:12" x14ac:dyDescent="0.25">
      <c r="A37" s="12" t="s">
        <v>13</v>
      </c>
      <c r="B37" s="13" t="s">
        <v>127</v>
      </c>
      <c r="C37" s="12" t="str">
        <f t="shared" si="0"/>
        <v>BRLC_NPW_PR19CA004</v>
      </c>
      <c r="D37" s="4" t="s">
        <v>374</v>
      </c>
      <c r="E37" s="13" t="s">
        <v>65</v>
      </c>
      <c r="F37" s="76" t="s">
        <v>2</v>
      </c>
      <c r="G37" s="13" t="s">
        <v>59</v>
      </c>
      <c r="H37" s="46">
        <f>_xlfn.IFNA(INDEX('Final allowances'!$F$5:$H$22,MATCH(F_interface!$A37,'Final allowances'!$B$5:$B$22,0),MATCH(F_interface!$D37,'Final allowances'!$F$5:$H$5,0))/5,0)</f>
        <v>64.026174345875177</v>
      </c>
      <c r="I37" s="46">
        <f>_xlfn.IFNA(INDEX('Final allowances'!$F$5:$H$22,MATCH(F_interface!$A37,'Final allowances'!$B$5:$B$22,0),MATCH(F_interface!$D37,'Final allowances'!$F$5:$H$5,0))/5,0)</f>
        <v>64.026174345875177</v>
      </c>
      <c r="J37" s="46">
        <f>_xlfn.IFNA(INDEX('Final allowances'!$F$5:$H$22,MATCH(F_interface!$A37,'Final allowances'!$B$5:$B$22,0),MATCH(F_interface!$D37,'Final allowances'!$F$5:$H$5,0))/5,0)</f>
        <v>64.026174345875177</v>
      </c>
      <c r="K37" s="46">
        <f>_xlfn.IFNA(INDEX('Final allowances'!$F$5:$H$22,MATCH(F_interface!$A37,'Final allowances'!$B$5:$B$22,0),MATCH(F_interface!$D37,'Final allowances'!$F$5:$H$5,0))/5,0)</f>
        <v>64.026174345875177</v>
      </c>
      <c r="L37" s="46">
        <f>_xlfn.IFNA(INDEX('Final allowances'!$F$5:$H$22,MATCH(F_interface!$A37,'Final allowances'!$B$5:$B$22,0),MATCH(F_interface!$D37,'Final allowances'!$F$5:$H$5,0))/5,0)</f>
        <v>64.026174345875177</v>
      </c>
    </row>
    <row r="38" spans="1:12" x14ac:dyDescent="0.25">
      <c r="A38" s="12" t="s">
        <v>14</v>
      </c>
      <c r="B38" s="13" t="s">
        <v>127</v>
      </c>
      <c r="C38" s="12" t="str">
        <f t="shared" si="0"/>
        <v>DVWC_NPW_PR19CA004</v>
      </c>
      <c r="D38" s="4" t="s">
        <v>374</v>
      </c>
      <c r="E38" s="13" t="s">
        <v>65</v>
      </c>
      <c r="F38" s="76" t="s">
        <v>2</v>
      </c>
      <c r="G38" s="13" t="s">
        <v>59</v>
      </c>
      <c r="H38" s="46">
        <f>_xlfn.IFNA(INDEX('Final allowances'!$F$5:$H$22,MATCH(F_interface!$A38,'Final allowances'!$B$5:$B$22,0),MATCH(F_interface!$D38,'Final allowances'!$F$5:$H$5,0))/5,0)</f>
        <v>0</v>
      </c>
      <c r="I38" s="46">
        <f>_xlfn.IFNA(INDEX('Final allowances'!$F$5:$H$22,MATCH(F_interface!$A38,'Final allowances'!$B$5:$B$22,0),MATCH(F_interface!$D38,'Final allowances'!$F$5:$H$5,0))/5,0)</f>
        <v>0</v>
      </c>
      <c r="J38" s="46">
        <f>_xlfn.IFNA(INDEX('Final allowances'!$F$5:$H$22,MATCH(F_interface!$A38,'Final allowances'!$B$5:$B$22,0),MATCH(F_interface!$D38,'Final allowances'!$F$5:$H$5,0))/5,0)</f>
        <v>0</v>
      </c>
      <c r="K38" s="46">
        <f>_xlfn.IFNA(INDEX('Final allowances'!$F$5:$H$22,MATCH(F_interface!$A38,'Final allowances'!$B$5:$B$22,0),MATCH(F_interface!$D38,'Final allowances'!$F$5:$H$5,0))/5,0)</f>
        <v>0</v>
      </c>
      <c r="L38" s="46">
        <f>_xlfn.IFNA(INDEX('Final allowances'!$F$5:$H$22,MATCH(F_interface!$A38,'Final allowances'!$B$5:$B$22,0),MATCH(F_interface!$D38,'Final allowances'!$F$5:$H$5,0))/5,0)</f>
        <v>0</v>
      </c>
    </row>
    <row r="39" spans="1:12" x14ac:dyDescent="0.25">
      <c r="A39" s="12" t="s">
        <v>15</v>
      </c>
      <c r="B39" s="13" t="s">
        <v>127</v>
      </c>
      <c r="C39" s="12" t="str">
        <f t="shared" si="0"/>
        <v>PRTC_NPW_PR19CA004</v>
      </c>
      <c r="D39" s="4" t="s">
        <v>374</v>
      </c>
      <c r="E39" s="13" t="s">
        <v>65</v>
      </c>
      <c r="F39" s="76" t="s">
        <v>2</v>
      </c>
      <c r="G39" s="13" t="s">
        <v>59</v>
      </c>
      <c r="H39" s="46">
        <f>_xlfn.IFNA(INDEX('Final allowances'!$F$5:$H$22,MATCH(F_interface!$A39,'Final allowances'!$B$5:$B$22,0),MATCH(F_interface!$D39,'Final allowances'!$F$5:$H$5,0))/5,0)</f>
        <v>30.131593318230131</v>
      </c>
      <c r="I39" s="46">
        <f>_xlfn.IFNA(INDEX('Final allowances'!$F$5:$H$22,MATCH(F_interface!$A39,'Final allowances'!$B$5:$B$22,0),MATCH(F_interface!$D39,'Final allowances'!$F$5:$H$5,0))/5,0)</f>
        <v>30.131593318230131</v>
      </c>
      <c r="J39" s="46">
        <f>_xlfn.IFNA(INDEX('Final allowances'!$F$5:$H$22,MATCH(F_interface!$A39,'Final allowances'!$B$5:$B$22,0),MATCH(F_interface!$D39,'Final allowances'!$F$5:$H$5,0))/5,0)</f>
        <v>30.131593318230131</v>
      </c>
      <c r="K39" s="46">
        <f>_xlfn.IFNA(INDEX('Final allowances'!$F$5:$H$22,MATCH(F_interface!$A39,'Final allowances'!$B$5:$B$22,0),MATCH(F_interface!$D39,'Final allowances'!$F$5:$H$5,0))/5,0)</f>
        <v>30.131593318230131</v>
      </c>
      <c r="L39" s="46">
        <f>_xlfn.IFNA(INDEX('Final allowances'!$F$5:$H$22,MATCH(F_interface!$A39,'Final allowances'!$B$5:$B$22,0),MATCH(F_interface!$D39,'Final allowances'!$F$5:$H$5,0))/5,0)</f>
        <v>30.131593318230131</v>
      </c>
    </row>
    <row r="40" spans="1:12" x14ac:dyDescent="0.25">
      <c r="A40" s="12" t="s">
        <v>16</v>
      </c>
      <c r="B40" s="13" t="s">
        <v>127</v>
      </c>
      <c r="C40" s="12" t="str">
        <f t="shared" si="0"/>
        <v>SESC_NPW_PR19CA004</v>
      </c>
      <c r="D40" s="4" t="s">
        <v>374</v>
      </c>
      <c r="E40" s="13" t="s">
        <v>65</v>
      </c>
      <c r="F40" s="76" t="s">
        <v>2</v>
      </c>
      <c r="G40" s="13" t="s">
        <v>59</v>
      </c>
      <c r="H40" s="46">
        <f>_xlfn.IFNA(INDEX('Final allowances'!$F$5:$H$22,MATCH(F_interface!$A40,'Final allowances'!$B$5:$B$22,0),MATCH(F_interface!$D40,'Final allowances'!$F$5:$H$5,0))/5,0)</f>
        <v>38.381753412912076</v>
      </c>
      <c r="I40" s="46">
        <f>_xlfn.IFNA(INDEX('Final allowances'!$F$5:$H$22,MATCH(F_interface!$A40,'Final allowances'!$B$5:$B$22,0),MATCH(F_interface!$D40,'Final allowances'!$F$5:$H$5,0))/5,0)</f>
        <v>38.381753412912076</v>
      </c>
      <c r="J40" s="46">
        <f>_xlfn.IFNA(INDEX('Final allowances'!$F$5:$H$22,MATCH(F_interface!$A40,'Final allowances'!$B$5:$B$22,0),MATCH(F_interface!$D40,'Final allowances'!$F$5:$H$5,0))/5,0)</f>
        <v>38.381753412912076</v>
      </c>
      <c r="K40" s="46">
        <f>_xlfn.IFNA(INDEX('Final allowances'!$F$5:$H$22,MATCH(F_interface!$A40,'Final allowances'!$B$5:$B$22,0),MATCH(F_interface!$D40,'Final allowances'!$F$5:$H$5,0))/5,0)</f>
        <v>38.381753412912076</v>
      </c>
      <c r="L40" s="46">
        <f>_xlfn.IFNA(INDEX('Final allowances'!$F$5:$H$22,MATCH(F_interface!$A40,'Final allowances'!$B$5:$B$22,0),MATCH(F_interface!$D40,'Final allowances'!$F$5:$H$5,0))/5,0)</f>
        <v>38.381753412912076</v>
      </c>
    </row>
    <row r="41" spans="1:12" x14ac:dyDescent="0.25">
      <c r="A41" s="12" t="s">
        <v>17</v>
      </c>
      <c r="B41" s="13" t="s">
        <v>127</v>
      </c>
      <c r="C41" s="12" t="str">
        <f t="shared" si="0"/>
        <v>SEWC_NPW_PR19CA004</v>
      </c>
      <c r="D41" s="4" t="s">
        <v>374</v>
      </c>
      <c r="E41" s="13" t="s">
        <v>65</v>
      </c>
      <c r="F41" s="76" t="s">
        <v>2</v>
      </c>
      <c r="G41" s="13" t="s">
        <v>59</v>
      </c>
      <c r="H41" s="46">
        <f>_xlfn.IFNA(INDEX('Final allowances'!$F$5:$H$22,MATCH(F_interface!$A41,'Final allowances'!$B$5:$B$22,0),MATCH(F_interface!$D41,'Final allowances'!$F$5:$H$5,0))/5,0)</f>
        <v>150.19180566093866</v>
      </c>
      <c r="I41" s="46">
        <f>_xlfn.IFNA(INDEX('Final allowances'!$F$5:$H$22,MATCH(F_interface!$A41,'Final allowances'!$B$5:$B$22,0),MATCH(F_interface!$D41,'Final allowances'!$F$5:$H$5,0))/5,0)</f>
        <v>150.19180566093866</v>
      </c>
      <c r="J41" s="46">
        <f>_xlfn.IFNA(INDEX('Final allowances'!$F$5:$H$22,MATCH(F_interface!$A41,'Final allowances'!$B$5:$B$22,0),MATCH(F_interface!$D41,'Final allowances'!$F$5:$H$5,0))/5,0)</f>
        <v>150.19180566093866</v>
      </c>
      <c r="K41" s="46">
        <f>_xlfn.IFNA(INDEX('Final allowances'!$F$5:$H$22,MATCH(F_interface!$A41,'Final allowances'!$B$5:$B$22,0),MATCH(F_interface!$D41,'Final allowances'!$F$5:$H$5,0))/5,0)</f>
        <v>150.19180566093866</v>
      </c>
      <c r="L41" s="46">
        <f>_xlfn.IFNA(INDEX('Final allowances'!$F$5:$H$22,MATCH(F_interface!$A41,'Final allowances'!$B$5:$B$22,0),MATCH(F_interface!$D41,'Final allowances'!$F$5:$H$5,0))/5,0)</f>
        <v>150.19180566093866</v>
      </c>
    </row>
    <row r="42" spans="1:12" x14ac:dyDescent="0.25">
      <c r="A42" s="12" t="s">
        <v>18</v>
      </c>
      <c r="B42" s="13" t="s">
        <v>127</v>
      </c>
      <c r="C42" s="12" t="str">
        <f t="shared" si="0"/>
        <v>SSCC_NPW_PR19CA004</v>
      </c>
      <c r="D42" s="4" t="s">
        <v>374</v>
      </c>
      <c r="E42" s="13" t="s">
        <v>65</v>
      </c>
      <c r="F42" s="76" t="s">
        <v>2</v>
      </c>
      <c r="G42" s="13" t="s">
        <v>59</v>
      </c>
      <c r="H42" s="46">
        <f>_xlfn.IFNA(INDEX('Final allowances'!$F$5:$H$22,MATCH(F_interface!$A42,'Final allowances'!$B$5:$B$22,0),MATCH(F_interface!$D42,'Final allowances'!$F$5:$H$5,0))/5,0)</f>
        <v>95.311972868900114</v>
      </c>
      <c r="I42" s="46">
        <f>_xlfn.IFNA(INDEX('Final allowances'!$F$5:$H$22,MATCH(F_interface!$A42,'Final allowances'!$B$5:$B$22,0),MATCH(F_interface!$D42,'Final allowances'!$F$5:$H$5,0))/5,0)</f>
        <v>95.311972868900114</v>
      </c>
      <c r="J42" s="46">
        <f>_xlfn.IFNA(INDEX('Final allowances'!$F$5:$H$22,MATCH(F_interface!$A42,'Final allowances'!$B$5:$B$22,0),MATCH(F_interface!$D42,'Final allowances'!$F$5:$H$5,0))/5,0)</f>
        <v>95.311972868900114</v>
      </c>
      <c r="K42" s="46">
        <f>_xlfn.IFNA(INDEX('Final allowances'!$F$5:$H$22,MATCH(F_interface!$A42,'Final allowances'!$B$5:$B$22,0),MATCH(F_interface!$D42,'Final allowances'!$F$5:$H$5,0))/5,0)</f>
        <v>95.311972868900114</v>
      </c>
      <c r="L42" s="46">
        <f>_xlfn.IFNA(INDEX('Final allowances'!$F$5:$H$22,MATCH(F_interface!$A42,'Final allowances'!$B$5:$B$22,0),MATCH(F_interface!$D42,'Final allowances'!$F$5:$H$5,0))/5,0)</f>
        <v>95.311972868900114</v>
      </c>
    </row>
    <row r="43" spans="1:12" x14ac:dyDescent="0.25">
      <c r="A43" s="12" t="s">
        <v>4</v>
      </c>
      <c r="B43" s="13" t="s">
        <v>267</v>
      </c>
      <c r="C43" s="12" t="str">
        <f t="shared" si="0"/>
        <v>ANHC_WW_PR19CA004</v>
      </c>
      <c r="D43" s="4" t="s">
        <v>112</v>
      </c>
      <c r="E43" s="13" t="s">
        <v>266</v>
      </c>
      <c r="F43" s="76" t="s">
        <v>2</v>
      </c>
      <c r="G43" s="13" t="s">
        <v>59</v>
      </c>
      <c r="H43" s="46">
        <f>_xlfn.IFNA(INDEX('Final allowances'!$F$5:$H$22,MATCH(F_interface!$A43,'Final allowances'!$B$5:$B$22,0),MATCH(F_interface!$D43,'Final allowances'!$F$5:$H$5,0))/5,0)</f>
        <v>414.94231656568388</v>
      </c>
      <c r="I43" s="46">
        <f>_xlfn.IFNA(INDEX('Final allowances'!$F$5:$H$22,MATCH(F_interface!$A43,'Final allowances'!$B$5:$B$22,0),MATCH(F_interface!$D43,'Final allowances'!$F$5:$H$5,0))/5,0)</f>
        <v>414.94231656568388</v>
      </c>
      <c r="J43" s="46">
        <f>_xlfn.IFNA(INDEX('Final allowances'!$F$5:$H$22,MATCH(F_interface!$A43,'Final allowances'!$B$5:$B$22,0),MATCH(F_interface!$D43,'Final allowances'!$F$5:$H$5,0))/5,0)</f>
        <v>414.94231656568388</v>
      </c>
      <c r="K43" s="46">
        <f>_xlfn.IFNA(INDEX('Final allowances'!$F$5:$H$22,MATCH(F_interface!$A43,'Final allowances'!$B$5:$B$22,0),MATCH(F_interface!$D43,'Final allowances'!$F$5:$H$5,0))/5,0)</f>
        <v>414.94231656568388</v>
      </c>
      <c r="L43" s="46">
        <f>_xlfn.IFNA(INDEX('Final allowances'!$F$5:$H$22,MATCH(F_interface!$A43,'Final allowances'!$B$5:$B$22,0),MATCH(F_interface!$D43,'Final allowances'!$F$5:$H$5,0))/5,0)</f>
        <v>414.94231656568388</v>
      </c>
    </row>
    <row r="44" spans="1:12" x14ac:dyDescent="0.25">
      <c r="A44" s="12" t="s">
        <v>90</v>
      </c>
      <c r="B44" s="13" t="s">
        <v>267</v>
      </c>
      <c r="C44" s="12" t="str">
        <f t="shared" si="0"/>
        <v>HDDC_WW_PR19CA004</v>
      </c>
      <c r="D44" s="4" t="s">
        <v>112</v>
      </c>
      <c r="E44" s="13" t="s">
        <v>266</v>
      </c>
      <c r="F44" s="76" t="s">
        <v>2</v>
      </c>
      <c r="G44" s="13" t="s">
        <v>59</v>
      </c>
      <c r="H44" s="46">
        <f>_xlfn.IFNA(INDEX('Final allowances'!$F$5:$H$22,MATCH(F_interface!$A44,'Final allowances'!$B$5:$B$22,0),MATCH(F_interface!$D44,'Final allowances'!$F$5:$H$5,0))/5,0)</f>
        <v>24.265993982283419</v>
      </c>
      <c r="I44" s="46">
        <f>_xlfn.IFNA(INDEX('Final allowances'!$F$5:$H$22,MATCH(F_interface!$A44,'Final allowances'!$B$5:$B$22,0),MATCH(F_interface!$D44,'Final allowances'!$F$5:$H$5,0))/5,0)</f>
        <v>24.265993982283419</v>
      </c>
      <c r="J44" s="46">
        <f>_xlfn.IFNA(INDEX('Final allowances'!$F$5:$H$22,MATCH(F_interface!$A44,'Final allowances'!$B$5:$B$22,0),MATCH(F_interface!$D44,'Final allowances'!$F$5:$H$5,0))/5,0)</f>
        <v>24.265993982283419</v>
      </c>
      <c r="K44" s="46">
        <f>_xlfn.IFNA(INDEX('Final allowances'!$F$5:$H$22,MATCH(F_interface!$A44,'Final allowances'!$B$5:$B$22,0),MATCH(F_interface!$D44,'Final allowances'!$F$5:$H$5,0))/5,0)</f>
        <v>24.265993982283419</v>
      </c>
      <c r="L44" s="46">
        <f>_xlfn.IFNA(INDEX('Final allowances'!$F$5:$H$22,MATCH(F_interface!$A44,'Final allowances'!$B$5:$B$22,0),MATCH(F_interface!$D44,'Final allowances'!$F$5:$H$5,0))/5,0)</f>
        <v>24.265993982283419</v>
      </c>
    </row>
    <row r="45" spans="1:12" x14ac:dyDescent="0.25">
      <c r="A45" s="12" t="s">
        <v>5</v>
      </c>
      <c r="B45" s="13" t="s">
        <v>267</v>
      </c>
      <c r="C45" s="12" t="str">
        <f t="shared" si="0"/>
        <v>NESC_WW_PR19CA004</v>
      </c>
      <c r="D45" s="4" t="s">
        <v>112</v>
      </c>
      <c r="E45" s="13" t="s">
        <v>266</v>
      </c>
      <c r="F45" s="76" t="s">
        <v>2</v>
      </c>
      <c r="G45" s="13" t="s">
        <v>59</v>
      </c>
      <c r="H45" s="46">
        <f>_xlfn.IFNA(INDEX('Final allowances'!$F$5:$H$22,MATCH(F_interface!$A45,'Final allowances'!$B$5:$B$22,0),MATCH(F_interface!$D45,'Final allowances'!$F$5:$H$5,0))/5,0)</f>
        <v>322.23574756805158</v>
      </c>
      <c r="I45" s="46">
        <f>_xlfn.IFNA(INDEX('Final allowances'!$F$5:$H$22,MATCH(F_interface!$A45,'Final allowances'!$B$5:$B$22,0),MATCH(F_interface!$D45,'Final allowances'!$F$5:$H$5,0))/5,0)</f>
        <v>322.23574756805158</v>
      </c>
      <c r="J45" s="46">
        <f>_xlfn.IFNA(INDEX('Final allowances'!$F$5:$H$22,MATCH(F_interface!$A45,'Final allowances'!$B$5:$B$22,0),MATCH(F_interface!$D45,'Final allowances'!$F$5:$H$5,0))/5,0)</f>
        <v>322.23574756805158</v>
      </c>
      <c r="K45" s="46">
        <f>_xlfn.IFNA(INDEX('Final allowances'!$F$5:$H$22,MATCH(F_interface!$A45,'Final allowances'!$B$5:$B$22,0),MATCH(F_interface!$D45,'Final allowances'!$F$5:$H$5,0))/5,0)</f>
        <v>322.23574756805158</v>
      </c>
      <c r="L45" s="46">
        <f>_xlfn.IFNA(INDEX('Final allowances'!$F$5:$H$22,MATCH(F_interface!$A45,'Final allowances'!$B$5:$B$22,0),MATCH(F_interface!$D45,'Final allowances'!$F$5:$H$5,0))/5,0)</f>
        <v>322.23574756805158</v>
      </c>
    </row>
    <row r="46" spans="1:12" x14ac:dyDescent="0.25">
      <c r="A46" s="12" t="s">
        <v>6</v>
      </c>
      <c r="B46" s="13" t="s">
        <v>267</v>
      </c>
      <c r="C46" s="12" t="str">
        <f t="shared" si="0"/>
        <v>NWTC_WW_PR19CA004</v>
      </c>
      <c r="D46" s="4" t="s">
        <v>112</v>
      </c>
      <c r="E46" s="13" t="s">
        <v>266</v>
      </c>
      <c r="F46" s="76" t="s">
        <v>2</v>
      </c>
      <c r="G46" s="13" t="s">
        <v>59</v>
      </c>
      <c r="H46" s="46">
        <f>_xlfn.IFNA(INDEX('Final allowances'!$F$5:$H$22,MATCH(F_interface!$A46,'Final allowances'!$B$5:$B$22,0),MATCH(F_interface!$D46,'Final allowances'!$F$5:$H$5,0))/5,0)</f>
        <v>499.56693967598693</v>
      </c>
      <c r="I46" s="46">
        <f>_xlfn.IFNA(INDEX('Final allowances'!$F$5:$H$22,MATCH(F_interface!$A46,'Final allowances'!$B$5:$B$22,0),MATCH(F_interface!$D46,'Final allowances'!$F$5:$H$5,0))/5,0)</f>
        <v>499.56693967598693</v>
      </c>
      <c r="J46" s="46">
        <f>_xlfn.IFNA(INDEX('Final allowances'!$F$5:$H$22,MATCH(F_interface!$A46,'Final allowances'!$B$5:$B$22,0),MATCH(F_interface!$D46,'Final allowances'!$F$5:$H$5,0))/5,0)</f>
        <v>499.56693967598693</v>
      </c>
      <c r="K46" s="46">
        <f>_xlfn.IFNA(INDEX('Final allowances'!$F$5:$H$22,MATCH(F_interface!$A46,'Final allowances'!$B$5:$B$22,0),MATCH(F_interface!$D46,'Final allowances'!$F$5:$H$5,0))/5,0)</f>
        <v>499.56693967598693</v>
      </c>
      <c r="L46" s="46">
        <f>_xlfn.IFNA(INDEX('Final allowances'!$F$5:$H$22,MATCH(F_interface!$A46,'Final allowances'!$B$5:$B$22,0),MATCH(F_interface!$D46,'Final allowances'!$F$5:$H$5,0))/5,0)</f>
        <v>499.56693967598693</v>
      </c>
    </row>
    <row r="47" spans="1:12" x14ac:dyDescent="0.25">
      <c r="A47" s="12" t="s">
        <v>7</v>
      </c>
      <c r="B47" s="13" t="s">
        <v>267</v>
      </c>
      <c r="C47" s="12" t="str">
        <f t="shared" si="0"/>
        <v>SRNC_WW_PR19CA004</v>
      </c>
      <c r="D47" s="4" t="s">
        <v>112</v>
      </c>
      <c r="E47" s="13" t="s">
        <v>266</v>
      </c>
      <c r="F47" s="76" t="s">
        <v>2</v>
      </c>
      <c r="G47" s="13" t="s">
        <v>59</v>
      </c>
      <c r="H47" s="46">
        <f>_xlfn.IFNA(INDEX('Final allowances'!$F$5:$H$22,MATCH(F_interface!$A47,'Final allowances'!$B$5:$B$22,0),MATCH(F_interface!$D47,'Final allowances'!$F$5:$H$5,0))/5,0)</f>
        <v>204.78927682059935</v>
      </c>
      <c r="I47" s="46">
        <f>_xlfn.IFNA(INDEX('Final allowances'!$F$5:$H$22,MATCH(F_interface!$A47,'Final allowances'!$B$5:$B$22,0),MATCH(F_interface!$D47,'Final allowances'!$F$5:$H$5,0))/5,0)</f>
        <v>204.78927682059935</v>
      </c>
      <c r="J47" s="46">
        <f>_xlfn.IFNA(INDEX('Final allowances'!$F$5:$H$22,MATCH(F_interface!$A47,'Final allowances'!$B$5:$B$22,0),MATCH(F_interface!$D47,'Final allowances'!$F$5:$H$5,0))/5,0)</f>
        <v>204.78927682059935</v>
      </c>
      <c r="K47" s="46">
        <f>_xlfn.IFNA(INDEX('Final allowances'!$F$5:$H$22,MATCH(F_interface!$A47,'Final allowances'!$B$5:$B$22,0),MATCH(F_interface!$D47,'Final allowances'!$F$5:$H$5,0))/5,0)</f>
        <v>204.78927682059935</v>
      </c>
      <c r="L47" s="46">
        <f>_xlfn.IFNA(INDEX('Final allowances'!$F$5:$H$22,MATCH(F_interface!$A47,'Final allowances'!$B$5:$B$22,0),MATCH(F_interface!$D47,'Final allowances'!$F$5:$H$5,0))/5,0)</f>
        <v>204.78927682059935</v>
      </c>
    </row>
    <row r="48" spans="1:12" x14ac:dyDescent="0.25">
      <c r="A48" s="12" t="s">
        <v>89</v>
      </c>
      <c r="B48" s="13" t="s">
        <v>267</v>
      </c>
      <c r="C48" s="12" t="str">
        <f t="shared" si="0"/>
        <v>SVEC_WW_PR19CA004</v>
      </c>
      <c r="D48" s="4" t="s">
        <v>112</v>
      </c>
      <c r="E48" s="13" t="s">
        <v>266</v>
      </c>
      <c r="F48" s="76" t="s">
        <v>2</v>
      </c>
      <c r="G48" s="13" t="s">
        <v>59</v>
      </c>
      <c r="H48" s="46">
        <f>_xlfn.IFNA(INDEX('Final allowances'!$F$5:$H$22,MATCH(F_interface!$A48,'Final allowances'!$B$5:$B$22,0),MATCH(F_interface!$D48,'Final allowances'!$F$5:$H$5,0))/5,0)</f>
        <v>569.89073817164206</v>
      </c>
      <c r="I48" s="46">
        <f>_xlfn.IFNA(INDEX('Final allowances'!$F$5:$H$22,MATCH(F_interface!$A48,'Final allowances'!$B$5:$B$22,0),MATCH(F_interface!$D48,'Final allowances'!$F$5:$H$5,0))/5,0)</f>
        <v>569.89073817164206</v>
      </c>
      <c r="J48" s="46">
        <f>_xlfn.IFNA(INDEX('Final allowances'!$F$5:$H$22,MATCH(F_interface!$A48,'Final allowances'!$B$5:$B$22,0),MATCH(F_interface!$D48,'Final allowances'!$F$5:$H$5,0))/5,0)</f>
        <v>569.89073817164206</v>
      </c>
      <c r="K48" s="46">
        <f>_xlfn.IFNA(INDEX('Final allowances'!$F$5:$H$22,MATCH(F_interface!$A48,'Final allowances'!$B$5:$B$22,0),MATCH(F_interface!$D48,'Final allowances'!$F$5:$H$5,0))/5,0)</f>
        <v>569.89073817164206</v>
      </c>
      <c r="L48" s="46">
        <f>_xlfn.IFNA(INDEX('Final allowances'!$F$5:$H$22,MATCH(F_interface!$A48,'Final allowances'!$B$5:$B$22,0),MATCH(F_interface!$D48,'Final allowances'!$F$5:$H$5,0))/5,0)</f>
        <v>569.89073817164206</v>
      </c>
    </row>
    <row r="49" spans="1:12" x14ac:dyDescent="0.25">
      <c r="A49" s="12" t="s">
        <v>93</v>
      </c>
      <c r="B49" s="13" t="s">
        <v>267</v>
      </c>
      <c r="C49" s="12" t="str">
        <f t="shared" si="0"/>
        <v>SVHC_WW_PR19CA004</v>
      </c>
      <c r="D49" s="4" t="s">
        <v>112</v>
      </c>
      <c r="E49" s="13" t="s">
        <v>266</v>
      </c>
      <c r="F49" s="76" t="s">
        <v>2</v>
      </c>
      <c r="G49" s="13" t="s">
        <v>59</v>
      </c>
      <c r="H49" s="46">
        <f>_xlfn.IFNA(INDEX('Final allowances'!$F$5:$H$22,MATCH(F_interface!$A49,'Final allowances'!$B$5:$B$22,0),MATCH(F_interface!$D49,'Final allowances'!$F$5:$H$5,0))/5,0)</f>
        <v>0</v>
      </c>
      <c r="I49" s="46">
        <f>_xlfn.IFNA(INDEX('Final allowances'!$F$5:$H$22,MATCH(F_interface!$A49,'Final allowances'!$B$5:$B$22,0),MATCH(F_interface!$D49,'Final allowances'!$F$5:$H$5,0))/5,0)</f>
        <v>0</v>
      </c>
      <c r="J49" s="46">
        <f>_xlfn.IFNA(INDEX('Final allowances'!$F$5:$H$22,MATCH(F_interface!$A49,'Final allowances'!$B$5:$B$22,0),MATCH(F_interface!$D49,'Final allowances'!$F$5:$H$5,0))/5,0)</f>
        <v>0</v>
      </c>
      <c r="K49" s="46">
        <f>_xlfn.IFNA(INDEX('Final allowances'!$F$5:$H$22,MATCH(F_interface!$A49,'Final allowances'!$B$5:$B$22,0),MATCH(F_interface!$D49,'Final allowances'!$F$5:$H$5,0))/5,0)</f>
        <v>0</v>
      </c>
      <c r="L49" s="46">
        <f>_xlfn.IFNA(INDEX('Final allowances'!$F$5:$H$22,MATCH(F_interface!$A49,'Final allowances'!$B$5:$B$22,0),MATCH(F_interface!$D49,'Final allowances'!$F$5:$H$5,0))/5,0)</f>
        <v>0</v>
      </c>
    </row>
    <row r="50" spans="1:12" x14ac:dyDescent="0.25">
      <c r="A50" s="12" t="s">
        <v>8</v>
      </c>
      <c r="B50" s="13" t="s">
        <v>267</v>
      </c>
      <c r="C50" s="12" t="str">
        <f t="shared" si="0"/>
        <v>SVTC_WW_PR19CA004</v>
      </c>
      <c r="D50" s="4" t="s">
        <v>112</v>
      </c>
      <c r="E50" s="13" t="s">
        <v>266</v>
      </c>
      <c r="F50" s="76" t="s">
        <v>2</v>
      </c>
      <c r="G50" s="13" t="s">
        <v>59</v>
      </c>
      <c r="H50" s="46">
        <f>_xlfn.IFNA(INDEX('Final allowances'!$F$5:$H$22,MATCH(F_interface!$A50,'Final allowances'!$B$5:$B$22,0),MATCH(F_interface!$D50,'Final allowances'!$F$5:$H$5,0))/5,0)</f>
        <v>0</v>
      </c>
      <c r="I50" s="46">
        <f>_xlfn.IFNA(INDEX('Final allowances'!$F$5:$H$22,MATCH(F_interface!$A50,'Final allowances'!$B$5:$B$22,0),MATCH(F_interface!$D50,'Final allowances'!$F$5:$H$5,0))/5,0)</f>
        <v>0</v>
      </c>
      <c r="J50" s="46">
        <f>_xlfn.IFNA(INDEX('Final allowances'!$F$5:$H$22,MATCH(F_interface!$A50,'Final allowances'!$B$5:$B$22,0),MATCH(F_interface!$D50,'Final allowances'!$F$5:$H$5,0))/5,0)</f>
        <v>0</v>
      </c>
      <c r="K50" s="46">
        <f>_xlfn.IFNA(INDEX('Final allowances'!$F$5:$H$22,MATCH(F_interface!$A50,'Final allowances'!$B$5:$B$22,0),MATCH(F_interface!$D50,'Final allowances'!$F$5:$H$5,0))/5,0)</f>
        <v>0</v>
      </c>
      <c r="L50" s="46">
        <f>_xlfn.IFNA(INDEX('Final allowances'!$F$5:$H$22,MATCH(F_interface!$A50,'Final allowances'!$B$5:$B$22,0),MATCH(F_interface!$D50,'Final allowances'!$F$5:$H$5,0))/5,0)</f>
        <v>0</v>
      </c>
    </row>
    <row r="51" spans="1:12" x14ac:dyDescent="0.25">
      <c r="A51" s="12" t="s">
        <v>19</v>
      </c>
      <c r="B51" s="13" t="s">
        <v>267</v>
      </c>
      <c r="C51" s="12" t="str">
        <f t="shared" si="0"/>
        <v>SWBC_WW_PR19CA004</v>
      </c>
      <c r="D51" s="4" t="s">
        <v>112</v>
      </c>
      <c r="E51" s="13" t="s">
        <v>266</v>
      </c>
      <c r="F51" s="76" t="s">
        <v>2</v>
      </c>
      <c r="G51" s="13" t="s">
        <v>59</v>
      </c>
      <c r="H51" s="46">
        <f>_xlfn.IFNA(INDEX('Final allowances'!$F$5:$H$22,MATCH(F_interface!$A51,'Final allowances'!$B$5:$B$22,0),MATCH(F_interface!$D51,'Final allowances'!$F$5:$H$5,0))/5,0)</f>
        <v>177.99891041221045</v>
      </c>
      <c r="I51" s="46">
        <f>_xlfn.IFNA(INDEX('Final allowances'!$F$5:$H$22,MATCH(F_interface!$A51,'Final allowances'!$B$5:$B$22,0),MATCH(F_interface!$D51,'Final allowances'!$F$5:$H$5,0))/5,0)</f>
        <v>177.99891041221045</v>
      </c>
      <c r="J51" s="46">
        <f>_xlfn.IFNA(INDEX('Final allowances'!$F$5:$H$22,MATCH(F_interface!$A51,'Final allowances'!$B$5:$B$22,0),MATCH(F_interface!$D51,'Final allowances'!$F$5:$H$5,0))/5,0)</f>
        <v>177.99891041221045</v>
      </c>
      <c r="K51" s="46">
        <f>_xlfn.IFNA(INDEX('Final allowances'!$F$5:$H$22,MATCH(F_interface!$A51,'Final allowances'!$B$5:$B$22,0),MATCH(F_interface!$D51,'Final allowances'!$F$5:$H$5,0))/5,0)</f>
        <v>177.99891041221045</v>
      </c>
      <c r="L51" s="46">
        <f>_xlfn.IFNA(INDEX('Final allowances'!$F$5:$H$22,MATCH(F_interface!$A51,'Final allowances'!$B$5:$B$22,0),MATCH(F_interface!$D51,'Final allowances'!$F$5:$H$5,0))/5,0)</f>
        <v>177.99891041221045</v>
      </c>
    </row>
    <row r="52" spans="1:12" x14ac:dyDescent="0.25">
      <c r="A52" s="12" t="s">
        <v>9</v>
      </c>
      <c r="B52" s="13" t="s">
        <v>267</v>
      </c>
      <c r="C52" s="12" t="str">
        <f t="shared" si="0"/>
        <v>TMSC_WW_PR19CA004</v>
      </c>
      <c r="D52" s="4" t="s">
        <v>112</v>
      </c>
      <c r="E52" s="13" t="s">
        <v>266</v>
      </c>
      <c r="F52" s="76" t="s">
        <v>2</v>
      </c>
      <c r="G52" s="13" t="s">
        <v>59</v>
      </c>
      <c r="H52" s="46">
        <f>_xlfn.IFNA(INDEX('Final allowances'!$F$5:$H$22,MATCH(F_interface!$A52,'Final allowances'!$B$5:$B$22,0),MATCH(F_interface!$D52,'Final allowances'!$F$5:$H$5,0))/5,0)</f>
        <v>832.77881316423918</v>
      </c>
      <c r="I52" s="46">
        <f>_xlfn.IFNA(INDEX('Final allowances'!$F$5:$H$22,MATCH(F_interface!$A52,'Final allowances'!$B$5:$B$22,0),MATCH(F_interface!$D52,'Final allowances'!$F$5:$H$5,0))/5,0)</f>
        <v>832.77881316423918</v>
      </c>
      <c r="J52" s="46">
        <f>_xlfn.IFNA(INDEX('Final allowances'!$F$5:$H$22,MATCH(F_interface!$A52,'Final allowances'!$B$5:$B$22,0),MATCH(F_interface!$D52,'Final allowances'!$F$5:$H$5,0))/5,0)</f>
        <v>832.77881316423918</v>
      </c>
      <c r="K52" s="46">
        <f>_xlfn.IFNA(INDEX('Final allowances'!$F$5:$H$22,MATCH(F_interface!$A52,'Final allowances'!$B$5:$B$22,0),MATCH(F_interface!$D52,'Final allowances'!$F$5:$H$5,0))/5,0)</f>
        <v>832.77881316423918</v>
      </c>
      <c r="L52" s="46">
        <f>_xlfn.IFNA(INDEX('Final allowances'!$F$5:$H$22,MATCH(F_interface!$A52,'Final allowances'!$B$5:$B$22,0),MATCH(F_interface!$D52,'Final allowances'!$F$5:$H$5,0))/5,0)</f>
        <v>832.77881316423918</v>
      </c>
    </row>
    <row r="53" spans="1:12" x14ac:dyDescent="0.25">
      <c r="A53" s="12" t="s">
        <v>23</v>
      </c>
      <c r="B53" s="13" t="s">
        <v>267</v>
      </c>
      <c r="C53" s="12" t="str">
        <f t="shared" si="0"/>
        <v>WSHC_WW_PR19CA004</v>
      </c>
      <c r="D53" s="4" t="s">
        <v>112</v>
      </c>
      <c r="E53" s="13" t="s">
        <v>266</v>
      </c>
      <c r="F53" s="76" t="s">
        <v>2</v>
      </c>
      <c r="G53" s="13" t="s">
        <v>59</v>
      </c>
      <c r="H53" s="46">
        <f>_xlfn.IFNA(INDEX('Final allowances'!$F$5:$H$22,MATCH(F_interface!$A53,'Final allowances'!$B$5:$B$22,0),MATCH(F_interface!$D53,'Final allowances'!$F$5:$H$5,0))/5,0)</f>
        <v>268.00171204548752</v>
      </c>
      <c r="I53" s="46">
        <f>_xlfn.IFNA(INDEX('Final allowances'!$F$5:$H$22,MATCH(F_interface!$A53,'Final allowances'!$B$5:$B$22,0),MATCH(F_interface!$D53,'Final allowances'!$F$5:$H$5,0))/5,0)</f>
        <v>268.00171204548752</v>
      </c>
      <c r="J53" s="46">
        <f>_xlfn.IFNA(INDEX('Final allowances'!$F$5:$H$22,MATCH(F_interface!$A53,'Final allowances'!$B$5:$B$22,0),MATCH(F_interface!$D53,'Final allowances'!$F$5:$H$5,0))/5,0)</f>
        <v>268.00171204548752</v>
      </c>
      <c r="K53" s="46">
        <f>_xlfn.IFNA(INDEX('Final allowances'!$F$5:$H$22,MATCH(F_interface!$A53,'Final allowances'!$B$5:$B$22,0),MATCH(F_interface!$D53,'Final allowances'!$F$5:$H$5,0))/5,0)</f>
        <v>268.00171204548752</v>
      </c>
      <c r="L53" s="46">
        <f>_xlfn.IFNA(INDEX('Final allowances'!$F$5:$H$22,MATCH(F_interface!$A53,'Final allowances'!$B$5:$B$22,0),MATCH(F_interface!$D53,'Final allowances'!$F$5:$H$5,0))/5,0)</f>
        <v>268.00171204548752</v>
      </c>
    </row>
    <row r="54" spans="1:12" x14ac:dyDescent="0.25">
      <c r="A54" s="12" t="s">
        <v>10</v>
      </c>
      <c r="B54" s="13" t="s">
        <v>267</v>
      </c>
      <c r="C54" s="12" t="str">
        <f t="shared" si="0"/>
        <v>WSXC_WW_PR19CA004</v>
      </c>
      <c r="D54" s="4" t="s">
        <v>112</v>
      </c>
      <c r="E54" s="13" t="s">
        <v>266</v>
      </c>
      <c r="F54" s="76" t="s">
        <v>2</v>
      </c>
      <c r="G54" s="13" t="s">
        <v>59</v>
      </c>
      <c r="H54" s="46">
        <f>_xlfn.IFNA(INDEX('Final allowances'!$F$5:$H$22,MATCH(F_interface!$A54,'Final allowances'!$B$5:$B$22,0),MATCH(F_interface!$D54,'Final allowances'!$F$5:$H$5,0))/5,0)</f>
        <v>122.0713995974783</v>
      </c>
      <c r="I54" s="46">
        <f>_xlfn.IFNA(INDEX('Final allowances'!$F$5:$H$22,MATCH(F_interface!$A54,'Final allowances'!$B$5:$B$22,0),MATCH(F_interface!$D54,'Final allowances'!$F$5:$H$5,0))/5,0)</f>
        <v>122.0713995974783</v>
      </c>
      <c r="J54" s="46">
        <f>_xlfn.IFNA(INDEX('Final allowances'!$F$5:$H$22,MATCH(F_interface!$A54,'Final allowances'!$B$5:$B$22,0),MATCH(F_interface!$D54,'Final allowances'!$F$5:$H$5,0))/5,0)</f>
        <v>122.0713995974783</v>
      </c>
      <c r="K54" s="46">
        <f>_xlfn.IFNA(INDEX('Final allowances'!$F$5:$H$22,MATCH(F_interface!$A54,'Final allowances'!$B$5:$B$22,0),MATCH(F_interface!$D54,'Final allowances'!$F$5:$H$5,0))/5,0)</f>
        <v>122.0713995974783</v>
      </c>
      <c r="L54" s="46">
        <f>_xlfn.IFNA(INDEX('Final allowances'!$F$5:$H$22,MATCH(F_interface!$A54,'Final allowances'!$B$5:$B$22,0),MATCH(F_interface!$D54,'Final allowances'!$F$5:$H$5,0))/5,0)</f>
        <v>122.0713995974783</v>
      </c>
    </row>
    <row r="55" spans="1:12" x14ac:dyDescent="0.25">
      <c r="A55" s="12" t="s">
        <v>11</v>
      </c>
      <c r="B55" s="13" t="s">
        <v>267</v>
      </c>
      <c r="C55" s="12" t="str">
        <f t="shared" si="0"/>
        <v>YKYC_WW_PR19CA004</v>
      </c>
      <c r="D55" s="4" t="s">
        <v>112</v>
      </c>
      <c r="E55" s="13" t="s">
        <v>266</v>
      </c>
      <c r="F55" s="76" t="s">
        <v>2</v>
      </c>
      <c r="G55" s="13" t="s">
        <v>59</v>
      </c>
      <c r="H55" s="46">
        <f>_xlfn.IFNA(INDEX('Final allowances'!$F$5:$H$22,MATCH(F_interface!$A55,'Final allowances'!$B$5:$B$22,0),MATCH(F_interface!$D55,'Final allowances'!$F$5:$H$5,0))/5,0)</f>
        <v>336.70964797243749</v>
      </c>
      <c r="I55" s="46">
        <f>_xlfn.IFNA(INDEX('Final allowances'!$F$5:$H$22,MATCH(F_interface!$A55,'Final allowances'!$B$5:$B$22,0),MATCH(F_interface!$D55,'Final allowances'!$F$5:$H$5,0))/5,0)</f>
        <v>336.70964797243749</v>
      </c>
      <c r="J55" s="46">
        <f>_xlfn.IFNA(INDEX('Final allowances'!$F$5:$H$22,MATCH(F_interface!$A55,'Final allowances'!$B$5:$B$22,0),MATCH(F_interface!$D55,'Final allowances'!$F$5:$H$5,0))/5,0)</f>
        <v>336.70964797243749</v>
      </c>
      <c r="K55" s="46">
        <f>_xlfn.IFNA(INDEX('Final allowances'!$F$5:$H$22,MATCH(F_interface!$A55,'Final allowances'!$B$5:$B$22,0),MATCH(F_interface!$D55,'Final allowances'!$F$5:$H$5,0))/5,0)</f>
        <v>336.70964797243749</v>
      </c>
      <c r="L55" s="46">
        <f>_xlfn.IFNA(INDEX('Final allowances'!$F$5:$H$22,MATCH(F_interface!$A55,'Final allowances'!$B$5:$B$22,0),MATCH(F_interface!$D55,'Final allowances'!$F$5:$H$5,0))/5,0)</f>
        <v>336.70964797243749</v>
      </c>
    </row>
    <row r="56" spans="1:12" x14ac:dyDescent="0.25">
      <c r="A56" s="12" t="s">
        <v>12</v>
      </c>
      <c r="B56" s="13" t="s">
        <v>267</v>
      </c>
      <c r="C56" s="12" t="str">
        <f t="shared" si="0"/>
        <v>AFWC_WW_PR19CA004</v>
      </c>
      <c r="D56" s="4" t="s">
        <v>112</v>
      </c>
      <c r="E56" s="13" t="s">
        <v>266</v>
      </c>
      <c r="F56" s="76" t="s">
        <v>2</v>
      </c>
      <c r="G56" s="13" t="s">
        <v>59</v>
      </c>
      <c r="H56" s="46">
        <f>_xlfn.IFNA(INDEX('Final allowances'!$F$5:$H$22,MATCH(F_interface!$A56,'Final allowances'!$B$5:$B$22,0),MATCH(F_interface!$D56,'Final allowances'!$F$5:$H$5,0))/5,0)</f>
        <v>262.10835406366397</v>
      </c>
      <c r="I56" s="46">
        <f>_xlfn.IFNA(INDEX('Final allowances'!$F$5:$H$22,MATCH(F_interface!$A56,'Final allowances'!$B$5:$B$22,0),MATCH(F_interface!$D56,'Final allowances'!$F$5:$H$5,0))/5,0)</f>
        <v>262.10835406366397</v>
      </c>
      <c r="J56" s="46">
        <f>_xlfn.IFNA(INDEX('Final allowances'!$F$5:$H$22,MATCH(F_interface!$A56,'Final allowances'!$B$5:$B$22,0),MATCH(F_interface!$D56,'Final allowances'!$F$5:$H$5,0))/5,0)</f>
        <v>262.10835406366397</v>
      </c>
      <c r="K56" s="46">
        <f>_xlfn.IFNA(INDEX('Final allowances'!$F$5:$H$22,MATCH(F_interface!$A56,'Final allowances'!$B$5:$B$22,0),MATCH(F_interface!$D56,'Final allowances'!$F$5:$H$5,0))/5,0)</f>
        <v>262.10835406366397</v>
      </c>
      <c r="L56" s="46">
        <f>_xlfn.IFNA(INDEX('Final allowances'!$F$5:$H$22,MATCH(F_interface!$A56,'Final allowances'!$B$5:$B$22,0),MATCH(F_interface!$D56,'Final allowances'!$F$5:$H$5,0))/5,0)</f>
        <v>262.10835406366397</v>
      </c>
    </row>
    <row r="57" spans="1:12" x14ac:dyDescent="0.25">
      <c r="A57" s="12" t="s">
        <v>13</v>
      </c>
      <c r="B57" s="13" t="s">
        <v>267</v>
      </c>
      <c r="C57" s="12" t="str">
        <f t="shared" si="0"/>
        <v>BRLC_WW_PR19CA004</v>
      </c>
      <c r="D57" s="4" t="s">
        <v>112</v>
      </c>
      <c r="E57" s="13" t="s">
        <v>266</v>
      </c>
      <c r="F57" s="76" t="s">
        <v>2</v>
      </c>
      <c r="G57" s="13" t="s">
        <v>59</v>
      </c>
      <c r="H57" s="46">
        <f>_xlfn.IFNA(INDEX('Final allowances'!$F$5:$H$22,MATCH(F_interface!$A57,'Final allowances'!$B$5:$B$22,0),MATCH(F_interface!$D57,'Final allowances'!$F$5:$H$5,0))/5,0)</f>
        <v>77.836250246515192</v>
      </c>
      <c r="I57" s="46">
        <f>_xlfn.IFNA(INDEX('Final allowances'!$F$5:$H$22,MATCH(F_interface!$A57,'Final allowances'!$B$5:$B$22,0),MATCH(F_interface!$D57,'Final allowances'!$F$5:$H$5,0))/5,0)</f>
        <v>77.836250246515192</v>
      </c>
      <c r="J57" s="46">
        <f>_xlfn.IFNA(INDEX('Final allowances'!$F$5:$H$22,MATCH(F_interface!$A57,'Final allowances'!$B$5:$B$22,0),MATCH(F_interface!$D57,'Final allowances'!$F$5:$H$5,0))/5,0)</f>
        <v>77.836250246515192</v>
      </c>
      <c r="K57" s="46">
        <f>_xlfn.IFNA(INDEX('Final allowances'!$F$5:$H$22,MATCH(F_interface!$A57,'Final allowances'!$B$5:$B$22,0),MATCH(F_interface!$D57,'Final allowances'!$F$5:$H$5,0))/5,0)</f>
        <v>77.836250246515192</v>
      </c>
      <c r="L57" s="46">
        <f>_xlfn.IFNA(INDEX('Final allowances'!$F$5:$H$22,MATCH(F_interface!$A57,'Final allowances'!$B$5:$B$22,0),MATCH(F_interface!$D57,'Final allowances'!$F$5:$H$5,0))/5,0)</f>
        <v>77.836250246515192</v>
      </c>
    </row>
    <row r="58" spans="1:12" x14ac:dyDescent="0.25">
      <c r="A58" s="12" t="s">
        <v>14</v>
      </c>
      <c r="B58" s="13" t="s">
        <v>267</v>
      </c>
      <c r="C58" s="12" t="str">
        <f t="shared" si="0"/>
        <v>DVWC_WW_PR19CA004</v>
      </c>
      <c r="D58" s="4" t="s">
        <v>112</v>
      </c>
      <c r="E58" s="13" t="s">
        <v>266</v>
      </c>
      <c r="F58" s="76" t="s">
        <v>2</v>
      </c>
      <c r="G58" s="13" t="s">
        <v>59</v>
      </c>
      <c r="H58" s="46">
        <f>_xlfn.IFNA(INDEX('Final allowances'!$F$5:$H$22,MATCH(F_interface!$A58,'Final allowances'!$B$5:$B$22,0),MATCH(F_interface!$D58,'Final allowances'!$F$5:$H$5,0))/5,0)</f>
        <v>0</v>
      </c>
      <c r="I58" s="46">
        <f>_xlfn.IFNA(INDEX('Final allowances'!$F$5:$H$22,MATCH(F_interface!$A58,'Final allowances'!$B$5:$B$22,0),MATCH(F_interface!$D58,'Final allowances'!$F$5:$H$5,0))/5,0)</f>
        <v>0</v>
      </c>
      <c r="J58" s="46">
        <f>_xlfn.IFNA(INDEX('Final allowances'!$F$5:$H$22,MATCH(F_interface!$A58,'Final allowances'!$B$5:$B$22,0),MATCH(F_interface!$D58,'Final allowances'!$F$5:$H$5,0))/5,0)</f>
        <v>0</v>
      </c>
      <c r="K58" s="46">
        <f>_xlfn.IFNA(INDEX('Final allowances'!$F$5:$H$22,MATCH(F_interface!$A58,'Final allowances'!$B$5:$B$22,0),MATCH(F_interface!$D58,'Final allowances'!$F$5:$H$5,0))/5,0)</f>
        <v>0</v>
      </c>
      <c r="L58" s="46">
        <f>_xlfn.IFNA(INDEX('Final allowances'!$F$5:$H$22,MATCH(F_interface!$A58,'Final allowances'!$B$5:$B$22,0),MATCH(F_interface!$D58,'Final allowances'!$F$5:$H$5,0))/5,0)</f>
        <v>0</v>
      </c>
    </row>
    <row r="59" spans="1:12" x14ac:dyDescent="0.25">
      <c r="A59" s="12" t="s">
        <v>15</v>
      </c>
      <c r="B59" s="13" t="s">
        <v>267</v>
      </c>
      <c r="C59" s="12" t="str">
        <f t="shared" si="0"/>
        <v>PRTC_WW_PR19CA004</v>
      </c>
      <c r="D59" s="4" t="s">
        <v>112</v>
      </c>
      <c r="E59" s="13" t="s">
        <v>266</v>
      </c>
      <c r="F59" s="76" t="s">
        <v>2</v>
      </c>
      <c r="G59" s="13" t="s">
        <v>59</v>
      </c>
      <c r="H59" s="46">
        <f>_xlfn.IFNA(INDEX('Final allowances'!$F$5:$H$22,MATCH(F_interface!$A59,'Final allowances'!$B$5:$B$22,0),MATCH(F_interface!$D59,'Final allowances'!$F$5:$H$5,0))/5,0)</f>
        <v>37.793926572923013</v>
      </c>
      <c r="I59" s="46">
        <f>_xlfn.IFNA(INDEX('Final allowances'!$F$5:$H$22,MATCH(F_interface!$A59,'Final allowances'!$B$5:$B$22,0),MATCH(F_interface!$D59,'Final allowances'!$F$5:$H$5,0))/5,0)</f>
        <v>37.793926572923013</v>
      </c>
      <c r="J59" s="46">
        <f>_xlfn.IFNA(INDEX('Final allowances'!$F$5:$H$22,MATCH(F_interface!$A59,'Final allowances'!$B$5:$B$22,0),MATCH(F_interface!$D59,'Final allowances'!$F$5:$H$5,0))/5,0)</f>
        <v>37.793926572923013</v>
      </c>
      <c r="K59" s="46">
        <f>_xlfn.IFNA(INDEX('Final allowances'!$F$5:$H$22,MATCH(F_interface!$A59,'Final allowances'!$B$5:$B$22,0),MATCH(F_interface!$D59,'Final allowances'!$F$5:$H$5,0))/5,0)</f>
        <v>37.793926572923013</v>
      </c>
      <c r="L59" s="46">
        <f>_xlfn.IFNA(INDEX('Final allowances'!$F$5:$H$22,MATCH(F_interface!$A59,'Final allowances'!$B$5:$B$22,0),MATCH(F_interface!$D59,'Final allowances'!$F$5:$H$5,0))/5,0)</f>
        <v>37.793926572923013</v>
      </c>
    </row>
    <row r="60" spans="1:12" x14ac:dyDescent="0.25">
      <c r="A60" s="12" t="s">
        <v>16</v>
      </c>
      <c r="B60" s="13" t="s">
        <v>267</v>
      </c>
      <c r="C60" s="12" t="str">
        <f t="shared" si="0"/>
        <v>SESC_WW_PR19CA004</v>
      </c>
      <c r="D60" s="4" t="s">
        <v>112</v>
      </c>
      <c r="E60" s="13" t="s">
        <v>266</v>
      </c>
      <c r="F60" s="76" t="s">
        <v>2</v>
      </c>
      <c r="G60" s="13" t="s">
        <v>59</v>
      </c>
      <c r="H60" s="46">
        <f>_xlfn.IFNA(INDEX('Final allowances'!$F$5:$H$22,MATCH(F_interface!$A60,'Final allowances'!$B$5:$B$22,0),MATCH(F_interface!$D60,'Final allowances'!$F$5:$H$5,0))/5,0)</f>
        <v>42.972298406959332</v>
      </c>
      <c r="I60" s="46">
        <f>_xlfn.IFNA(INDEX('Final allowances'!$F$5:$H$22,MATCH(F_interface!$A60,'Final allowances'!$B$5:$B$22,0),MATCH(F_interface!$D60,'Final allowances'!$F$5:$H$5,0))/5,0)</f>
        <v>42.972298406959332</v>
      </c>
      <c r="J60" s="46">
        <f>_xlfn.IFNA(INDEX('Final allowances'!$F$5:$H$22,MATCH(F_interface!$A60,'Final allowances'!$B$5:$B$22,0),MATCH(F_interface!$D60,'Final allowances'!$F$5:$H$5,0))/5,0)</f>
        <v>42.972298406959332</v>
      </c>
      <c r="K60" s="46">
        <f>_xlfn.IFNA(INDEX('Final allowances'!$F$5:$H$22,MATCH(F_interface!$A60,'Final allowances'!$B$5:$B$22,0),MATCH(F_interface!$D60,'Final allowances'!$F$5:$H$5,0))/5,0)</f>
        <v>42.972298406959332</v>
      </c>
      <c r="L60" s="46">
        <f>_xlfn.IFNA(INDEX('Final allowances'!$F$5:$H$22,MATCH(F_interface!$A60,'Final allowances'!$B$5:$B$22,0),MATCH(F_interface!$D60,'Final allowances'!$F$5:$H$5,0))/5,0)</f>
        <v>42.972298406959332</v>
      </c>
    </row>
    <row r="61" spans="1:12" x14ac:dyDescent="0.25">
      <c r="A61" s="12" t="s">
        <v>17</v>
      </c>
      <c r="B61" s="13" t="s">
        <v>267</v>
      </c>
      <c r="C61" s="12" t="str">
        <f t="shared" si="0"/>
        <v>SEWC_WW_PR19CA004</v>
      </c>
      <c r="D61" s="4" t="s">
        <v>112</v>
      </c>
      <c r="E61" s="13" t="s">
        <v>266</v>
      </c>
      <c r="F61" s="76" t="s">
        <v>2</v>
      </c>
      <c r="G61" s="13" t="s">
        <v>59</v>
      </c>
      <c r="H61" s="46">
        <f>_xlfn.IFNA(INDEX('Final allowances'!$F$5:$H$22,MATCH(F_interface!$A61,'Final allowances'!$B$5:$B$22,0),MATCH(F_interface!$D61,'Final allowances'!$F$5:$H$5,0))/5,0)</f>
        <v>173.27726092700271</v>
      </c>
      <c r="I61" s="46">
        <f>_xlfn.IFNA(INDEX('Final allowances'!$F$5:$H$22,MATCH(F_interface!$A61,'Final allowances'!$B$5:$B$22,0),MATCH(F_interface!$D61,'Final allowances'!$F$5:$H$5,0))/5,0)</f>
        <v>173.27726092700271</v>
      </c>
      <c r="J61" s="46">
        <f>_xlfn.IFNA(INDEX('Final allowances'!$F$5:$H$22,MATCH(F_interface!$A61,'Final allowances'!$B$5:$B$22,0),MATCH(F_interface!$D61,'Final allowances'!$F$5:$H$5,0))/5,0)</f>
        <v>173.27726092700271</v>
      </c>
      <c r="K61" s="46">
        <f>_xlfn.IFNA(INDEX('Final allowances'!$F$5:$H$22,MATCH(F_interface!$A61,'Final allowances'!$B$5:$B$22,0),MATCH(F_interface!$D61,'Final allowances'!$F$5:$H$5,0))/5,0)</f>
        <v>173.27726092700271</v>
      </c>
      <c r="L61" s="46">
        <f>_xlfn.IFNA(INDEX('Final allowances'!$F$5:$H$22,MATCH(F_interface!$A61,'Final allowances'!$B$5:$B$22,0),MATCH(F_interface!$D61,'Final allowances'!$F$5:$H$5,0))/5,0)</f>
        <v>173.27726092700271</v>
      </c>
    </row>
    <row r="62" spans="1:12" x14ac:dyDescent="0.25">
      <c r="A62" s="12" t="s">
        <v>18</v>
      </c>
      <c r="B62" s="13" t="s">
        <v>267</v>
      </c>
      <c r="C62" s="12" t="str">
        <f t="shared" si="0"/>
        <v>SSCC_WW_PR19CA004</v>
      </c>
      <c r="D62" s="4" t="s">
        <v>112</v>
      </c>
      <c r="E62" s="13" t="s">
        <v>266</v>
      </c>
      <c r="F62" s="76" t="s">
        <v>2</v>
      </c>
      <c r="G62" s="13" t="s">
        <v>59</v>
      </c>
      <c r="H62" s="46">
        <f>_xlfn.IFNA(INDEX('Final allowances'!$F$5:$H$22,MATCH(F_interface!$A62,'Final allowances'!$B$5:$B$22,0),MATCH(F_interface!$D62,'Final allowances'!$F$5:$H$5,0))/5,0)</f>
        <v>105.22989776051979</v>
      </c>
      <c r="I62" s="46">
        <f>_xlfn.IFNA(INDEX('Final allowances'!$F$5:$H$22,MATCH(F_interface!$A62,'Final allowances'!$B$5:$B$22,0),MATCH(F_interface!$D62,'Final allowances'!$F$5:$H$5,0))/5,0)</f>
        <v>105.22989776051979</v>
      </c>
      <c r="J62" s="46">
        <f>_xlfn.IFNA(INDEX('Final allowances'!$F$5:$H$22,MATCH(F_interface!$A62,'Final allowances'!$B$5:$B$22,0),MATCH(F_interface!$D62,'Final allowances'!$F$5:$H$5,0))/5,0)</f>
        <v>105.22989776051979</v>
      </c>
      <c r="K62" s="46">
        <f>_xlfn.IFNA(INDEX('Final allowances'!$F$5:$H$22,MATCH(F_interface!$A62,'Final allowances'!$B$5:$B$22,0),MATCH(F_interface!$D62,'Final allowances'!$F$5:$H$5,0))/5,0)</f>
        <v>105.22989776051979</v>
      </c>
      <c r="L62" s="46">
        <f>_xlfn.IFNA(INDEX('Final allowances'!$F$5:$H$22,MATCH(F_interface!$A62,'Final allowances'!$B$5:$B$22,0),MATCH(F_interface!$D62,'Final allowances'!$F$5:$H$5,0))/5,0)</f>
        <v>105.22989776051979</v>
      </c>
    </row>
    <row r="63" spans="1:12" x14ac:dyDescent="0.25">
      <c r="A63" s="12" t="s">
        <v>4</v>
      </c>
      <c r="B63" s="13" t="s">
        <v>128</v>
      </c>
      <c r="C63" s="12" t="str">
        <f t="shared" si="0"/>
        <v>ANHC_PROP_W_PR19CA004</v>
      </c>
      <c r="D63" s="13" t="s">
        <v>41</v>
      </c>
      <c r="E63" s="13" t="s">
        <v>109</v>
      </c>
      <c r="F63" s="76" t="s">
        <v>3</v>
      </c>
      <c r="G63" s="13" t="s">
        <v>59</v>
      </c>
      <c r="H63" s="47">
        <f xml:space="preserve"> _xlfn.IFNA(INDEX('Forecast drivers'!$C$4:$P$111, MATCH(F_interface!$A63&amp;RIGHT(F_interface!H$2, 2),'Forecast drivers'!$C$4:$C$111, 0), MATCH(F_interface!$D63,'Forecast drivers'!$C$4:$P$4, 0)),0)</f>
        <v>2252865.7450825055</v>
      </c>
      <c r="I63" s="47">
        <f xml:space="preserve"> _xlfn.IFNA(INDEX('Forecast drivers'!$C$4:$P$111, MATCH(F_interface!$A63&amp;RIGHT(F_interface!I$2, 2),'Forecast drivers'!$C$4:$C$111, 0), MATCH(F_interface!$D63,'Forecast drivers'!$C$4:$P$4, 0)),0)</f>
        <v>2270298.2326677381</v>
      </c>
      <c r="J63" s="47">
        <f xml:space="preserve"> _xlfn.IFNA(INDEX('Forecast drivers'!$C$4:$P$111, MATCH(F_interface!$A63&amp;RIGHT(F_interface!J$2, 2),'Forecast drivers'!$C$4:$C$111, 0), MATCH(F_interface!$D63,'Forecast drivers'!$C$4:$P$4, 0)),0)</f>
        <v>2290387.0013508671</v>
      </c>
      <c r="K63" s="47">
        <f xml:space="preserve"> _xlfn.IFNA(INDEX('Forecast drivers'!$C$4:$P$111, MATCH(F_interface!$A63&amp;RIGHT(F_interface!K$2, 2),'Forecast drivers'!$C$4:$C$111, 0), MATCH(F_interface!$D63,'Forecast drivers'!$C$4:$P$4, 0)),0)</f>
        <v>2309655.127577466</v>
      </c>
      <c r="L63" s="47">
        <f xml:space="preserve"> _xlfn.IFNA(INDEX('Forecast drivers'!$C$4:$P$111, MATCH(F_interface!$A63&amp;RIGHT(F_interface!L$2, 2),'Forecast drivers'!$C$4:$C$111, 0), MATCH(F_interface!$D63,'Forecast drivers'!$C$4:$P$4, 0)),0)</f>
        <v>2328725.3763405648</v>
      </c>
    </row>
    <row r="64" spans="1:12" x14ac:dyDescent="0.25">
      <c r="A64" s="12" t="s">
        <v>90</v>
      </c>
      <c r="B64" s="13" t="s">
        <v>128</v>
      </c>
      <c r="C64" s="12" t="str">
        <f t="shared" si="0"/>
        <v>HDDC_PROP_W_PR19CA004</v>
      </c>
      <c r="D64" s="13" t="s">
        <v>41</v>
      </c>
      <c r="E64" s="13" t="s">
        <v>109</v>
      </c>
      <c r="F64" s="76" t="s">
        <v>3</v>
      </c>
      <c r="G64" s="13" t="s">
        <v>59</v>
      </c>
      <c r="H64" s="47">
        <f xml:space="preserve"> _xlfn.IFNA(INDEX('Forecast drivers'!$C$4:$P$111, MATCH(F_interface!$A64&amp;RIGHT(F_interface!H$2, 2),'Forecast drivers'!$C$4:$C$111, 0), MATCH(F_interface!$D64,'Forecast drivers'!$C$4:$P$4, 0)),0)</f>
        <v>105908.04264044411</v>
      </c>
      <c r="I64" s="47">
        <f xml:space="preserve"> _xlfn.IFNA(INDEX('Forecast drivers'!$C$4:$P$111, MATCH(F_interface!$A64&amp;RIGHT(F_interface!I$2, 2),'Forecast drivers'!$C$4:$C$111, 0), MATCH(F_interface!$D64,'Forecast drivers'!$C$4:$P$4, 0)),0)</f>
        <v>106288.07514284045</v>
      </c>
      <c r="J64" s="47">
        <f xml:space="preserve"> _xlfn.IFNA(INDEX('Forecast drivers'!$C$4:$P$111, MATCH(F_interface!$A64&amp;RIGHT(F_interface!J$2, 2),'Forecast drivers'!$C$4:$C$111, 0), MATCH(F_interface!$D64,'Forecast drivers'!$C$4:$P$4, 0)),0)</f>
        <v>106695.10764523677</v>
      </c>
      <c r="K64" s="47">
        <f xml:space="preserve"> _xlfn.IFNA(INDEX('Forecast drivers'!$C$4:$P$111, MATCH(F_interface!$A64&amp;RIGHT(F_interface!K$2, 2),'Forecast drivers'!$C$4:$C$111, 0), MATCH(F_interface!$D64,'Forecast drivers'!$C$4:$P$4, 0)),0)</f>
        <v>107110.16758100552</v>
      </c>
      <c r="L64" s="47">
        <f xml:space="preserve"> _xlfn.IFNA(INDEX('Forecast drivers'!$C$4:$P$111, MATCH(F_interface!$A64&amp;RIGHT(F_interface!L$2, 2),'Forecast drivers'!$C$4:$C$111, 0), MATCH(F_interface!$D64,'Forecast drivers'!$C$4:$P$4, 0)),0)</f>
        <v>107533.22751677425</v>
      </c>
    </row>
    <row r="65" spans="1:12" s="156" customFormat="1" x14ac:dyDescent="0.25">
      <c r="A65" s="12" t="s">
        <v>5</v>
      </c>
      <c r="B65" s="13" t="s">
        <v>128</v>
      </c>
      <c r="C65" s="12" t="str">
        <f t="shared" si="0"/>
        <v>NESC_PROP_W_PR19CA004</v>
      </c>
      <c r="D65" s="13" t="s">
        <v>41</v>
      </c>
      <c r="E65" s="13" t="s">
        <v>109</v>
      </c>
      <c r="F65" s="76" t="s">
        <v>3</v>
      </c>
      <c r="G65" s="13" t="s">
        <v>59</v>
      </c>
      <c r="H65" s="47">
        <f xml:space="preserve"> _xlfn.IFNA(INDEX('Forecast drivers'!$C$4:$P$111, MATCH(F_interface!$A65&amp;RIGHT(F_interface!H$2, 2),'Forecast drivers'!$C$4:$C$111, 0), MATCH(F_interface!$D65,'Forecast drivers'!$C$4:$P$4, 0)),0)</f>
        <v>2054632.1741884048</v>
      </c>
      <c r="I65" s="47">
        <f xml:space="preserve"> _xlfn.IFNA(INDEX('Forecast drivers'!$C$4:$P$111, MATCH(F_interface!$A65&amp;RIGHT(F_interface!I$2, 2),'Forecast drivers'!$C$4:$C$111, 0), MATCH(F_interface!$D65,'Forecast drivers'!$C$4:$P$4, 0)),0)</f>
        <v>2065437.0416695296</v>
      </c>
      <c r="J65" s="47">
        <f xml:space="preserve"> _xlfn.IFNA(INDEX('Forecast drivers'!$C$4:$P$111, MATCH(F_interface!$A65&amp;RIGHT(F_interface!J$2, 2),'Forecast drivers'!$C$4:$C$111, 0), MATCH(F_interface!$D65,'Forecast drivers'!$C$4:$P$4, 0)),0)</f>
        <v>2078468.6240064544</v>
      </c>
      <c r="K65" s="47">
        <f xml:space="preserve"> _xlfn.IFNA(INDEX('Forecast drivers'!$C$4:$P$111, MATCH(F_interface!$A65&amp;RIGHT(F_interface!K$2, 2),'Forecast drivers'!$C$4:$C$111, 0), MATCH(F_interface!$D65,'Forecast drivers'!$C$4:$P$4, 0)),0)</f>
        <v>2090833.7241947767</v>
      </c>
      <c r="L65" s="47">
        <f xml:space="preserve"> _xlfn.IFNA(INDEX('Forecast drivers'!$C$4:$P$111, MATCH(F_interface!$A65&amp;RIGHT(F_interface!L$2, 2),'Forecast drivers'!$C$4:$C$111, 0), MATCH(F_interface!$D65,'Forecast drivers'!$C$4:$P$4, 0)),0)</f>
        <v>2103188.9752979535</v>
      </c>
    </row>
    <row r="66" spans="1:12" x14ac:dyDescent="0.25">
      <c r="A66" s="12" t="s">
        <v>6</v>
      </c>
      <c r="B66" s="13" t="s">
        <v>128</v>
      </c>
      <c r="C66" s="12" t="str">
        <f t="shared" si="0"/>
        <v>NWTC_PROP_W_PR19CA004</v>
      </c>
      <c r="D66" s="13" t="s">
        <v>41</v>
      </c>
      <c r="E66" s="13" t="s">
        <v>109</v>
      </c>
      <c r="F66" s="76" t="s">
        <v>3</v>
      </c>
      <c r="G66" s="13" t="s">
        <v>59</v>
      </c>
      <c r="H66" s="47">
        <f xml:space="preserve"> _xlfn.IFNA(INDEX('Forecast drivers'!$C$4:$P$111, MATCH(F_interface!$A66&amp;RIGHT(F_interface!H$2, 2),'Forecast drivers'!$C$4:$C$111, 0), MATCH(F_interface!$D66,'Forecast drivers'!$C$4:$P$4, 0)),0)</f>
        <v>3364351.9854926514</v>
      </c>
      <c r="I66" s="47">
        <f xml:space="preserve"> _xlfn.IFNA(INDEX('Forecast drivers'!$C$4:$P$111, MATCH(F_interface!$A66&amp;RIGHT(F_interface!I$2, 2),'Forecast drivers'!$C$4:$C$111, 0), MATCH(F_interface!$D66,'Forecast drivers'!$C$4:$P$4, 0)),0)</f>
        <v>3379274.4692457863</v>
      </c>
      <c r="J66" s="47">
        <f xml:space="preserve"> _xlfn.IFNA(INDEX('Forecast drivers'!$C$4:$P$111, MATCH(F_interface!$A66&amp;RIGHT(F_interface!J$2, 2),'Forecast drivers'!$C$4:$C$111, 0), MATCH(F_interface!$D66,'Forecast drivers'!$C$4:$P$4, 0)),0)</f>
        <v>3395570.9512322703</v>
      </c>
      <c r="K66" s="47">
        <f xml:space="preserve"> _xlfn.IFNA(INDEX('Forecast drivers'!$C$4:$P$111, MATCH(F_interface!$A66&amp;RIGHT(F_interface!K$2, 2),'Forecast drivers'!$C$4:$C$111, 0), MATCH(F_interface!$D66,'Forecast drivers'!$C$4:$P$4, 0)),0)</f>
        <v>3410485.5060890573</v>
      </c>
      <c r="L66" s="47">
        <f xml:space="preserve"> _xlfn.IFNA(INDEX('Forecast drivers'!$C$4:$P$111, MATCH(F_interface!$A66&amp;RIGHT(F_interface!L$2, 2),'Forecast drivers'!$C$4:$C$111, 0), MATCH(F_interface!$D66,'Forecast drivers'!$C$4:$P$4, 0)),0)</f>
        <v>3425094.991824144</v>
      </c>
    </row>
    <row r="67" spans="1:12" x14ac:dyDescent="0.25">
      <c r="A67" s="12" t="s">
        <v>7</v>
      </c>
      <c r="B67" s="13" t="s">
        <v>128</v>
      </c>
      <c r="C67" s="12" t="str">
        <f t="shared" si="0"/>
        <v>SRNC_PROP_W_PR19CA004</v>
      </c>
      <c r="D67" s="13" t="s">
        <v>41</v>
      </c>
      <c r="E67" s="13" t="s">
        <v>109</v>
      </c>
      <c r="F67" s="76" t="s">
        <v>3</v>
      </c>
      <c r="G67" s="13" t="s">
        <v>59</v>
      </c>
      <c r="H67" s="47">
        <f xml:space="preserve"> _xlfn.IFNA(INDEX('Forecast drivers'!$C$4:$P$111, MATCH(F_interface!$A67&amp;RIGHT(F_interface!H$2, 2),'Forecast drivers'!$C$4:$C$111, 0), MATCH(F_interface!$D67,'Forecast drivers'!$C$4:$P$4, 0)),0)</f>
        <v>1141614.3779972151</v>
      </c>
      <c r="I67" s="47">
        <f xml:space="preserve"> _xlfn.IFNA(INDEX('Forecast drivers'!$C$4:$P$111, MATCH(F_interface!$A67&amp;RIGHT(F_interface!I$2, 2),'Forecast drivers'!$C$4:$C$111, 0), MATCH(F_interface!$D67,'Forecast drivers'!$C$4:$P$4, 0)),0)</f>
        <v>1150078.2325819847</v>
      </c>
      <c r="J67" s="47">
        <f xml:space="preserve"> _xlfn.IFNA(INDEX('Forecast drivers'!$C$4:$P$111, MATCH(F_interface!$A67&amp;RIGHT(F_interface!J$2, 2),'Forecast drivers'!$C$4:$C$111, 0), MATCH(F_interface!$D67,'Forecast drivers'!$C$4:$P$4, 0)),0)</f>
        <v>1160252.7690656998</v>
      </c>
      <c r="K67" s="47">
        <f xml:space="preserve"> _xlfn.IFNA(INDEX('Forecast drivers'!$C$4:$P$111, MATCH(F_interface!$A67&amp;RIGHT(F_interface!K$2, 2),'Forecast drivers'!$C$4:$C$111, 0), MATCH(F_interface!$D67,'Forecast drivers'!$C$4:$P$4, 0)),0)</f>
        <v>1170237.3150529799</v>
      </c>
      <c r="L67" s="47">
        <f xml:space="preserve"> _xlfn.IFNA(INDEX('Forecast drivers'!$C$4:$P$111, MATCH(F_interface!$A67&amp;RIGHT(F_interface!L$2, 2),'Forecast drivers'!$C$4:$C$111, 0), MATCH(F_interface!$D67,'Forecast drivers'!$C$4:$P$4, 0)),0)</f>
        <v>1180270.4483145119</v>
      </c>
    </row>
    <row r="68" spans="1:12" x14ac:dyDescent="0.25">
      <c r="A68" s="12" t="s">
        <v>89</v>
      </c>
      <c r="B68" s="13" t="s">
        <v>128</v>
      </c>
      <c r="C68" s="12" t="str">
        <f t="shared" si="0"/>
        <v>SVEC_PROP_W_PR19CA004</v>
      </c>
      <c r="D68" s="13" t="s">
        <v>41</v>
      </c>
      <c r="E68" s="13" t="s">
        <v>109</v>
      </c>
      <c r="F68" s="76" t="s">
        <v>3</v>
      </c>
      <c r="G68" s="13" t="s">
        <v>59</v>
      </c>
      <c r="H68" s="47">
        <f xml:space="preserve"> _xlfn.IFNA(INDEX('Forecast drivers'!$C$4:$P$111, MATCH(F_interface!$A68&amp;RIGHT(F_interface!H$2, 2),'Forecast drivers'!$C$4:$C$111, 0), MATCH(F_interface!$D68,'Forecast drivers'!$C$4:$P$4, 0)),0)</f>
        <v>3675807.7712667771</v>
      </c>
      <c r="I68" s="47">
        <f xml:space="preserve"> _xlfn.IFNA(INDEX('Forecast drivers'!$C$4:$P$111, MATCH(F_interface!$A68&amp;RIGHT(F_interface!I$2, 2),'Forecast drivers'!$C$4:$C$111, 0), MATCH(F_interface!$D68,'Forecast drivers'!$C$4:$P$4, 0)),0)</f>
        <v>3697556.5842519379</v>
      </c>
      <c r="J68" s="47">
        <f xml:space="preserve"> _xlfn.IFNA(INDEX('Forecast drivers'!$C$4:$P$111, MATCH(F_interface!$A68&amp;RIGHT(F_interface!J$2, 2),'Forecast drivers'!$C$4:$C$111, 0), MATCH(F_interface!$D68,'Forecast drivers'!$C$4:$P$4, 0)),0)</f>
        <v>3720721.069224969</v>
      </c>
      <c r="K68" s="47">
        <f xml:space="preserve"> _xlfn.IFNA(INDEX('Forecast drivers'!$C$4:$P$111, MATCH(F_interface!$A68&amp;RIGHT(F_interface!K$2, 2),'Forecast drivers'!$C$4:$C$111, 0), MATCH(F_interface!$D68,'Forecast drivers'!$C$4:$P$4, 0)),0)</f>
        <v>3744301.3096400588</v>
      </c>
      <c r="L68" s="47">
        <f xml:space="preserve"> _xlfn.IFNA(INDEX('Forecast drivers'!$C$4:$P$111, MATCH(F_interface!$A68&amp;RIGHT(F_interface!L$2, 2),'Forecast drivers'!$C$4:$C$111, 0), MATCH(F_interface!$D68,'Forecast drivers'!$C$4:$P$4, 0)),0)</f>
        <v>3768295.3310395693</v>
      </c>
    </row>
    <row r="69" spans="1:12" x14ac:dyDescent="0.25">
      <c r="A69" s="12" t="s">
        <v>93</v>
      </c>
      <c r="B69" s="13" t="s">
        <v>128</v>
      </c>
      <c r="C69" s="12" t="str">
        <f t="shared" si="0"/>
        <v>SVHC_PROP_W_PR19CA004</v>
      </c>
      <c r="D69" s="13" t="s">
        <v>41</v>
      </c>
      <c r="E69" s="13" t="s">
        <v>109</v>
      </c>
      <c r="F69" s="76" t="s">
        <v>3</v>
      </c>
      <c r="G69" s="13" t="s">
        <v>59</v>
      </c>
      <c r="H69" s="47">
        <f xml:space="preserve"> _xlfn.IFNA(INDEX('Forecast drivers'!$C$4:$P$111, MATCH(F_interface!$A69&amp;RIGHT(F_interface!H$2, 2),'Forecast drivers'!$C$4:$C$111, 0), MATCH(F_interface!$D69,'Forecast drivers'!$C$4:$P$4, 0)),0)</f>
        <v>3791295.7628240404</v>
      </c>
      <c r="I69" s="47">
        <f xml:space="preserve"> _xlfn.IFNA(INDEX('Forecast drivers'!$C$4:$P$111, MATCH(F_interface!$A69&amp;RIGHT(F_interface!I$2, 2),'Forecast drivers'!$C$4:$C$111, 0), MATCH(F_interface!$D69,'Forecast drivers'!$C$4:$P$4, 0)),0)</f>
        <v>3813378.3235467812</v>
      </c>
      <c r="J69" s="47">
        <f xml:space="preserve"> _xlfn.IFNA(INDEX('Forecast drivers'!$C$4:$P$111, MATCH(F_interface!$A69&amp;RIGHT(F_interface!J$2, 2),'Forecast drivers'!$C$4:$C$111, 0), MATCH(F_interface!$D69,'Forecast drivers'!$C$4:$P$4, 0)),0)</f>
        <v>3840090.8430691739</v>
      </c>
      <c r="K69" s="47">
        <f xml:space="preserve"> _xlfn.IFNA(INDEX('Forecast drivers'!$C$4:$P$111, MATCH(F_interface!$A69&amp;RIGHT(F_interface!K$2, 2),'Forecast drivers'!$C$4:$C$111, 0), MATCH(F_interface!$D69,'Forecast drivers'!$C$4:$P$4, 0)),0)</f>
        <v>3866139.8601263096</v>
      </c>
      <c r="L69" s="47">
        <f xml:space="preserve"> _xlfn.IFNA(INDEX('Forecast drivers'!$C$4:$P$111, MATCH(F_interface!$A69&amp;RIGHT(F_interface!L$2, 2),'Forecast drivers'!$C$4:$C$111, 0), MATCH(F_interface!$D69,'Forecast drivers'!$C$4:$P$4, 0)),0)</f>
        <v>3892655.3291599909</v>
      </c>
    </row>
    <row r="70" spans="1:12" x14ac:dyDescent="0.25">
      <c r="A70" s="12" t="s">
        <v>8</v>
      </c>
      <c r="B70" s="13" t="s">
        <v>128</v>
      </c>
      <c r="C70" s="12" t="str">
        <f t="shared" si="0"/>
        <v>SVTC_PROP_W_PR19CA004</v>
      </c>
      <c r="D70" s="13" t="s">
        <v>41</v>
      </c>
      <c r="E70" s="13" t="s">
        <v>109</v>
      </c>
      <c r="F70" s="76" t="s">
        <v>3</v>
      </c>
      <c r="G70" s="13" t="s">
        <v>59</v>
      </c>
      <c r="H70" s="47">
        <f xml:space="preserve"> _xlfn.IFNA(INDEX('Forecast drivers'!$C$4:$P$111, MATCH(F_interface!$A70&amp;RIGHT(F_interface!H$2, 2),'Forecast drivers'!$C$4:$C$111, 0), MATCH(F_interface!$D70,'Forecast drivers'!$C$4:$P$4, 0)),0)</f>
        <v>3660752.6969703021</v>
      </c>
      <c r="I70" s="47">
        <f xml:space="preserve"> _xlfn.IFNA(INDEX('Forecast drivers'!$C$4:$P$111, MATCH(F_interface!$A70&amp;RIGHT(F_interface!I$2, 2),'Forecast drivers'!$C$4:$C$111, 0), MATCH(F_interface!$D70,'Forecast drivers'!$C$4:$P$4, 0)),0)</f>
        <v>3682078.9228032473</v>
      </c>
      <c r="J70" s="47">
        <f xml:space="preserve"> _xlfn.IFNA(INDEX('Forecast drivers'!$C$4:$P$111, MATCH(F_interface!$A70&amp;RIGHT(F_interface!J$2, 2),'Forecast drivers'!$C$4:$C$111, 0), MATCH(F_interface!$D70,'Forecast drivers'!$C$4:$P$4, 0)),0)</f>
        <v>3707997.173140632</v>
      </c>
      <c r="K70" s="47">
        <f xml:space="preserve"> _xlfn.IFNA(INDEX('Forecast drivers'!$C$4:$P$111, MATCH(F_interface!$A70&amp;RIGHT(F_interface!K$2, 2),'Forecast drivers'!$C$4:$C$111, 0), MATCH(F_interface!$D70,'Forecast drivers'!$C$4:$P$4, 0)),0)</f>
        <v>3733246.4484023536</v>
      </c>
      <c r="L70" s="47">
        <f xml:space="preserve"> _xlfn.IFNA(INDEX('Forecast drivers'!$C$4:$P$111, MATCH(F_interface!$A70&amp;RIGHT(F_interface!L$2, 2),'Forecast drivers'!$C$4:$C$111, 0), MATCH(F_interface!$D70,'Forecast drivers'!$C$4:$P$4, 0)),0)</f>
        <v>3758883.9981980626</v>
      </c>
    </row>
    <row r="71" spans="1:12" x14ac:dyDescent="0.25">
      <c r="A71" s="12" t="s">
        <v>19</v>
      </c>
      <c r="B71" s="13" t="s">
        <v>128</v>
      </c>
      <c r="C71" s="12" t="str">
        <f t="shared" si="0"/>
        <v>SWBC_PROP_W_PR19CA004</v>
      </c>
      <c r="D71" s="13" t="s">
        <v>41</v>
      </c>
      <c r="E71" s="13" t="s">
        <v>109</v>
      </c>
      <c r="F71" s="76" t="s">
        <v>3</v>
      </c>
      <c r="G71" s="13" t="s">
        <v>59</v>
      </c>
      <c r="H71" s="47">
        <f xml:space="preserve"> _xlfn.IFNA(INDEX('Forecast drivers'!$C$4:$P$111, MATCH(F_interface!$A71&amp;RIGHT(F_interface!H$2, 2),'Forecast drivers'!$C$4:$C$111, 0), MATCH(F_interface!$D71,'Forecast drivers'!$C$4:$P$4, 0)),0)</f>
        <v>1065503.0266597697</v>
      </c>
      <c r="I71" s="47">
        <f xml:space="preserve"> _xlfn.IFNA(INDEX('Forecast drivers'!$C$4:$P$111, MATCH(F_interface!$A71&amp;RIGHT(F_interface!I$2, 2),'Forecast drivers'!$C$4:$C$111, 0), MATCH(F_interface!$D71,'Forecast drivers'!$C$4:$P$4, 0)),0)</f>
        <v>1072000.8614842931</v>
      </c>
      <c r="J71" s="47">
        <f xml:space="preserve"> _xlfn.IFNA(INDEX('Forecast drivers'!$C$4:$P$111, MATCH(F_interface!$A71&amp;RIGHT(F_interface!J$2, 2),'Forecast drivers'!$C$4:$C$111, 0), MATCH(F_interface!$D71,'Forecast drivers'!$C$4:$P$4, 0)),0)</f>
        <v>1080023.4889193596</v>
      </c>
      <c r="K71" s="47">
        <f xml:space="preserve"> _xlfn.IFNA(INDEX('Forecast drivers'!$C$4:$P$111, MATCH(F_interface!$A71&amp;RIGHT(F_interface!K$2, 2),'Forecast drivers'!$C$4:$C$111, 0), MATCH(F_interface!$D71,'Forecast drivers'!$C$4:$P$4, 0)),0)</f>
        <v>1087963.4144632763</v>
      </c>
      <c r="L71" s="47">
        <f xml:space="preserve"> _xlfn.IFNA(INDEX('Forecast drivers'!$C$4:$P$111, MATCH(F_interface!$A71&amp;RIGHT(F_interface!L$2, 2),'Forecast drivers'!$C$4:$C$111, 0), MATCH(F_interface!$D71,'Forecast drivers'!$C$4:$P$4, 0)),0)</f>
        <v>1095960.5082021004</v>
      </c>
    </row>
    <row r="72" spans="1:12" x14ac:dyDescent="0.25">
      <c r="A72" s="12" t="s">
        <v>9</v>
      </c>
      <c r="B72" s="13" t="s">
        <v>128</v>
      </c>
      <c r="C72" s="12" t="str">
        <f t="shared" si="0"/>
        <v>TMSC_PROP_W_PR19CA004</v>
      </c>
      <c r="D72" s="13" t="s">
        <v>41</v>
      </c>
      <c r="E72" s="13" t="s">
        <v>109</v>
      </c>
      <c r="F72" s="76" t="s">
        <v>3</v>
      </c>
      <c r="G72" s="13" t="s">
        <v>59</v>
      </c>
      <c r="H72" s="47">
        <f xml:space="preserve"> _xlfn.IFNA(INDEX('Forecast drivers'!$C$4:$P$111, MATCH(F_interface!$A72&amp;RIGHT(F_interface!H$2, 2),'Forecast drivers'!$C$4:$C$111, 0), MATCH(F_interface!$D72,'Forecast drivers'!$C$4:$P$4, 0)),0)</f>
        <v>3923500.5143095669</v>
      </c>
      <c r="I72" s="47">
        <f xml:space="preserve"> _xlfn.IFNA(INDEX('Forecast drivers'!$C$4:$P$111, MATCH(F_interface!$A72&amp;RIGHT(F_interface!I$2, 2),'Forecast drivers'!$C$4:$C$111, 0), MATCH(F_interface!$D72,'Forecast drivers'!$C$4:$P$4, 0)),0)</f>
        <v>3951234.4083156628</v>
      </c>
      <c r="J72" s="47">
        <f xml:space="preserve"> _xlfn.IFNA(INDEX('Forecast drivers'!$C$4:$P$111, MATCH(F_interface!$A72&amp;RIGHT(F_interface!J$2, 2),'Forecast drivers'!$C$4:$C$111, 0), MATCH(F_interface!$D72,'Forecast drivers'!$C$4:$P$4, 0)),0)</f>
        <v>3990947.1669842354</v>
      </c>
      <c r="K72" s="47">
        <f xml:space="preserve"> _xlfn.IFNA(INDEX('Forecast drivers'!$C$4:$P$111, MATCH(F_interface!$A72&amp;RIGHT(F_interface!K$2, 2),'Forecast drivers'!$C$4:$C$111, 0), MATCH(F_interface!$D72,'Forecast drivers'!$C$4:$P$4, 0)),0)</f>
        <v>4029218.1384012369</v>
      </c>
      <c r="L72" s="47">
        <f xml:space="preserve"> _xlfn.IFNA(INDEX('Forecast drivers'!$C$4:$P$111, MATCH(F_interface!$A72&amp;RIGHT(F_interface!L$2, 2),'Forecast drivers'!$C$4:$C$111, 0), MATCH(F_interface!$D72,'Forecast drivers'!$C$4:$P$4, 0)),0)</f>
        <v>4066759.8443802255</v>
      </c>
    </row>
    <row r="73" spans="1:12" x14ac:dyDescent="0.25">
      <c r="A73" s="12" t="s">
        <v>23</v>
      </c>
      <c r="B73" s="13" t="s">
        <v>128</v>
      </c>
      <c r="C73" s="12" t="str">
        <f t="shared" si="0"/>
        <v>WSHC_PROP_W_PR19CA004</v>
      </c>
      <c r="D73" s="13" t="s">
        <v>41</v>
      </c>
      <c r="E73" s="13" t="s">
        <v>109</v>
      </c>
      <c r="F73" s="76" t="s">
        <v>3</v>
      </c>
      <c r="G73" s="13" t="s">
        <v>59</v>
      </c>
      <c r="H73" s="47">
        <f xml:space="preserve"> _xlfn.IFNA(INDEX('Forecast drivers'!$C$4:$P$111, MATCH(F_interface!$A73&amp;RIGHT(F_interface!H$2, 2),'Forecast drivers'!$C$4:$C$111, 0), MATCH(F_interface!$D73,'Forecast drivers'!$C$4:$P$4, 0)),0)</f>
        <v>1456323.174478705</v>
      </c>
      <c r="I73" s="47">
        <f xml:space="preserve"> _xlfn.IFNA(INDEX('Forecast drivers'!$C$4:$P$111, MATCH(F_interface!$A73&amp;RIGHT(F_interface!I$2, 2),'Forecast drivers'!$C$4:$C$111, 0), MATCH(F_interface!$D73,'Forecast drivers'!$C$4:$P$4, 0)),0)</f>
        <v>1463836.9376897023</v>
      </c>
      <c r="J73" s="47">
        <f xml:space="preserve"> _xlfn.IFNA(INDEX('Forecast drivers'!$C$4:$P$111, MATCH(F_interface!$A73&amp;RIGHT(F_interface!J$2, 2),'Forecast drivers'!$C$4:$C$111, 0), MATCH(F_interface!$D73,'Forecast drivers'!$C$4:$P$4, 0)),0)</f>
        <v>1472034.5889555165</v>
      </c>
      <c r="K73" s="47">
        <f xml:space="preserve"> _xlfn.IFNA(INDEX('Forecast drivers'!$C$4:$P$111, MATCH(F_interface!$A73&amp;RIGHT(F_interface!K$2, 2),'Forecast drivers'!$C$4:$C$111, 0), MATCH(F_interface!$D73,'Forecast drivers'!$C$4:$P$4, 0)),0)</f>
        <v>1479831.3178545269</v>
      </c>
      <c r="L73" s="47">
        <f xml:space="preserve"> _xlfn.IFNA(INDEX('Forecast drivers'!$C$4:$P$111, MATCH(F_interface!$A73&amp;RIGHT(F_interface!L$2, 2),'Forecast drivers'!$C$4:$C$111, 0), MATCH(F_interface!$D73,'Forecast drivers'!$C$4:$P$4, 0)),0)</f>
        <v>1487404.2004608649</v>
      </c>
    </row>
    <row r="74" spans="1:12" x14ac:dyDescent="0.25">
      <c r="A74" s="12" t="s">
        <v>10</v>
      </c>
      <c r="B74" s="13" t="s">
        <v>128</v>
      </c>
      <c r="C74" s="12" t="str">
        <f t="shared" si="0"/>
        <v>WSXC_PROP_W_PR19CA004</v>
      </c>
      <c r="D74" s="13" t="s">
        <v>41</v>
      </c>
      <c r="E74" s="13" t="s">
        <v>109</v>
      </c>
      <c r="F74" s="76" t="s">
        <v>3</v>
      </c>
      <c r="G74" s="13" t="s">
        <v>59</v>
      </c>
      <c r="H74" s="47">
        <f xml:space="preserve"> _xlfn.IFNA(INDEX('Forecast drivers'!$C$4:$P$111, MATCH(F_interface!$A74&amp;RIGHT(F_interface!H$2, 2),'Forecast drivers'!$C$4:$C$111, 0), MATCH(F_interface!$D74,'Forecast drivers'!$C$4:$P$4, 0)),0)</f>
        <v>631240.31132510665</v>
      </c>
      <c r="I74" s="47">
        <f xml:space="preserve"> _xlfn.IFNA(INDEX('Forecast drivers'!$C$4:$P$111, MATCH(F_interface!$A74&amp;RIGHT(F_interface!I$2, 2),'Forecast drivers'!$C$4:$C$111, 0), MATCH(F_interface!$D74,'Forecast drivers'!$C$4:$P$4, 0)),0)</f>
        <v>635378.25033630035</v>
      </c>
      <c r="J74" s="47">
        <f xml:space="preserve"> _xlfn.IFNA(INDEX('Forecast drivers'!$C$4:$P$111, MATCH(F_interface!$A74&amp;RIGHT(F_interface!J$2, 2),'Forecast drivers'!$C$4:$C$111, 0), MATCH(F_interface!$D74,'Forecast drivers'!$C$4:$P$4, 0)),0)</f>
        <v>640453.9765088337</v>
      </c>
      <c r="K74" s="47">
        <f xml:space="preserve"> _xlfn.IFNA(INDEX('Forecast drivers'!$C$4:$P$111, MATCH(F_interface!$A74&amp;RIGHT(F_interface!K$2, 2),'Forecast drivers'!$C$4:$C$111, 0), MATCH(F_interface!$D74,'Forecast drivers'!$C$4:$P$4, 0)),0)</f>
        <v>645397.74130469095</v>
      </c>
      <c r="L74" s="47">
        <f xml:space="preserve"> _xlfn.IFNA(INDEX('Forecast drivers'!$C$4:$P$111, MATCH(F_interface!$A74&amp;RIGHT(F_interface!L$2, 2),'Forecast drivers'!$C$4:$C$111, 0), MATCH(F_interface!$D74,'Forecast drivers'!$C$4:$P$4, 0)),0)</f>
        <v>650267.78165512078</v>
      </c>
    </row>
    <row r="75" spans="1:12" x14ac:dyDescent="0.25">
      <c r="A75" s="12" t="s">
        <v>11</v>
      </c>
      <c r="B75" s="13" t="s">
        <v>128</v>
      </c>
      <c r="C75" s="12" t="str">
        <f t="shared" si="0"/>
        <v>YKYC_PROP_W_PR19CA004</v>
      </c>
      <c r="D75" s="13" t="s">
        <v>41</v>
      </c>
      <c r="E75" s="13" t="s">
        <v>109</v>
      </c>
      <c r="F75" s="76" t="s">
        <v>3</v>
      </c>
      <c r="G75" s="13" t="s">
        <v>59</v>
      </c>
      <c r="H75" s="47">
        <f xml:space="preserve"> _xlfn.IFNA(INDEX('Forecast drivers'!$C$4:$P$111, MATCH(F_interface!$A75&amp;RIGHT(F_interface!H$2, 2),'Forecast drivers'!$C$4:$C$111, 0), MATCH(F_interface!$D75,'Forecast drivers'!$C$4:$P$4, 0)),0)</f>
        <v>2340729.0212017358</v>
      </c>
      <c r="I75" s="47">
        <f xml:space="preserve"> _xlfn.IFNA(INDEX('Forecast drivers'!$C$4:$P$111, MATCH(F_interface!$A75&amp;RIGHT(F_interface!I$2, 2),'Forecast drivers'!$C$4:$C$111, 0), MATCH(F_interface!$D75,'Forecast drivers'!$C$4:$P$4, 0)),0)</f>
        <v>2350693.9101503165</v>
      </c>
      <c r="J75" s="47">
        <f xml:space="preserve"> _xlfn.IFNA(INDEX('Forecast drivers'!$C$4:$P$111, MATCH(F_interface!$A75&amp;RIGHT(F_interface!J$2, 2),'Forecast drivers'!$C$4:$C$111, 0), MATCH(F_interface!$D75,'Forecast drivers'!$C$4:$P$4, 0)),0)</f>
        <v>2362673.9203682658</v>
      </c>
      <c r="K75" s="47">
        <f xml:space="preserve"> _xlfn.IFNA(INDEX('Forecast drivers'!$C$4:$P$111, MATCH(F_interface!$A75&amp;RIGHT(F_interface!K$2, 2),'Forecast drivers'!$C$4:$C$111, 0), MATCH(F_interface!$D75,'Forecast drivers'!$C$4:$P$4, 0)),0)</f>
        <v>2374213.2042579888</v>
      </c>
      <c r="L75" s="47">
        <f xml:space="preserve"> _xlfn.IFNA(INDEX('Forecast drivers'!$C$4:$P$111, MATCH(F_interface!$A75&amp;RIGHT(F_interface!L$2, 2),'Forecast drivers'!$C$4:$C$111, 0), MATCH(F_interface!$D75,'Forecast drivers'!$C$4:$P$4, 0)),0)</f>
        <v>2385728.7399119949</v>
      </c>
    </row>
    <row r="76" spans="1:12" x14ac:dyDescent="0.25">
      <c r="A76" s="12" t="s">
        <v>12</v>
      </c>
      <c r="B76" s="13" t="s">
        <v>128</v>
      </c>
      <c r="C76" s="12" t="str">
        <f t="shared" si="0"/>
        <v>AFWC_PROP_W_PR19CA004</v>
      </c>
      <c r="D76" s="13" t="s">
        <v>41</v>
      </c>
      <c r="E76" s="13" t="s">
        <v>109</v>
      </c>
      <c r="F76" s="76" t="s">
        <v>3</v>
      </c>
      <c r="G76" s="13" t="s">
        <v>59</v>
      </c>
      <c r="H76" s="47">
        <f xml:space="preserve"> _xlfn.IFNA(INDEX('Forecast drivers'!$C$4:$P$111, MATCH(F_interface!$A76&amp;RIGHT(F_interface!H$2, 2),'Forecast drivers'!$C$4:$C$111, 0), MATCH(F_interface!$D76,'Forecast drivers'!$C$4:$P$4, 0)),0)</f>
        <v>1536567.9204107798</v>
      </c>
      <c r="I76" s="47">
        <f xml:space="preserve"> _xlfn.IFNA(INDEX('Forecast drivers'!$C$4:$P$111, MATCH(F_interface!$A76&amp;RIGHT(F_interface!I$2, 2),'Forecast drivers'!$C$4:$C$111, 0), MATCH(F_interface!$D76,'Forecast drivers'!$C$4:$P$4, 0)),0)</f>
        <v>1547439.3955690572</v>
      </c>
      <c r="J76" s="47">
        <f xml:space="preserve"> _xlfn.IFNA(INDEX('Forecast drivers'!$C$4:$P$111, MATCH(F_interface!$A76&amp;RIGHT(F_interface!J$2, 2),'Forecast drivers'!$C$4:$C$111, 0), MATCH(F_interface!$D76,'Forecast drivers'!$C$4:$P$4, 0)),0)</f>
        <v>1562384.6288582352</v>
      </c>
      <c r="K76" s="47">
        <f xml:space="preserve"> _xlfn.IFNA(INDEX('Forecast drivers'!$C$4:$P$111, MATCH(F_interface!$A76&amp;RIGHT(F_interface!K$2, 2),'Forecast drivers'!$C$4:$C$111, 0), MATCH(F_interface!$D76,'Forecast drivers'!$C$4:$P$4, 0)),0)</f>
        <v>1576847.8222236119</v>
      </c>
      <c r="L76" s="47">
        <f xml:space="preserve"> _xlfn.IFNA(INDEX('Forecast drivers'!$C$4:$P$111, MATCH(F_interface!$A76&amp;RIGHT(F_interface!L$2, 2),'Forecast drivers'!$C$4:$C$111, 0), MATCH(F_interface!$D76,'Forecast drivers'!$C$4:$P$4, 0)),0)</f>
        <v>1591148.5850410517</v>
      </c>
    </row>
    <row r="77" spans="1:12" x14ac:dyDescent="0.25">
      <c r="A77" s="12" t="s">
        <v>13</v>
      </c>
      <c r="B77" s="13" t="s">
        <v>128</v>
      </c>
      <c r="C77" s="12" t="str">
        <f t="shared" si="0"/>
        <v>BRLC_PROP_W_PR19CA004</v>
      </c>
      <c r="D77" s="13" t="s">
        <v>41</v>
      </c>
      <c r="E77" s="13" t="s">
        <v>109</v>
      </c>
      <c r="F77" s="76" t="s">
        <v>3</v>
      </c>
      <c r="G77" s="13" t="s">
        <v>59</v>
      </c>
      <c r="H77" s="47">
        <f xml:space="preserve"> _xlfn.IFNA(INDEX('Forecast drivers'!$C$4:$P$111, MATCH(F_interface!$A77&amp;RIGHT(F_interface!H$2, 2),'Forecast drivers'!$C$4:$C$111, 0), MATCH(F_interface!$D77,'Forecast drivers'!$C$4:$P$4, 0)),0)</f>
        <v>551299.77532889182</v>
      </c>
      <c r="I77" s="47">
        <f xml:space="preserve"> _xlfn.IFNA(INDEX('Forecast drivers'!$C$4:$P$111, MATCH(F_interface!$A77&amp;RIGHT(F_interface!I$2, 2),'Forecast drivers'!$C$4:$C$111, 0), MATCH(F_interface!$D77,'Forecast drivers'!$C$4:$P$4, 0)),0)</f>
        <v>555828.67444867943</v>
      </c>
      <c r="J77" s="47">
        <f xml:space="preserve"> _xlfn.IFNA(INDEX('Forecast drivers'!$C$4:$P$111, MATCH(F_interface!$A77&amp;RIGHT(F_interface!J$2, 2),'Forecast drivers'!$C$4:$C$111, 0), MATCH(F_interface!$D77,'Forecast drivers'!$C$4:$P$4, 0)),0)</f>
        <v>560656.36645697628</v>
      </c>
      <c r="K77" s="47">
        <f xml:space="preserve"> _xlfn.IFNA(INDEX('Forecast drivers'!$C$4:$P$111, MATCH(F_interface!$A77&amp;RIGHT(F_interface!K$2, 2),'Forecast drivers'!$C$4:$C$111, 0), MATCH(F_interface!$D77,'Forecast drivers'!$C$4:$P$4, 0)),0)</f>
        <v>565489.98347792588</v>
      </c>
      <c r="L77" s="47">
        <f xml:space="preserve"> _xlfn.IFNA(INDEX('Forecast drivers'!$C$4:$P$111, MATCH(F_interface!$A77&amp;RIGHT(F_interface!L$2, 2),'Forecast drivers'!$C$4:$C$111, 0), MATCH(F_interface!$D77,'Forecast drivers'!$C$4:$P$4, 0)),0)</f>
        <v>570394.84592247347</v>
      </c>
    </row>
    <row r="78" spans="1:12" x14ac:dyDescent="0.25">
      <c r="A78" s="12" t="s">
        <v>14</v>
      </c>
      <c r="B78" s="13" t="s">
        <v>128</v>
      </c>
      <c r="C78" s="12" t="str">
        <f t="shared" si="0"/>
        <v>DVWC_PROP_W_PR19CA004</v>
      </c>
      <c r="D78" s="13" t="s">
        <v>41</v>
      </c>
      <c r="E78" s="13" t="s">
        <v>109</v>
      </c>
      <c r="F78" s="76" t="s">
        <v>3</v>
      </c>
      <c r="G78" s="13" t="s">
        <v>59</v>
      </c>
      <c r="H78" s="47">
        <f xml:space="preserve"> _xlfn.IFNA(INDEX('Forecast drivers'!$C$4:$P$111, MATCH(F_interface!$A78&amp;RIGHT(F_interface!H$2, 2),'Forecast drivers'!$C$4:$C$111, 0), MATCH(F_interface!$D78,'Forecast drivers'!$C$4:$P$4, 0)),0)</f>
        <v>130244.96915242387</v>
      </c>
      <c r="I78" s="47">
        <f xml:space="preserve"> _xlfn.IFNA(INDEX('Forecast drivers'!$C$4:$P$111, MATCH(F_interface!$A78&amp;RIGHT(F_interface!I$2, 2),'Forecast drivers'!$C$4:$C$111, 0), MATCH(F_interface!$D78,'Forecast drivers'!$C$4:$P$4, 0)),0)</f>
        <v>130972.40878598308</v>
      </c>
      <c r="J78" s="47">
        <f xml:space="preserve"> _xlfn.IFNA(INDEX('Forecast drivers'!$C$4:$P$111, MATCH(F_interface!$A78&amp;RIGHT(F_interface!J$2, 2),'Forecast drivers'!$C$4:$C$111, 0), MATCH(F_interface!$D78,'Forecast drivers'!$C$4:$P$4, 0)),0)</f>
        <v>131705.91568885284</v>
      </c>
      <c r="K78" s="47">
        <f xml:space="preserve"> _xlfn.IFNA(INDEX('Forecast drivers'!$C$4:$P$111, MATCH(F_interface!$A78&amp;RIGHT(F_interface!K$2, 2),'Forecast drivers'!$C$4:$C$111, 0), MATCH(F_interface!$D78,'Forecast drivers'!$C$4:$P$4, 0)),0)</f>
        <v>132430.40184490185</v>
      </c>
      <c r="L78" s="47">
        <f xml:space="preserve"> _xlfn.IFNA(INDEX('Forecast drivers'!$C$4:$P$111, MATCH(F_interface!$A78&amp;RIGHT(F_interface!L$2, 2),'Forecast drivers'!$C$4:$C$111, 0), MATCH(F_interface!$D78,'Forecast drivers'!$C$4:$P$4, 0)),0)</f>
        <v>133136.16841565364</v>
      </c>
    </row>
    <row r="79" spans="1:12" x14ac:dyDescent="0.25">
      <c r="A79" s="12" t="s">
        <v>15</v>
      </c>
      <c r="B79" s="13" t="s">
        <v>128</v>
      </c>
      <c r="C79" s="12" t="str">
        <f t="shared" si="0"/>
        <v>PRTC_PROP_W_PR19CA004</v>
      </c>
      <c r="D79" s="13" t="s">
        <v>41</v>
      </c>
      <c r="E79" s="13" t="s">
        <v>109</v>
      </c>
      <c r="F79" s="76" t="s">
        <v>3</v>
      </c>
      <c r="G79" s="13" t="s">
        <v>59</v>
      </c>
      <c r="H79" s="47">
        <f xml:space="preserve"> _xlfn.IFNA(INDEX('Forecast drivers'!$C$4:$P$111, MATCH(F_interface!$A79&amp;RIGHT(F_interface!H$2, 2),'Forecast drivers'!$C$4:$C$111, 0), MATCH(F_interface!$D79,'Forecast drivers'!$C$4:$P$4, 0)),0)</f>
        <v>326275.02153656719</v>
      </c>
      <c r="I79" s="47">
        <f xml:space="preserve"> _xlfn.IFNA(INDEX('Forecast drivers'!$C$4:$P$111, MATCH(F_interface!$A79&amp;RIGHT(F_interface!I$2, 2),'Forecast drivers'!$C$4:$C$111, 0), MATCH(F_interface!$D79,'Forecast drivers'!$C$4:$P$4, 0)),0)</f>
        <v>328171.2136505383</v>
      </c>
      <c r="J79" s="47">
        <f xml:space="preserve"> _xlfn.IFNA(INDEX('Forecast drivers'!$C$4:$P$111, MATCH(F_interface!$A79&amp;RIGHT(F_interface!J$2, 2),'Forecast drivers'!$C$4:$C$111, 0), MATCH(F_interface!$D79,'Forecast drivers'!$C$4:$P$4, 0)),0)</f>
        <v>330338.57308476535</v>
      </c>
      <c r="K79" s="47">
        <f xml:space="preserve"> _xlfn.IFNA(INDEX('Forecast drivers'!$C$4:$P$111, MATCH(F_interface!$A79&amp;RIGHT(F_interface!K$2, 2),'Forecast drivers'!$C$4:$C$111, 0), MATCH(F_interface!$D79,'Forecast drivers'!$C$4:$P$4, 0)),0)</f>
        <v>332478.50183729443</v>
      </c>
      <c r="L79" s="47">
        <f xml:space="preserve"> _xlfn.IFNA(INDEX('Forecast drivers'!$C$4:$P$111, MATCH(F_interface!$A79&amp;RIGHT(F_interface!L$2, 2),'Forecast drivers'!$C$4:$C$111, 0), MATCH(F_interface!$D79,'Forecast drivers'!$C$4:$P$4, 0)),0)</f>
        <v>334723.6530767972</v>
      </c>
    </row>
    <row r="80" spans="1:12" x14ac:dyDescent="0.25">
      <c r="A80" s="12" t="s">
        <v>16</v>
      </c>
      <c r="B80" s="13" t="s">
        <v>128</v>
      </c>
      <c r="C80" s="12" t="str">
        <f t="shared" si="0"/>
        <v>SESC_PROP_W_PR19CA004</v>
      </c>
      <c r="D80" s="13" t="s">
        <v>41</v>
      </c>
      <c r="E80" s="13" t="s">
        <v>109</v>
      </c>
      <c r="F80" s="76" t="s">
        <v>3</v>
      </c>
      <c r="G80" s="13" t="s">
        <v>59</v>
      </c>
      <c r="H80" s="47">
        <f xml:space="preserve"> _xlfn.IFNA(INDEX('Forecast drivers'!$C$4:$P$111, MATCH(F_interface!$A80&amp;RIGHT(F_interface!H$2, 2),'Forecast drivers'!$C$4:$C$111, 0), MATCH(F_interface!$D80,'Forecast drivers'!$C$4:$P$4, 0)),0)</f>
        <v>298087.52435144474</v>
      </c>
      <c r="I80" s="47">
        <f xml:space="preserve"> _xlfn.IFNA(INDEX('Forecast drivers'!$C$4:$P$111, MATCH(F_interface!$A80&amp;RIGHT(F_interface!I$2, 2),'Forecast drivers'!$C$4:$C$111, 0), MATCH(F_interface!$D80,'Forecast drivers'!$C$4:$P$4, 0)),0)</f>
        <v>300206.22224376508</v>
      </c>
      <c r="J80" s="47">
        <f xml:space="preserve"> _xlfn.IFNA(INDEX('Forecast drivers'!$C$4:$P$111, MATCH(F_interface!$A80&amp;RIGHT(F_interface!J$2, 2),'Forecast drivers'!$C$4:$C$111, 0), MATCH(F_interface!$D80,'Forecast drivers'!$C$4:$P$4, 0)),0)</f>
        <v>303086.05229475518</v>
      </c>
      <c r="K80" s="47">
        <f xml:space="preserve"> _xlfn.IFNA(INDEX('Forecast drivers'!$C$4:$P$111, MATCH(F_interface!$A80&amp;RIGHT(F_interface!K$2, 2),'Forecast drivers'!$C$4:$C$111, 0), MATCH(F_interface!$D80,'Forecast drivers'!$C$4:$P$4, 0)),0)</f>
        <v>305822.3131056666</v>
      </c>
      <c r="L80" s="47">
        <f xml:space="preserve"> _xlfn.IFNA(INDEX('Forecast drivers'!$C$4:$P$111, MATCH(F_interface!$A80&amp;RIGHT(F_interface!L$2, 2),'Forecast drivers'!$C$4:$C$111, 0), MATCH(F_interface!$D80,'Forecast drivers'!$C$4:$P$4, 0)),0)</f>
        <v>308518.18594401691</v>
      </c>
    </row>
    <row r="81" spans="1:12" x14ac:dyDescent="0.25">
      <c r="A81" s="12" t="s">
        <v>17</v>
      </c>
      <c r="B81" s="13" t="s">
        <v>128</v>
      </c>
      <c r="C81" s="12" t="str">
        <f t="shared" si="0"/>
        <v>SEWC_PROP_W_PR19CA004</v>
      </c>
      <c r="D81" s="13" t="s">
        <v>41</v>
      </c>
      <c r="E81" s="13" t="s">
        <v>109</v>
      </c>
      <c r="F81" s="76" t="s">
        <v>3</v>
      </c>
      <c r="G81" s="13" t="s">
        <v>59</v>
      </c>
      <c r="H81" s="47">
        <f xml:space="preserve"> _xlfn.IFNA(INDEX('Forecast drivers'!$C$4:$P$111, MATCH(F_interface!$A81&amp;RIGHT(F_interface!H$2, 2),'Forecast drivers'!$C$4:$C$111, 0), MATCH(F_interface!$D81,'Forecast drivers'!$C$4:$P$4, 0)),0)</f>
        <v>1040185.2517487793</v>
      </c>
      <c r="I81" s="47">
        <f xml:space="preserve"> _xlfn.IFNA(INDEX('Forecast drivers'!$C$4:$P$111, MATCH(F_interface!$A81&amp;RIGHT(F_interface!I$2, 2),'Forecast drivers'!$C$4:$C$111, 0), MATCH(F_interface!$D81,'Forecast drivers'!$C$4:$P$4, 0)),0)</f>
        <v>1048529.1355816894</v>
      </c>
      <c r="J81" s="47">
        <f xml:space="preserve"> _xlfn.IFNA(INDEX('Forecast drivers'!$C$4:$P$111, MATCH(F_interface!$A81&amp;RIGHT(F_interface!J$2, 2),'Forecast drivers'!$C$4:$C$111, 0), MATCH(F_interface!$D81,'Forecast drivers'!$C$4:$P$4, 0)),0)</f>
        <v>1058349.742569834</v>
      </c>
      <c r="K81" s="47">
        <f xml:space="preserve"> _xlfn.IFNA(INDEX('Forecast drivers'!$C$4:$P$111, MATCH(F_interface!$A81&amp;RIGHT(F_interface!K$2, 2),'Forecast drivers'!$C$4:$C$111, 0), MATCH(F_interface!$D81,'Forecast drivers'!$C$4:$P$4, 0)),0)</f>
        <v>1067793.3386037902</v>
      </c>
      <c r="L81" s="47">
        <f xml:space="preserve"> _xlfn.IFNA(INDEX('Forecast drivers'!$C$4:$P$111, MATCH(F_interface!$A81&amp;RIGHT(F_interface!L$2, 2),'Forecast drivers'!$C$4:$C$111, 0), MATCH(F_interface!$D81,'Forecast drivers'!$C$4:$P$4, 0)),0)</f>
        <v>1077208.732229165</v>
      </c>
    </row>
    <row r="82" spans="1:12" x14ac:dyDescent="0.25">
      <c r="A82" s="12" t="s">
        <v>18</v>
      </c>
      <c r="B82" s="13" t="s">
        <v>128</v>
      </c>
      <c r="C82" s="12" t="str">
        <f t="shared" si="0"/>
        <v>SSCC_PROP_W_PR19CA004</v>
      </c>
      <c r="D82" s="13" t="s">
        <v>41</v>
      </c>
      <c r="E82" s="13" t="s">
        <v>109</v>
      </c>
      <c r="F82" s="76" t="s">
        <v>3</v>
      </c>
      <c r="G82" s="13" t="s">
        <v>59</v>
      </c>
      <c r="H82" s="47">
        <f xml:space="preserve"> _xlfn.IFNA(INDEX('Forecast drivers'!$C$4:$P$111, MATCH(F_interface!$A82&amp;RIGHT(F_interface!H$2, 2),'Forecast drivers'!$C$4:$C$111, 0), MATCH(F_interface!$D82,'Forecast drivers'!$C$4:$P$4, 0)),0)</f>
        <v>747581.38479604176</v>
      </c>
      <c r="I82" s="47">
        <f xml:space="preserve"> _xlfn.IFNA(INDEX('Forecast drivers'!$C$4:$P$111, MATCH(F_interface!$A82&amp;RIGHT(F_interface!I$2, 2),'Forecast drivers'!$C$4:$C$111, 0), MATCH(F_interface!$D82,'Forecast drivers'!$C$4:$P$4, 0)),0)</f>
        <v>751029.01903763274</v>
      </c>
      <c r="J82" s="47">
        <f xml:space="preserve"> _xlfn.IFNA(INDEX('Forecast drivers'!$C$4:$P$111, MATCH(F_interface!$A82&amp;RIGHT(F_interface!J$2, 2),'Forecast drivers'!$C$4:$C$111, 0), MATCH(F_interface!$D82,'Forecast drivers'!$C$4:$P$4, 0)),0)</f>
        <v>755581.8662301437</v>
      </c>
      <c r="K82" s="47">
        <f xml:space="preserve"> _xlfn.IFNA(INDEX('Forecast drivers'!$C$4:$P$111, MATCH(F_interface!$A82&amp;RIGHT(F_interface!K$2, 2),'Forecast drivers'!$C$4:$C$111, 0), MATCH(F_interface!$D82,'Forecast drivers'!$C$4:$P$4, 0)),0)</f>
        <v>759928.24542430858</v>
      </c>
      <c r="L82" s="47">
        <f xml:space="preserve"> _xlfn.IFNA(INDEX('Forecast drivers'!$C$4:$P$111, MATCH(F_interface!$A82&amp;RIGHT(F_interface!L$2, 2),'Forecast drivers'!$C$4:$C$111, 0), MATCH(F_interface!$D82,'Forecast drivers'!$C$4:$P$4, 0)),0)</f>
        <v>764292.39851095912</v>
      </c>
    </row>
    <row r="83" spans="1:12" x14ac:dyDescent="0.25">
      <c r="A83" s="12" t="s">
        <v>4</v>
      </c>
      <c r="B83" s="13" t="s">
        <v>129</v>
      </c>
      <c r="C83" s="12" t="str">
        <f t="shared" si="0"/>
        <v>ANHC_MAINS_PR19CA004</v>
      </c>
      <c r="D83" s="13" t="s">
        <v>42</v>
      </c>
      <c r="E83" s="13" t="s">
        <v>44</v>
      </c>
      <c r="F83" s="76" t="s">
        <v>47</v>
      </c>
      <c r="G83" s="13" t="s">
        <v>59</v>
      </c>
      <c r="H83" s="47">
        <f xml:space="preserve"> _xlfn.IFNA(INDEX('Forecast drivers'!$C$4:$P$111, MATCH(F_interface!$A83&amp;RIGHT(F_interface!H$2, 2),'Forecast drivers'!$C$4:$C$111, 0), MATCH(F_interface!$D83,'Forecast drivers'!$C$4:$P$4, 0)),0)</f>
        <v>39448.114065250003</v>
      </c>
      <c r="I83" s="47">
        <f xml:space="preserve"> _xlfn.IFNA(INDEX('Forecast drivers'!$C$4:$P$111, MATCH(F_interface!$A83&amp;RIGHT(F_interface!I$2, 2),'Forecast drivers'!$C$4:$C$111, 0), MATCH(F_interface!$D83,'Forecast drivers'!$C$4:$P$4, 0)),0)</f>
        <v>39620.486661910712</v>
      </c>
      <c r="J83" s="47">
        <f xml:space="preserve"> _xlfn.IFNA(INDEX('Forecast drivers'!$C$4:$P$111, MATCH(F_interface!$A83&amp;RIGHT(F_interface!J$2, 2),'Forecast drivers'!$C$4:$C$111, 0), MATCH(F_interface!$D83,'Forecast drivers'!$C$4:$P$4, 0)),0)</f>
        <v>39781.359258571429</v>
      </c>
      <c r="K83" s="47">
        <f xml:space="preserve"> _xlfn.IFNA(INDEX('Forecast drivers'!$C$4:$P$111, MATCH(F_interface!$A83&amp;RIGHT(F_interface!K$2, 2),'Forecast drivers'!$C$4:$C$111, 0), MATCH(F_interface!$D83,'Forecast drivers'!$C$4:$P$4, 0)),0)</f>
        <v>39948.231855232138</v>
      </c>
      <c r="L83" s="47">
        <f xml:space="preserve"> _xlfn.IFNA(INDEX('Forecast drivers'!$C$4:$P$111, MATCH(F_interface!$A83&amp;RIGHT(F_interface!L$2, 2),'Forecast drivers'!$C$4:$C$111, 0), MATCH(F_interface!$D83,'Forecast drivers'!$C$4:$P$4, 0)),0)</f>
        <v>40291.604451892854</v>
      </c>
    </row>
    <row r="84" spans="1:12" x14ac:dyDescent="0.25">
      <c r="A84" s="12" t="s">
        <v>90</v>
      </c>
      <c r="B84" s="13" t="s">
        <v>129</v>
      </c>
      <c r="C84" s="12" t="str">
        <f t="shared" si="0"/>
        <v>HDDC_MAINS_PR19CA004</v>
      </c>
      <c r="D84" s="13" t="s">
        <v>42</v>
      </c>
      <c r="E84" s="13" t="s">
        <v>44</v>
      </c>
      <c r="F84" s="76" t="s">
        <v>47</v>
      </c>
      <c r="G84" s="13" t="s">
        <v>59</v>
      </c>
      <c r="H84" s="47">
        <f xml:space="preserve"> _xlfn.IFNA(INDEX('Forecast drivers'!$C$4:$P$111, MATCH(F_interface!$A84&amp;RIGHT(F_interface!H$2, 2),'Forecast drivers'!$C$4:$C$111, 0), MATCH(F_interface!$D84,'Forecast drivers'!$C$4:$P$4, 0)),0)</f>
        <v>2662.71378</v>
      </c>
      <c r="I84" s="47">
        <f xml:space="preserve"> _xlfn.IFNA(INDEX('Forecast drivers'!$C$4:$P$111, MATCH(F_interface!$A84&amp;RIGHT(F_interface!I$2, 2),'Forecast drivers'!$C$4:$C$111, 0), MATCH(F_interface!$D84,'Forecast drivers'!$C$4:$P$4, 0)),0)</f>
        <v>2673.4137799999999</v>
      </c>
      <c r="J84" s="47">
        <f xml:space="preserve"> _xlfn.IFNA(INDEX('Forecast drivers'!$C$4:$P$111, MATCH(F_interface!$A84&amp;RIGHT(F_interface!J$2, 2),'Forecast drivers'!$C$4:$C$111, 0), MATCH(F_interface!$D84,'Forecast drivers'!$C$4:$P$4, 0)),0)</f>
        <v>2684.1137800000001</v>
      </c>
      <c r="K84" s="47">
        <f xml:space="preserve"> _xlfn.IFNA(INDEX('Forecast drivers'!$C$4:$P$111, MATCH(F_interface!$A84&amp;RIGHT(F_interface!K$2, 2),'Forecast drivers'!$C$4:$C$111, 0), MATCH(F_interface!$D84,'Forecast drivers'!$C$4:$P$4, 0)),0)</f>
        <v>2694.81378</v>
      </c>
      <c r="L84" s="47">
        <f xml:space="preserve"> _xlfn.IFNA(INDEX('Forecast drivers'!$C$4:$P$111, MATCH(F_interface!$A84&amp;RIGHT(F_interface!L$2, 2),'Forecast drivers'!$C$4:$C$111, 0), MATCH(F_interface!$D84,'Forecast drivers'!$C$4:$P$4, 0)),0)</f>
        <v>2705.5137800000002</v>
      </c>
    </row>
    <row r="85" spans="1:12" x14ac:dyDescent="0.25">
      <c r="A85" s="12" t="s">
        <v>5</v>
      </c>
      <c r="B85" s="13" t="s">
        <v>129</v>
      </c>
      <c r="C85" s="12" t="str">
        <f t="shared" si="0"/>
        <v>NESC_MAINS_PR19CA004</v>
      </c>
      <c r="D85" s="13" t="s">
        <v>42</v>
      </c>
      <c r="E85" s="13" t="s">
        <v>44</v>
      </c>
      <c r="F85" s="76" t="s">
        <v>47</v>
      </c>
      <c r="G85" s="13" t="s">
        <v>59</v>
      </c>
      <c r="H85" s="47">
        <f xml:space="preserve"> _xlfn.IFNA(INDEX('Forecast drivers'!$C$4:$P$111, MATCH(F_interface!$A85&amp;RIGHT(F_interface!H$2, 2),'Forecast drivers'!$C$4:$C$111, 0), MATCH(F_interface!$D85,'Forecast drivers'!$C$4:$P$4, 0)),0)</f>
        <v>26331.456266502402</v>
      </c>
      <c r="I85" s="47">
        <f xml:space="preserve"> _xlfn.IFNA(INDEX('Forecast drivers'!$C$4:$P$111, MATCH(F_interface!$A85&amp;RIGHT(F_interface!I$2, 2),'Forecast drivers'!$C$4:$C$111, 0), MATCH(F_interface!$D85,'Forecast drivers'!$C$4:$P$4, 0)),0)</f>
        <v>26446.024410362828</v>
      </c>
      <c r="J85" s="47">
        <f xml:space="preserve"> _xlfn.IFNA(INDEX('Forecast drivers'!$C$4:$P$111, MATCH(F_interface!$A85&amp;RIGHT(F_interface!J$2, 2),'Forecast drivers'!$C$4:$C$111, 0), MATCH(F_interface!$D85,'Forecast drivers'!$C$4:$P$4, 0)),0)</f>
        <v>26556.592554223258</v>
      </c>
      <c r="K85" s="47">
        <f xml:space="preserve"> _xlfn.IFNA(INDEX('Forecast drivers'!$C$4:$P$111, MATCH(F_interface!$A85&amp;RIGHT(F_interface!K$2, 2),'Forecast drivers'!$C$4:$C$111, 0), MATCH(F_interface!$D85,'Forecast drivers'!$C$4:$P$4, 0)),0)</f>
        <v>26672.660698083688</v>
      </c>
      <c r="L85" s="47">
        <f xml:space="preserve"> _xlfn.IFNA(INDEX('Forecast drivers'!$C$4:$P$111, MATCH(F_interface!$A85&amp;RIGHT(F_interface!L$2, 2),'Forecast drivers'!$C$4:$C$111, 0), MATCH(F_interface!$D85,'Forecast drivers'!$C$4:$P$4, 0)),0)</f>
        <v>26791.728841944117</v>
      </c>
    </row>
    <row r="86" spans="1:12" x14ac:dyDescent="0.25">
      <c r="A86" s="12" t="s">
        <v>6</v>
      </c>
      <c r="B86" s="13" t="s">
        <v>129</v>
      </c>
      <c r="C86" s="12" t="str">
        <f t="shared" si="0"/>
        <v>NWTC_MAINS_PR19CA004</v>
      </c>
      <c r="D86" s="13" t="s">
        <v>42</v>
      </c>
      <c r="E86" s="13" t="s">
        <v>44</v>
      </c>
      <c r="F86" s="76" t="s">
        <v>47</v>
      </c>
      <c r="G86" s="13" t="s">
        <v>59</v>
      </c>
      <c r="H86" s="47">
        <f xml:space="preserve"> _xlfn.IFNA(INDEX('Forecast drivers'!$C$4:$P$111, MATCH(F_interface!$A86&amp;RIGHT(F_interface!H$2, 2),'Forecast drivers'!$C$4:$C$111, 0), MATCH(F_interface!$D86,'Forecast drivers'!$C$4:$P$4, 0)),0)</f>
        <v>43287.132542577499</v>
      </c>
      <c r="I86" s="47">
        <f xml:space="preserve"> _xlfn.IFNA(INDEX('Forecast drivers'!$C$4:$P$111, MATCH(F_interface!$A86&amp;RIGHT(F_interface!I$2, 2),'Forecast drivers'!$C$4:$C$111, 0), MATCH(F_interface!$D86,'Forecast drivers'!$C$4:$P$4, 0)),0)</f>
        <v>43417.573274658469</v>
      </c>
      <c r="J86" s="47">
        <f xml:space="preserve"> _xlfn.IFNA(INDEX('Forecast drivers'!$C$4:$P$111, MATCH(F_interface!$A86&amp;RIGHT(F_interface!J$2, 2),'Forecast drivers'!$C$4:$C$111, 0), MATCH(F_interface!$D86,'Forecast drivers'!$C$4:$P$4, 0)),0)</f>
        <v>43560.499758460428</v>
      </c>
      <c r="K86" s="47">
        <f xml:space="preserve"> _xlfn.IFNA(INDEX('Forecast drivers'!$C$4:$P$111, MATCH(F_interface!$A86&amp;RIGHT(F_interface!K$2, 2),'Forecast drivers'!$C$4:$C$111, 0), MATCH(F_interface!$D86,'Forecast drivers'!$C$4:$P$4, 0)),0)</f>
        <v>43703.47624226239</v>
      </c>
      <c r="L86" s="47">
        <f xml:space="preserve"> _xlfn.IFNA(INDEX('Forecast drivers'!$C$4:$P$111, MATCH(F_interface!$A86&amp;RIGHT(F_interface!L$2, 2),'Forecast drivers'!$C$4:$C$111, 0), MATCH(F_interface!$D86,'Forecast drivers'!$C$4:$P$4, 0)),0)</f>
        <v>43846.452726064366</v>
      </c>
    </row>
    <row r="87" spans="1:12" x14ac:dyDescent="0.25">
      <c r="A87" s="12" t="s">
        <v>7</v>
      </c>
      <c r="B87" s="13" t="s">
        <v>129</v>
      </c>
      <c r="C87" s="12" t="str">
        <f t="shared" si="0"/>
        <v>SRNC_MAINS_PR19CA004</v>
      </c>
      <c r="D87" s="13" t="s">
        <v>42</v>
      </c>
      <c r="E87" s="13" t="s">
        <v>44</v>
      </c>
      <c r="F87" s="76" t="s">
        <v>47</v>
      </c>
      <c r="G87" s="13" t="s">
        <v>59</v>
      </c>
      <c r="H87" s="47">
        <f xml:space="preserve"> _xlfn.IFNA(INDEX('Forecast drivers'!$C$4:$P$111, MATCH(F_interface!$A87&amp;RIGHT(F_interface!H$2, 2),'Forecast drivers'!$C$4:$C$111, 0), MATCH(F_interface!$D87,'Forecast drivers'!$C$4:$P$4, 0)),0)</f>
        <v>14027.088785714284</v>
      </c>
      <c r="I87" s="47">
        <f xml:space="preserve"> _xlfn.IFNA(INDEX('Forecast drivers'!$C$4:$P$111, MATCH(F_interface!$A87&amp;RIGHT(F_interface!I$2, 2),'Forecast drivers'!$C$4:$C$111, 0), MATCH(F_interface!$D87,'Forecast drivers'!$C$4:$P$4, 0)),0)</f>
        <v>14064.607339285714</v>
      </c>
      <c r="J87" s="47">
        <f xml:space="preserve"> _xlfn.IFNA(INDEX('Forecast drivers'!$C$4:$P$111, MATCH(F_interface!$A87&amp;RIGHT(F_interface!J$2, 2),'Forecast drivers'!$C$4:$C$111, 0), MATCH(F_interface!$D87,'Forecast drivers'!$C$4:$P$4, 0)),0)</f>
        <v>14102.125892857142</v>
      </c>
      <c r="K87" s="47">
        <f xml:space="preserve"> _xlfn.IFNA(INDEX('Forecast drivers'!$C$4:$P$111, MATCH(F_interface!$A87&amp;RIGHT(F_interface!K$2, 2),'Forecast drivers'!$C$4:$C$111, 0), MATCH(F_interface!$D87,'Forecast drivers'!$C$4:$P$4, 0)),0)</f>
        <v>14139.644446428571</v>
      </c>
      <c r="L87" s="47">
        <f xml:space="preserve"> _xlfn.IFNA(INDEX('Forecast drivers'!$C$4:$P$111, MATCH(F_interface!$A87&amp;RIGHT(F_interface!L$2, 2),'Forecast drivers'!$C$4:$C$111, 0), MATCH(F_interface!$D87,'Forecast drivers'!$C$4:$P$4, 0)),0)</f>
        <v>14177.163</v>
      </c>
    </row>
    <row r="88" spans="1:12" x14ac:dyDescent="0.25">
      <c r="A88" s="12" t="s">
        <v>89</v>
      </c>
      <c r="B88" s="13" t="s">
        <v>129</v>
      </c>
      <c r="C88" s="12" t="str">
        <f t="shared" si="0"/>
        <v>SVEC_MAINS_PR19CA004</v>
      </c>
      <c r="D88" s="13" t="s">
        <v>42</v>
      </c>
      <c r="E88" s="13" t="s">
        <v>44</v>
      </c>
      <c r="F88" s="76" t="s">
        <v>47</v>
      </c>
      <c r="G88" s="13" t="s">
        <v>59</v>
      </c>
      <c r="H88" s="47">
        <f xml:space="preserve"> _xlfn.IFNA(INDEX('Forecast drivers'!$C$4:$P$111, MATCH(F_interface!$A88&amp;RIGHT(F_interface!H$2, 2),'Forecast drivers'!$C$4:$C$111, 0), MATCH(F_interface!$D88,'Forecast drivers'!$C$4:$P$4, 0)),0)</f>
        <v>46989.190525003003</v>
      </c>
      <c r="I88" s="47">
        <f xml:space="preserve"> _xlfn.IFNA(INDEX('Forecast drivers'!$C$4:$P$111, MATCH(F_interface!$A88&amp;RIGHT(F_interface!I$2, 2),'Forecast drivers'!$C$4:$C$111, 0), MATCH(F_interface!$D88,'Forecast drivers'!$C$4:$P$4, 0)),0)</f>
        <v>47108.270525003005</v>
      </c>
      <c r="J88" s="47">
        <f xml:space="preserve"> _xlfn.IFNA(INDEX('Forecast drivers'!$C$4:$P$111, MATCH(F_interface!$A88&amp;RIGHT(F_interface!J$2, 2),'Forecast drivers'!$C$4:$C$111, 0), MATCH(F_interface!$D88,'Forecast drivers'!$C$4:$P$4, 0)),0)</f>
        <v>47227.350525002999</v>
      </c>
      <c r="K88" s="47">
        <f xml:space="preserve"> _xlfn.IFNA(INDEX('Forecast drivers'!$C$4:$P$111, MATCH(F_interface!$A88&amp;RIGHT(F_interface!K$2, 2),'Forecast drivers'!$C$4:$C$111, 0), MATCH(F_interface!$D88,'Forecast drivers'!$C$4:$P$4, 0)),0)</f>
        <v>47346.430525003001</v>
      </c>
      <c r="L88" s="47">
        <f xml:space="preserve"> _xlfn.IFNA(INDEX('Forecast drivers'!$C$4:$P$111, MATCH(F_interface!$A88&amp;RIGHT(F_interface!L$2, 2),'Forecast drivers'!$C$4:$C$111, 0), MATCH(F_interface!$D88,'Forecast drivers'!$C$4:$P$4, 0)),0)</f>
        <v>47465.510525003003</v>
      </c>
    </row>
    <row r="89" spans="1:12" x14ac:dyDescent="0.25">
      <c r="A89" s="12" t="s">
        <v>93</v>
      </c>
      <c r="B89" s="13" t="s">
        <v>129</v>
      </c>
      <c r="C89" s="12" t="str">
        <f t="shared" si="0"/>
        <v>SVHC_MAINS_PR19CA004</v>
      </c>
      <c r="D89" s="13" t="s">
        <v>42</v>
      </c>
      <c r="E89" s="13" t="s">
        <v>44</v>
      </c>
      <c r="F89" s="76" t="s">
        <v>47</v>
      </c>
      <c r="G89" s="13" t="s">
        <v>59</v>
      </c>
      <c r="H89" s="47">
        <f xml:space="preserve"> _xlfn.IFNA(INDEX('Forecast drivers'!$C$4:$P$111, MATCH(F_interface!$A89&amp;RIGHT(F_interface!H$2, 2),'Forecast drivers'!$C$4:$C$111, 0), MATCH(F_interface!$D89,'Forecast drivers'!$C$4:$P$4, 0)),0)</f>
        <v>49628.678834467602</v>
      </c>
      <c r="I89" s="47">
        <f xml:space="preserve"> _xlfn.IFNA(INDEX('Forecast drivers'!$C$4:$P$111, MATCH(F_interface!$A89&amp;RIGHT(F_interface!I$2, 2),'Forecast drivers'!$C$4:$C$111, 0), MATCH(F_interface!$D89,'Forecast drivers'!$C$4:$P$4, 0)),0)</f>
        <v>49743.607233935698</v>
      </c>
      <c r="J89" s="47">
        <f xml:space="preserve"> _xlfn.IFNA(INDEX('Forecast drivers'!$C$4:$P$111, MATCH(F_interface!$A89&amp;RIGHT(F_interface!J$2, 2),'Forecast drivers'!$C$4:$C$111, 0), MATCH(F_interface!$D89,'Forecast drivers'!$C$4:$P$4, 0)),0)</f>
        <v>49858.535633403779</v>
      </c>
      <c r="K89" s="47">
        <f xml:space="preserve"> _xlfn.IFNA(INDEX('Forecast drivers'!$C$4:$P$111, MATCH(F_interface!$A89&amp;RIGHT(F_interface!K$2, 2),'Forecast drivers'!$C$4:$C$111, 0), MATCH(F_interface!$D89,'Forecast drivers'!$C$4:$P$4, 0)),0)</f>
        <v>49973.464032871867</v>
      </c>
      <c r="L89" s="47">
        <f xml:space="preserve"> _xlfn.IFNA(INDEX('Forecast drivers'!$C$4:$P$111, MATCH(F_interface!$A89&amp;RIGHT(F_interface!L$2, 2),'Forecast drivers'!$C$4:$C$111, 0), MATCH(F_interface!$D89,'Forecast drivers'!$C$4:$P$4, 0)),0)</f>
        <v>50088.39243233997</v>
      </c>
    </row>
    <row r="90" spans="1:12" x14ac:dyDescent="0.25">
      <c r="A90" s="12" t="s">
        <v>8</v>
      </c>
      <c r="B90" s="13" t="s">
        <v>129</v>
      </c>
      <c r="C90" s="12" t="str">
        <f t="shared" si="0"/>
        <v>SVTC_MAINS_PR19CA004</v>
      </c>
      <c r="D90" s="13" t="s">
        <v>42</v>
      </c>
      <c r="E90" s="13" t="s">
        <v>44</v>
      </c>
      <c r="F90" s="76" t="s">
        <v>47</v>
      </c>
      <c r="G90" s="13" t="s">
        <v>59</v>
      </c>
      <c r="H90" s="47">
        <f xml:space="preserve"> _xlfn.IFNA(INDEX('Forecast drivers'!$C$4:$P$111, MATCH(F_interface!$A90&amp;RIGHT(F_interface!H$2, 2),'Forecast drivers'!$C$4:$C$111, 0), MATCH(F_interface!$D90,'Forecast drivers'!$C$4:$P$4, 0)),0)</f>
        <v>47550.712233932216</v>
      </c>
      <c r="I90" s="47">
        <f xml:space="preserve"> _xlfn.IFNA(INDEX('Forecast drivers'!$C$4:$P$111, MATCH(F_interface!$A90&amp;RIGHT(F_interface!I$2, 2),'Forecast drivers'!$C$4:$C$111, 0), MATCH(F_interface!$D90,'Forecast drivers'!$C$4:$P$4, 0)),0)</f>
        <v>47644.108182154108</v>
      </c>
      <c r="J90" s="47">
        <f xml:space="preserve"> _xlfn.IFNA(INDEX('Forecast drivers'!$C$4:$P$111, MATCH(F_interface!$A90&amp;RIGHT(F_interface!J$2, 2),'Forecast drivers'!$C$4:$C$111, 0), MATCH(F_interface!$D90,'Forecast drivers'!$C$4:$P$4, 0)),0)</f>
        <v>47737.504130376001</v>
      </c>
      <c r="K90" s="47">
        <f xml:space="preserve"> _xlfn.IFNA(INDEX('Forecast drivers'!$C$4:$P$111, MATCH(F_interface!$A90&amp;RIGHT(F_interface!K$2, 2),'Forecast drivers'!$C$4:$C$111, 0), MATCH(F_interface!$D90,'Forecast drivers'!$C$4:$P$4, 0)),0)</f>
        <v>47830.900078597893</v>
      </c>
      <c r="L90" s="47">
        <f xml:space="preserve"> _xlfn.IFNA(INDEX('Forecast drivers'!$C$4:$P$111, MATCH(F_interface!$A90&amp;RIGHT(F_interface!L$2, 2),'Forecast drivers'!$C$4:$C$111, 0), MATCH(F_interface!$D90,'Forecast drivers'!$C$4:$P$4, 0)),0)</f>
        <v>47924.296026819793</v>
      </c>
    </row>
    <row r="91" spans="1:12" x14ac:dyDescent="0.25">
      <c r="A91" s="12" t="s">
        <v>19</v>
      </c>
      <c r="B91" s="13" t="s">
        <v>129</v>
      </c>
      <c r="C91" s="12" t="str">
        <f t="shared" si="0"/>
        <v>SWBC_MAINS_PR19CA004</v>
      </c>
      <c r="D91" s="13" t="s">
        <v>42</v>
      </c>
      <c r="E91" s="13" t="s">
        <v>44</v>
      </c>
      <c r="F91" s="76" t="s">
        <v>47</v>
      </c>
      <c r="G91" s="13" t="s">
        <v>59</v>
      </c>
      <c r="H91" s="47">
        <f xml:space="preserve"> _xlfn.IFNA(INDEX('Forecast drivers'!$C$4:$P$111, MATCH(F_interface!$A91&amp;RIGHT(F_interface!H$2, 2),'Forecast drivers'!$C$4:$C$111, 0), MATCH(F_interface!$D91,'Forecast drivers'!$C$4:$P$4, 0)),0)</f>
        <v>18580.188571428575</v>
      </c>
      <c r="I91" s="47">
        <f xml:space="preserve"> _xlfn.IFNA(INDEX('Forecast drivers'!$C$4:$P$111, MATCH(F_interface!$A91&amp;RIGHT(F_interface!I$2, 2),'Forecast drivers'!$C$4:$C$111, 0), MATCH(F_interface!$D91,'Forecast drivers'!$C$4:$P$4, 0)),0)</f>
        <v>18640.25</v>
      </c>
      <c r="J91" s="47">
        <f xml:space="preserve"> _xlfn.IFNA(INDEX('Forecast drivers'!$C$4:$P$111, MATCH(F_interface!$A91&amp;RIGHT(F_interface!J$2, 2),'Forecast drivers'!$C$4:$C$111, 0), MATCH(F_interface!$D91,'Forecast drivers'!$C$4:$P$4, 0)),0)</f>
        <v>18704.311428571429</v>
      </c>
      <c r="K91" s="47">
        <f xml:space="preserve"> _xlfn.IFNA(INDEX('Forecast drivers'!$C$4:$P$111, MATCH(F_interface!$A91&amp;RIGHT(F_interface!K$2, 2),'Forecast drivers'!$C$4:$C$111, 0), MATCH(F_interface!$D91,'Forecast drivers'!$C$4:$P$4, 0)),0)</f>
        <v>18765.372857142858</v>
      </c>
      <c r="L91" s="47">
        <f xml:space="preserve"> _xlfn.IFNA(INDEX('Forecast drivers'!$C$4:$P$111, MATCH(F_interface!$A91&amp;RIGHT(F_interface!L$2, 2),'Forecast drivers'!$C$4:$C$111, 0), MATCH(F_interface!$D91,'Forecast drivers'!$C$4:$P$4, 0)),0)</f>
        <v>18825.434285714287</v>
      </c>
    </row>
    <row r="92" spans="1:12" x14ac:dyDescent="0.25">
      <c r="A92" s="12" t="s">
        <v>9</v>
      </c>
      <c r="B92" s="13" t="s">
        <v>129</v>
      </c>
      <c r="C92" s="12" t="str">
        <f t="shared" si="0"/>
        <v>TMSC_MAINS_PR19CA004</v>
      </c>
      <c r="D92" s="13" t="s">
        <v>42</v>
      </c>
      <c r="E92" s="13" t="s">
        <v>44</v>
      </c>
      <c r="F92" s="76" t="s">
        <v>47</v>
      </c>
      <c r="G92" s="13" t="s">
        <v>59</v>
      </c>
      <c r="H92" s="47">
        <f xml:space="preserve"> _xlfn.IFNA(INDEX('Forecast drivers'!$C$4:$P$111, MATCH(F_interface!$A92&amp;RIGHT(F_interface!H$2, 2),'Forecast drivers'!$C$4:$C$111, 0), MATCH(F_interface!$D92,'Forecast drivers'!$C$4:$P$4, 0)),0)</f>
        <v>31734.093965192391</v>
      </c>
      <c r="I92" s="47">
        <f xml:space="preserve"> _xlfn.IFNA(INDEX('Forecast drivers'!$C$4:$P$111, MATCH(F_interface!$A92&amp;RIGHT(F_interface!I$2, 2),'Forecast drivers'!$C$4:$C$111, 0), MATCH(F_interface!$D92,'Forecast drivers'!$C$4:$P$4, 0)),0)</f>
        <v>31827.336511550449</v>
      </c>
      <c r="J92" s="47">
        <f xml:space="preserve"> _xlfn.IFNA(INDEX('Forecast drivers'!$C$4:$P$111, MATCH(F_interface!$A92&amp;RIGHT(F_interface!J$2, 2),'Forecast drivers'!$C$4:$C$111, 0), MATCH(F_interface!$D92,'Forecast drivers'!$C$4:$P$4, 0)),0)</f>
        <v>31917.804626531455</v>
      </c>
      <c r="K92" s="47">
        <f xml:space="preserve"> _xlfn.IFNA(INDEX('Forecast drivers'!$C$4:$P$111, MATCH(F_interface!$A92&amp;RIGHT(F_interface!K$2, 2),'Forecast drivers'!$C$4:$C$111, 0), MATCH(F_interface!$D92,'Forecast drivers'!$C$4:$P$4, 0)),0)</f>
        <v>32004.468788524617</v>
      </c>
      <c r="L92" s="47">
        <f xml:space="preserve"> _xlfn.IFNA(INDEX('Forecast drivers'!$C$4:$P$111, MATCH(F_interface!$A92&amp;RIGHT(F_interface!L$2, 2),'Forecast drivers'!$C$4:$C$111, 0), MATCH(F_interface!$D92,'Forecast drivers'!$C$4:$P$4, 0)),0)</f>
        <v>32110.963450150022</v>
      </c>
    </row>
    <row r="93" spans="1:12" x14ac:dyDescent="0.25">
      <c r="A93" s="12" t="s">
        <v>23</v>
      </c>
      <c r="B93" s="13" t="s">
        <v>129</v>
      </c>
      <c r="C93" s="12" t="str">
        <f t="shared" si="0"/>
        <v>WSHC_MAINS_PR19CA004</v>
      </c>
      <c r="D93" s="13" t="s">
        <v>42</v>
      </c>
      <c r="E93" s="13" t="s">
        <v>44</v>
      </c>
      <c r="F93" s="76" t="s">
        <v>47</v>
      </c>
      <c r="G93" s="13" t="s">
        <v>59</v>
      </c>
      <c r="H93" s="47">
        <f xml:space="preserve"> _xlfn.IFNA(INDEX('Forecast drivers'!$C$4:$P$111, MATCH(F_interface!$A93&amp;RIGHT(F_interface!H$2, 2),'Forecast drivers'!$C$4:$C$111, 0), MATCH(F_interface!$D93,'Forecast drivers'!$C$4:$P$4, 0)),0)</f>
        <v>27872.457142857143</v>
      </c>
      <c r="I93" s="47">
        <f xml:space="preserve"> _xlfn.IFNA(INDEX('Forecast drivers'!$C$4:$P$111, MATCH(F_interface!$A93&amp;RIGHT(F_interface!I$2, 2),'Forecast drivers'!$C$4:$C$111, 0), MATCH(F_interface!$D93,'Forecast drivers'!$C$4:$P$4, 0)),0)</f>
        <v>27920.189285714285</v>
      </c>
      <c r="J93" s="47">
        <f xml:space="preserve"> _xlfn.IFNA(INDEX('Forecast drivers'!$C$4:$P$111, MATCH(F_interface!$A93&amp;RIGHT(F_interface!J$2, 2),'Forecast drivers'!$C$4:$C$111, 0), MATCH(F_interface!$D93,'Forecast drivers'!$C$4:$P$4, 0)),0)</f>
        <v>27965.921428571426</v>
      </c>
      <c r="K93" s="47">
        <f xml:space="preserve"> _xlfn.IFNA(INDEX('Forecast drivers'!$C$4:$P$111, MATCH(F_interface!$A93&amp;RIGHT(F_interface!K$2, 2),'Forecast drivers'!$C$4:$C$111, 0), MATCH(F_interface!$D93,'Forecast drivers'!$C$4:$P$4, 0)),0)</f>
        <v>28018.653571428571</v>
      </c>
      <c r="L93" s="47">
        <f xml:space="preserve"> _xlfn.IFNA(INDEX('Forecast drivers'!$C$4:$P$111, MATCH(F_interface!$A93&amp;RIGHT(F_interface!L$2, 2),'Forecast drivers'!$C$4:$C$111, 0), MATCH(F_interface!$D93,'Forecast drivers'!$C$4:$P$4, 0)),0)</f>
        <v>28078.385714285712</v>
      </c>
    </row>
    <row r="94" spans="1:12" x14ac:dyDescent="0.25">
      <c r="A94" s="12" t="s">
        <v>10</v>
      </c>
      <c r="B94" s="13" t="s">
        <v>129</v>
      </c>
      <c r="C94" s="12" t="str">
        <f t="shared" si="0"/>
        <v>WSXC_MAINS_PR19CA004</v>
      </c>
      <c r="D94" s="13" t="s">
        <v>42</v>
      </c>
      <c r="E94" s="13" t="s">
        <v>44</v>
      </c>
      <c r="F94" s="76" t="s">
        <v>47</v>
      </c>
      <c r="G94" s="13" t="s">
        <v>59</v>
      </c>
      <c r="H94" s="47">
        <f xml:space="preserve"> _xlfn.IFNA(INDEX('Forecast drivers'!$C$4:$P$111, MATCH(F_interface!$A94&amp;RIGHT(F_interface!H$2, 2),'Forecast drivers'!$C$4:$C$111, 0), MATCH(F_interface!$D94,'Forecast drivers'!$C$4:$P$4, 0)),0)</f>
        <v>12040.916966261027</v>
      </c>
      <c r="I94" s="47">
        <f xml:space="preserve"> _xlfn.IFNA(INDEX('Forecast drivers'!$C$4:$P$111, MATCH(F_interface!$A94&amp;RIGHT(F_interface!I$2, 2),'Forecast drivers'!$C$4:$C$111, 0), MATCH(F_interface!$D94,'Forecast drivers'!$C$4:$P$4, 0)),0)</f>
        <v>12081.514172175459</v>
      </c>
      <c r="J94" s="47">
        <f xml:space="preserve"> _xlfn.IFNA(INDEX('Forecast drivers'!$C$4:$P$111, MATCH(F_interface!$A94&amp;RIGHT(F_interface!J$2, 2),'Forecast drivers'!$C$4:$C$111, 0), MATCH(F_interface!$D94,'Forecast drivers'!$C$4:$P$4, 0)),0)</f>
        <v>12122.11137808989</v>
      </c>
      <c r="K94" s="47">
        <f xml:space="preserve"> _xlfn.IFNA(INDEX('Forecast drivers'!$C$4:$P$111, MATCH(F_interface!$A94&amp;RIGHT(F_interface!K$2, 2),'Forecast drivers'!$C$4:$C$111, 0), MATCH(F_interface!$D94,'Forecast drivers'!$C$4:$P$4, 0)),0)</f>
        <v>12162.708584004322</v>
      </c>
      <c r="L94" s="47">
        <f xml:space="preserve"> _xlfn.IFNA(INDEX('Forecast drivers'!$C$4:$P$111, MATCH(F_interface!$A94&amp;RIGHT(F_interface!L$2, 2),'Forecast drivers'!$C$4:$C$111, 0), MATCH(F_interface!$D94,'Forecast drivers'!$C$4:$P$4, 0)),0)</f>
        <v>12203.305789918755</v>
      </c>
    </row>
    <row r="95" spans="1:12" x14ac:dyDescent="0.25">
      <c r="A95" s="12" t="s">
        <v>11</v>
      </c>
      <c r="B95" s="13" t="s">
        <v>129</v>
      </c>
      <c r="C95" s="12" t="str">
        <f t="shared" si="0"/>
        <v>YKYC_MAINS_PR19CA004</v>
      </c>
      <c r="D95" s="13" t="s">
        <v>42</v>
      </c>
      <c r="E95" s="13" t="s">
        <v>44</v>
      </c>
      <c r="F95" s="76" t="s">
        <v>47</v>
      </c>
      <c r="G95" s="13" t="s">
        <v>59</v>
      </c>
      <c r="H95" s="47">
        <f xml:space="preserve"> _xlfn.IFNA(INDEX('Forecast drivers'!$C$4:$P$111, MATCH(F_interface!$A95&amp;RIGHT(F_interface!H$2, 2),'Forecast drivers'!$C$4:$C$111, 0), MATCH(F_interface!$D95,'Forecast drivers'!$C$4:$P$4, 0)),0)</f>
        <v>31950.231428571431</v>
      </c>
      <c r="I95" s="47">
        <f xml:space="preserve"> _xlfn.IFNA(INDEX('Forecast drivers'!$C$4:$P$111, MATCH(F_interface!$A95&amp;RIGHT(F_interface!I$2, 2),'Forecast drivers'!$C$4:$C$111, 0), MATCH(F_interface!$D95,'Forecast drivers'!$C$4:$P$4, 0)),0)</f>
        <v>32042.194642857143</v>
      </c>
      <c r="J95" s="47">
        <f xml:space="preserve"> _xlfn.IFNA(INDEX('Forecast drivers'!$C$4:$P$111, MATCH(F_interface!$A95&amp;RIGHT(F_interface!J$2, 2),'Forecast drivers'!$C$4:$C$111, 0), MATCH(F_interface!$D95,'Forecast drivers'!$C$4:$P$4, 0)),0)</f>
        <v>32133.657857142854</v>
      </c>
      <c r="K95" s="47">
        <f xml:space="preserve"> _xlfn.IFNA(INDEX('Forecast drivers'!$C$4:$P$111, MATCH(F_interface!$A95&amp;RIGHT(F_interface!K$2, 2),'Forecast drivers'!$C$4:$C$111, 0), MATCH(F_interface!$D95,'Forecast drivers'!$C$4:$P$4, 0)),0)</f>
        <v>32225.62107142857</v>
      </c>
      <c r="L95" s="47">
        <f xml:space="preserve"> _xlfn.IFNA(INDEX('Forecast drivers'!$C$4:$P$111, MATCH(F_interface!$A95&amp;RIGHT(F_interface!L$2, 2),'Forecast drivers'!$C$4:$C$111, 0), MATCH(F_interface!$D95,'Forecast drivers'!$C$4:$P$4, 0)),0)</f>
        <v>32317.084285714285</v>
      </c>
    </row>
    <row r="96" spans="1:12" x14ac:dyDescent="0.25">
      <c r="A96" s="12" t="s">
        <v>12</v>
      </c>
      <c r="B96" s="13" t="s">
        <v>129</v>
      </c>
      <c r="C96" s="12" t="str">
        <f t="shared" si="0"/>
        <v>AFWC_MAINS_PR19CA004</v>
      </c>
      <c r="D96" s="13" t="s">
        <v>42</v>
      </c>
      <c r="E96" s="13" t="s">
        <v>44</v>
      </c>
      <c r="F96" s="76" t="s">
        <v>47</v>
      </c>
      <c r="G96" s="13" t="s">
        <v>59</v>
      </c>
      <c r="H96" s="47">
        <f xml:space="preserve"> _xlfn.IFNA(INDEX('Forecast drivers'!$C$4:$P$111, MATCH(F_interface!$A96&amp;RIGHT(F_interface!H$2, 2),'Forecast drivers'!$C$4:$C$111, 0), MATCH(F_interface!$D96,'Forecast drivers'!$C$4:$P$4, 0)),0)</f>
        <v>16996.245438641374</v>
      </c>
      <c r="I96" s="47">
        <f xml:space="preserve"> _xlfn.IFNA(INDEX('Forecast drivers'!$C$4:$P$111, MATCH(F_interface!$A96&amp;RIGHT(F_interface!I$2, 2),'Forecast drivers'!$C$4:$C$111, 0), MATCH(F_interface!$D96,'Forecast drivers'!$C$4:$P$4, 0)),0)</f>
        <v>17045.255997025764</v>
      </c>
      <c r="J96" s="47">
        <f xml:space="preserve"> _xlfn.IFNA(INDEX('Forecast drivers'!$C$4:$P$111, MATCH(F_interface!$A96&amp;RIGHT(F_interface!J$2, 2),'Forecast drivers'!$C$4:$C$111, 0), MATCH(F_interface!$D96,'Forecast drivers'!$C$4:$P$4, 0)),0)</f>
        <v>17095.766555410151</v>
      </c>
      <c r="K96" s="47">
        <f xml:space="preserve"> _xlfn.IFNA(INDEX('Forecast drivers'!$C$4:$P$111, MATCH(F_interface!$A96&amp;RIGHT(F_interface!K$2, 2),'Forecast drivers'!$C$4:$C$111, 0), MATCH(F_interface!$D96,'Forecast drivers'!$C$4:$P$4, 0)),0)</f>
        <v>17151.277113794538</v>
      </c>
      <c r="L96" s="47">
        <f xml:space="preserve"> _xlfn.IFNA(INDEX('Forecast drivers'!$C$4:$P$111, MATCH(F_interface!$A96&amp;RIGHT(F_interface!L$2, 2),'Forecast drivers'!$C$4:$C$111, 0), MATCH(F_interface!$D96,'Forecast drivers'!$C$4:$P$4, 0)),0)</f>
        <v>17200.387672178927</v>
      </c>
    </row>
    <row r="97" spans="1:12" x14ac:dyDescent="0.25">
      <c r="A97" s="12" t="s">
        <v>13</v>
      </c>
      <c r="B97" s="13" t="s">
        <v>129</v>
      </c>
      <c r="C97" s="12" t="str">
        <f t="shared" ref="C97:C160" si="1">A97&amp;B97</f>
        <v>BRLC_MAINS_PR19CA004</v>
      </c>
      <c r="D97" s="13" t="s">
        <v>42</v>
      </c>
      <c r="E97" s="13" t="s">
        <v>44</v>
      </c>
      <c r="F97" s="76" t="s">
        <v>47</v>
      </c>
      <c r="G97" s="13" t="s">
        <v>59</v>
      </c>
      <c r="H97" s="47">
        <f xml:space="preserve"> _xlfn.IFNA(INDEX('Forecast drivers'!$C$4:$P$111, MATCH(F_interface!$A97&amp;RIGHT(F_interface!H$2, 2),'Forecast drivers'!$C$4:$C$111, 0), MATCH(F_interface!$D97,'Forecast drivers'!$C$4:$P$4, 0)),0)</f>
        <v>6899.6571428571424</v>
      </c>
      <c r="I97" s="47">
        <f xml:space="preserve"> _xlfn.IFNA(INDEX('Forecast drivers'!$C$4:$P$111, MATCH(F_interface!$A97&amp;RIGHT(F_interface!I$2, 2),'Forecast drivers'!$C$4:$C$111, 0), MATCH(F_interface!$D97,'Forecast drivers'!$C$4:$P$4, 0)),0)</f>
        <v>6926.25</v>
      </c>
      <c r="J97" s="47">
        <f xml:space="preserve"> _xlfn.IFNA(INDEX('Forecast drivers'!$C$4:$P$111, MATCH(F_interface!$A97&amp;RIGHT(F_interface!J$2, 2),'Forecast drivers'!$C$4:$C$111, 0), MATCH(F_interface!$D97,'Forecast drivers'!$C$4:$P$4, 0)),0)</f>
        <v>6952.8428571428576</v>
      </c>
      <c r="K97" s="47">
        <f xml:space="preserve"> _xlfn.IFNA(INDEX('Forecast drivers'!$C$4:$P$111, MATCH(F_interface!$A97&amp;RIGHT(F_interface!K$2, 2),'Forecast drivers'!$C$4:$C$111, 0), MATCH(F_interface!$D97,'Forecast drivers'!$C$4:$P$4, 0)),0)</f>
        <v>6979.4357142857143</v>
      </c>
      <c r="L97" s="47">
        <f xml:space="preserve"> _xlfn.IFNA(INDEX('Forecast drivers'!$C$4:$P$111, MATCH(F_interface!$A97&amp;RIGHT(F_interface!L$2, 2),'Forecast drivers'!$C$4:$C$111, 0), MATCH(F_interface!$D97,'Forecast drivers'!$C$4:$P$4, 0)),0)</f>
        <v>7006.028571428571</v>
      </c>
    </row>
    <row r="98" spans="1:12" x14ac:dyDescent="0.25">
      <c r="A98" s="12" t="s">
        <v>14</v>
      </c>
      <c r="B98" s="13" t="s">
        <v>129</v>
      </c>
      <c r="C98" s="12" t="str">
        <f t="shared" si="1"/>
        <v>DVWC_MAINS_PR19CA004</v>
      </c>
      <c r="D98" s="13" t="s">
        <v>42</v>
      </c>
      <c r="E98" s="13" t="s">
        <v>44</v>
      </c>
      <c r="F98" s="76" t="s">
        <v>47</v>
      </c>
      <c r="G98" s="13" t="s">
        <v>59</v>
      </c>
      <c r="H98" s="47">
        <f xml:space="preserve"> _xlfn.IFNA(INDEX('Forecast drivers'!$C$4:$P$111, MATCH(F_interface!$A98&amp;RIGHT(F_interface!H$2, 2),'Forecast drivers'!$C$4:$C$111, 0), MATCH(F_interface!$D98,'Forecast drivers'!$C$4:$P$4, 0)),0)</f>
        <v>2054.7411300000003</v>
      </c>
      <c r="I98" s="47">
        <f xml:space="preserve"> _xlfn.IFNA(INDEX('Forecast drivers'!$C$4:$P$111, MATCH(F_interface!$A98&amp;RIGHT(F_interface!I$2, 2),'Forecast drivers'!$C$4:$C$111, 0), MATCH(F_interface!$D98,'Forecast drivers'!$C$4:$P$4, 0)),0)</f>
        <v>2061.4219807142863</v>
      </c>
      <c r="J98" s="47">
        <f xml:space="preserve"> _xlfn.IFNA(INDEX('Forecast drivers'!$C$4:$P$111, MATCH(F_interface!$A98&amp;RIGHT(F_interface!J$2, 2),'Forecast drivers'!$C$4:$C$111, 0), MATCH(F_interface!$D98,'Forecast drivers'!$C$4:$P$4, 0)),0)</f>
        <v>2068.1028314285718</v>
      </c>
      <c r="K98" s="47">
        <f xml:space="preserve"> _xlfn.IFNA(INDEX('Forecast drivers'!$C$4:$P$111, MATCH(F_interface!$A98&amp;RIGHT(F_interface!K$2, 2),'Forecast drivers'!$C$4:$C$111, 0), MATCH(F_interface!$D98,'Forecast drivers'!$C$4:$P$4, 0)),0)</f>
        <v>2074.7836821428573</v>
      </c>
      <c r="L98" s="47">
        <f xml:space="preserve"> _xlfn.IFNA(INDEX('Forecast drivers'!$C$4:$P$111, MATCH(F_interface!$A98&amp;RIGHT(F_interface!L$2, 2),'Forecast drivers'!$C$4:$C$111, 0), MATCH(F_interface!$D98,'Forecast drivers'!$C$4:$P$4, 0)),0)</f>
        <v>2081.4645328571432</v>
      </c>
    </row>
    <row r="99" spans="1:12" x14ac:dyDescent="0.25">
      <c r="A99" s="12" t="s">
        <v>15</v>
      </c>
      <c r="B99" s="13" t="s">
        <v>129</v>
      </c>
      <c r="C99" s="12" t="str">
        <f t="shared" si="1"/>
        <v>PRTC_MAINS_PR19CA004</v>
      </c>
      <c r="D99" s="13" t="s">
        <v>42</v>
      </c>
      <c r="E99" s="13" t="s">
        <v>44</v>
      </c>
      <c r="F99" s="76" t="s">
        <v>47</v>
      </c>
      <c r="G99" s="13" t="s">
        <v>59</v>
      </c>
      <c r="H99" s="47">
        <f xml:space="preserve"> _xlfn.IFNA(INDEX('Forecast drivers'!$C$4:$P$111, MATCH(F_interface!$A99&amp;RIGHT(F_interface!H$2, 2),'Forecast drivers'!$C$4:$C$111, 0), MATCH(F_interface!$D99,'Forecast drivers'!$C$4:$P$4, 0)),0)</f>
        <v>3370.5214285714283</v>
      </c>
      <c r="I99" s="47">
        <f xml:space="preserve"> _xlfn.IFNA(INDEX('Forecast drivers'!$C$4:$P$111, MATCH(F_interface!$A99&amp;RIGHT(F_interface!I$2, 2),'Forecast drivers'!$C$4:$C$111, 0), MATCH(F_interface!$D99,'Forecast drivers'!$C$4:$P$4, 0)),0)</f>
        <v>3382.3357142857139</v>
      </c>
      <c r="J99" s="47">
        <f xml:space="preserve"> _xlfn.IFNA(INDEX('Forecast drivers'!$C$4:$P$111, MATCH(F_interface!$A99&amp;RIGHT(F_interface!J$2, 2),'Forecast drivers'!$C$4:$C$111, 0), MATCH(F_interface!$D99,'Forecast drivers'!$C$4:$P$4, 0)),0)</f>
        <v>3394.6499999999996</v>
      </c>
      <c r="K99" s="47">
        <f xml:space="preserve"> _xlfn.IFNA(INDEX('Forecast drivers'!$C$4:$P$111, MATCH(F_interface!$A99&amp;RIGHT(F_interface!K$2, 2),'Forecast drivers'!$C$4:$C$111, 0), MATCH(F_interface!$D99,'Forecast drivers'!$C$4:$P$4, 0)),0)</f>
        <v>3406.9642857142853</v>
      </c>
      <c r="L99" s="47">
        <f xml:space="preserve"> _xlfn.IFNA(INDEX('Forecast drivers'!$C$4:$P$111, MATCH(F_interface!$A99&amp;RIGHT(F_interface!L$2, 2),'Forecast drivers'!$C$4:$C$111, 0), MATCH(F_interface!$D99,'Forecast drivers'!$C$4:$P$4, 0)),0)</f>
        <v>3419.2785714285715</v>
      </c>
    </row>
    <row r="100" spans="1:12" x14ac:dyDescent="0.25">
      <c r="A100" s="12" t="s">
        <v>16</v>
      </c>
      <c r="B100" s="13" t="s">
        <v>129</v>
      </c>
      <c r="C100" s="12" t="str">
        <f t="shared" si="1"/>
        <v>SESC_MAINS_PR19CA004</v>
      </c>
      <c r="D100" s="13" t="s">
        <v>42</v>
      </c>
      <c r="E100" s="13" t="s">
        <v>44</v>
      </c>
      <c r="F100" s="76" t="s">
        <v>47</v>
      </c>
      <c r="G100" s="13" t="s">
        <v>59</v>
      </c>
      <c r="H100" s="47">
        <f xml:space="preserve"> _xlfn.IFNA(INDEX('Forecast drivers'!$C$4:$P$111, MATCH(F_interface!$A100&amp;RIGHT(F_interface!H$2, 2),'Forecast drivers'!$C$4:$C$111, 0), MATCH(F_interface!$D100,'Forecast drivers'!$C$4:$P$4, 0)),0)</f>
        <v>3511.4535714285716</v>
      </c>
      <c r="I100" s="47">
        <f xml:space="preserve"> _xlfn.IFNA(INDEX('Forecast drivers'!$C$4:$P$111, MATCH(F_interface!$A100&amp;RIGHT(F_interface!I$2, 2),'Forecast drivers'!$C$4:$C$111, 0), MATCH(F_interface!$D100,'Forecast drivers'!$C$4:$P$4, 0)),0)</f>
        <v>3518.5946428571433</v>
      </c>
      <c r="J100" s="47">
        <f xml:space="preserve"> _xlfn.IFNA(INDEX('Forecast drivers'!$C$4:$P$111, MATCH(F_interface!$A100&amp;RIGHT(F_interface!J$2, 2),'Forecast drivers'!$C$4:$C$111, 0), MATCH(F_interface!$D100,'Forecast drivers'!$C$4:$P$4, 0)),0)</f>
        <v>3527.2357142857145</v>
      </c>
      <c r="K100" s="47">
        <f xml:space="preserve"> _xlfn.IFNA(INDEX('Forecast drivers'!$C$4:$P$111, MATCH(F_interface!$A100&amp;RIGHT(F_interface!K$2, 2),'Forecast drivers'!$C$4:$C$111, 0), MATCH(F_interface!$D100,'Forecast drivers'!$C$4:$P$4, 0)),0)</f>
        <v>3534.8767857142857</v>
      </c>
      <c r="L100" s="47">
        <f xml:space="preserve"> _xlfn.IFNA(INDEX('Forecast drivers'!$C$4:$P$111, MATCH(F_interface!$A100&amp;RIGHT(F_interface!L$2, 2),'Forecast drivers'!$C$4:$C$111, 0), MATCH(F_interface!$D100,'Forecast drivers'!$C$4:$P$4, 0)),0)</f>
        <v>3542.5178571428573</v>
      </c>
    </row>
    <row r="101" spans="1:12" x14ac:dyDescent="0.25">
      <c r="A101" s="12" t="s">
        <v>17</v>
      </c>
      <c r="B101" s="13" t="s">
        <v>129</v>
      </c>
      <c r="C101" s="12" t="str">
        <f t="shared" si="1"/>
        <v>SEWC_MAINS_PR19CA004</v>
      </c>
      <c r="D101" s="13" t="s">
        <v>42</v>
      </c>
      <c r="E101" s="13" t="s">
        <v>44</v>
      </c>
      <c r="F101" s="76" t="s">
        <v>47</v>
      </c>
      <c r="G101" s="13" t="s">
        <v>59</v>
      </c>
      <c r="H101" s="47">
        <f xml:space="preserve"> _xlfn.IFNA(INDEX('Forecast drivers'!$C$4:$P$111, MATCH(F_interface!$A101&amp;RIGHT(F_interface!H$2, 2),'Forecast drivers'!$C$4:$C$111, 0), MATCH(F_interface!$D101,'Forecast drivers'!$C$4:$P$4, 0)),0)</f>
        <v>14846.81434699772</v>
      </c>
      <c r="I101" s="47">
        <f xml:space="preserve"> _xlfn.IFNA(INDEX('Forecast drivers'!$C$4:$P$111, MATCH(F_interface!$A101&amp;RIGHT(F_interface!I$2, 2),'Forecast drivers'!$C$4:$C$111, 0), MATCH(F_interface!$D101,'Forecast drivers'!$C$4:$P$4, 0)),0)</f>
        <v>14913.583313638006</v>
      </c>
      <c r="J101" s="47">
        <f xml:space="preserve"> _xlfn.IFNA(INDEX('Forecast drivers'!$C$4:$P$111, MATCH(F_interface!$A101&amp;RIGHT(F_interface!J$2, 2),'Forecast drivers'!$C$4:$C$111, 0), MATCH(F_interface!$D101,'Forecast drivers'!$C$4:$P$4, 0)),0)</f>
        <v>14983.167036250243</v>
      </c>
      <c r="K101" s="47">
        <f xml:space="preserve"> _xlfn.IFNA(INDEX('Forecast drivers'!$C$4:$P$111, MATCH(F_interface!$A101&amp;RIGHT(F_interface!K$2, 2),'Forecast drivers'!$C$4:$C$111, 0), MATCH(F_interface!$D101,'Forecast drivers'!$C$4:$P$4, 0)),0)</f>
        <v>15048.850514834377</v>
      </c>
      <c r="L101" s="47">
        <f xml:space="preserve"> _xlfn.IFNA(INDEX('Forecast drivers'!$C$4:$P$111, MATCH(F_interface!$A101&amp;RIGHT(F_interface!L$2, 2),'Forecast drivers'!$C$4:$C$111, 0), MATCH(F_interface!$D101,'Forecast drivers'!$C$4:$P$4, 0)),0)</f>
        <v>15153.761642798414</v>
      </c>
    </row>
    <row r="102" spans="1:12" x14ac:dyDescent="0.25">
      <c r="A102" s="12" t="s">
        <v>18</v>
      </c>
      <c r="B102" s="13" t="s">
        <v>129</v>
      </c>
      <c r="C102" s="12" t="str">
        <f t="shared" si="1"/>
        <v>SSCC_MAINS_PR19CA004</v>
      </c>
      <c r="D102" s="13" t="s">
        <v>42</v>
      </c>
      <c r="E102" s="13" t="s">
        <v>44</v>
      </c>
      <c r="F102" s="76" t="s">
        <v>47</v>
      </c>
      <c r="G102" s="13" t="s">
        <v>59</v>
      </c>
      <c r="H102" s="47">
        <f xml:space="preserve"> _xlfn.IFNA(INDEX('Forecast drivers'!$C$4:$P$111, MATCH(F_interface!$A102&amp;RIGHT(F_interface!H$2, 2),'Forecast drivers'!$C$4:$C$111, 0), MATCH(F_interface!$D102,'Forecast drivers'!$C$4:$P$4, 0)),0)</f>
        <v>8658.0221428571422</v>
      </c>
      <c r="I102" s="47">
        <f xml:space="preserve"> _xlfn.IFNA(INDEX('Forecast drivers'!$C$4:$P$111, MATCH(F_interface!$A102&amp;RIGHT(F_interface!I$2, 2),'Forecast drivers'!$C$4:$C$111, 0), MATCH(F_interface!$D102,'Forecast drivers'!$C$4:$P$4, 0)),0)</f>
        <v>8709.0496428571423</v>
      </c>
      <c r="J102" s="47">
        <f xml:space="preserve"> _xlfn.IFNA(INDEX('Forecast drivers'!$C$4:$P$111, MATCH(F_interface!$A102&amp;RIGHT(F_interface!J$2, 2),'Forecast drivers'!$C$4:$C$111, 0), MATCH(F_interface!$D102,'Forecast drivers'!$C$4:$P$4, 0)),0)</f>
        <v>8758.8171428571441</v>
      </c>
      <c r="K102" s="47">
        <f xml:space="preserve"> _xlfn.IFNA(INDEX('Forecast drivers'!$C$4:$P$111, MATCH(F_interface!$A102&amp;RIGHT(F_interface!K$2, 2),'Forecast drivers'!$C$4:$C$111, 0), MATCH(F_interface!$D102,'Forecast drivers'!$C$4:$P$4, 0)),0)</f>
        <v>8807.4696428571424</v>
      </c>
      <c r="L102" s="47">
        <f xml:space="preserve"> _xlfn.IFNA(INDEX('Forecast drivers'!$C$4:$P$111, MATCH(F_interface!$A102&amp;RIGHT(F_interface!L$2, 2),'Forecast drivers'!$C$4:$C$111, 0), MATCH(F_interface!$D102,'Forecast drivers'!$C$4:$P$4, 0)),0)</f>
        <v>8855.0771428571425</v>
      </c>
    </row>
    <row r="103" spans="1:12" x14ac:dyDescent="0.25">
      <c r="A103" s="13" t="s">
        <v>4</v>
      </c>
      <c r="B103" s="13" t="s">
        <v>130</v>
      </c>
      <c r="C103" s="12" t="str">
        <f t="shared" si="1"/>
        <v>ANHC_W36_PR19CA004</v>
      </c>
      <c r="D103" s="13" t="s">
        <v>37</v>
      </c>
      <c r="E103" s="13" t="s">
        <v>45</v>
      </c>
      <c r="F103" s="76" t="s">
        <v>0</v>
      </c>
      <c r="G103" s="13" t="s">
        <v>59</v>
      </c>
      <c r="H103" s="47">
        <f xml:space="preserve"> _xlfn.IFNA(INDEX('Forecast drivers'!$C$4:$P$111, MATCH(F_interface!$A103&amp;RIGHT(F_interface!H$2, 2),'Forecast drivers'!$C$4:$C$111, 0), MATCH(F_interface!$D103,'Forecast drivers'!$C$4:$P$4, 0)),0)/100</f>
        <v>0.83117098615310925</v>
      </c>
      <c r="I103" s="47">
        <f xml:space="preserve"> _xlfn.IFNA(INDEX('Forecast drivers'!$C$4:$P$111, MATCH(F_interface!$A103&amp;RIGHT(F_interface!I$2, 2),'Forecast drivers'!$C$4:$C$111, 0), MATCH(F_interface!$D103,'Forecast drivers'!$C$4:$P$4, 0)),0)/100</f>
        <v>0.83247869081222392</v>
      </c>
      <c r="J103" s="47">
        <f xml:space="preserve"> _xlfn.IFNA(INDEX('Forecast drivers'!$C$4:$P$111, MATCH(F_interface!$A103&amp;RIGHT(F_interface!J$2, 2),'Forecast drivers'!$C$4:$C$111, 0), MATCH(F_interface!$D103,'Forecast drivers'!$C$4:$P$4, 0)),0)/100</f>
        <v>0.83379587820297951</v>
      </c>
      <c r="K103" s="47">
        <f xml:space="preserve"> _xlfn.IFNA(INDEX('Forecast drivers'!$C$4:$P$111, MATCH(F_interface!$A103&amp;RIGHT(F_interface!K$2, 2),'Forecast drivers'!$C$4:$C$111, 0), MATCH(F_interface!$D103,'Forecast drivers'!$C$4:$P$4, 0)),0)/100</f>
        <v>0.8351226518457896</v>
      </c>
      <c r="L103" s="47">
        <f xml:space="preserve"> _xlfn.IFNA(INDEX('Forecast drivers'!$C$4:$P$111, MATCH(F_interface!$A103&amp;RIGHT(F_interface!L$2, 2),'Forecast drivers'!$C$4:$C$111, 0), MATCH(F_interface!$D103,'Forecast drivers'!$C$4:$P$4, 0)),0)/100</f>
        <v>0.83645911677337703</v>
      </c>
    </row>
    <row r="104" spans="1:12" x14ac:dyDescent="0.25">
      <c r="A104" s="13" t="s">
        <v>90</v>
      </c>
      <c r="B104" s="13" t="s">
        <v>130</v>
      </c>
      <c r="C104" s="12" t="str">
        <f t="shared" si="1"/>
        <v>HDDC_W36_PR19CA004</v>
      </c>
      <c r="D104" s="13" t="s">
        <v>37</v>
      </c>
      <c r="E104" s="13" t="s">
        <v>45</v>
      </c>
      <c r="F104" s="76" t="s">
        <v>0</v>
      </c>
      <c r="G104" s="13" t="s">
        <v>59</v>
      </c>
      <c r="H104" s="47">
        <f xml:space="preserve"> _xlfn.IFNA(INDEX('Forecast drivers'!$C$4:$P$111, MATCH(F_interface!$A104&amp;RIGHT(F_interface!H$2, 2),'Forecast drivers'!$C$4:$C$111, 0), MATCH(F_interface!$D104,'Forecast drivers'!$C$4:$P$4, 0)),0)/100</f>
        <v>1</v>
      </c>
      <c r="I104" s="47">
        <f xml:space="preserve"> _xlfn.IFNA(INDEX('Forecast drivers'!$C$4:$P$111, MATCH(F_interface!$A104&amp;RIGHT(F_interface!I$2, 2),'Forecast drivers'!$C$4:$C$111, 0), MATCH(F_interface!$D104,'Forecast drivers'!$C$4:$P$4, 0)),0)/100</f>
        <v>1</v>
      </c>
      <c r="J104" s="47">
        <f xml:space="preserve"> _xlfn.IFNA(INDEX('Forecast drivers'!$C$4:$P$111, MATCH(F_interface!$A104&amp;RIGHT(F_interface!J$2, 2),'Forecast drivers'!$C$4:$C$111, 0), MATCH(F_interface!$D104,'Forecast drivers'!$C$4:$P$4, 0)),0)/100</f>
        <v>0.99999999999999989</v>
      </c>
      <c r="K104" s="47">
        <f xml:space="preserve"> _xlfn.IFNA(INDEX('Forecast drivers'!$C$4:$P$111, MATCH(F_interface!$A104&amp;RIGHT(F_interface!K$2, 2),'Forecast drivers'!$C$4:$C$111, 0), MATCH(F_interface!$D104,'Forecast drivers'!$C$4:$P$4, 0)),0)/100</f>
        <v>1</v>
      </c>
      <c r="L104" s="47">
        <f xml:space="preserve"> _xlfn.IFNA(INDEX('Forecast drivers'!$C$4:$P$111, MATCH(F_interface!$A104&amp;RIGHT(F_interface!L$2, 2),'Forecast drivers'!$C$4:$C$111, 0), MATCH(F_interface!$D104,'Forecast drivers'!$C$4:$P$4, 0)),0)/100</f>
        <v>1</v>
      </c>
    </row>
    <row r="105" spans="1:12" x14ac:dyDescent="0.25">
      <c r="A105" s="13" t="s">
        <v>5</v>
      </c>
      <c r="B105" s="13" t="s">
        <v>130</v>
      </c>
      <c r="C105" s="12" t="str">
        <f t="shared" si="1"/>
        <v>NESC_W36_PR19CA004</v>
      </c>
      <c r="D105" s="13" t="s">
        <v>37</v>
      </c>
      <c r="E105" s="13" t="s">
        <v>45</v>
      </c>
      <c r="F105" s="76" t="s">
        <v>0</v>
      </c>
      <c r="G105" s="13" t="s">
        <v>59</v>
      </c>
      <c r="H105" s="47">
        <f xml:space="preserve"> _xlfn.IFNA(INDEX('Forecast drivers'!$C$4:$P$111, MATCH(F_interface!$A105&amp;RIGHT(F_interface!H$2, 2),'Forecast drivers'!$C$4:$C$111, 0), MATCH(F_interface!$D105,'Forecast drivers'!$C$4:$P$4, 0)),0)/100</f>
        <v>0.98672889469271696</v>
      </c>
      <c r="I105" s="47">
        <f xml:space="preserve"> _xlfn.IFNA(INDEX('Forecast drivers'!$C$4:$P$111, MATCH(F_interface!$A105&amp;RIGHT(F_interface!I$2, 2),'Forecast drivers'!$C$4:$C$111, 0), MATCH(F_interface!$D105,'Forecast drivers'!$C$4:$P$4, 0)),0)/100</f>
        <v>0.98752314286929066</v>
      </c>
      <c r="J105" s="47">
        <f xml:space="preserve"> _xlfn.IFNA(INDEX('Forecast drivers'!$C$4:$P$111, MATCH(F_interface!$A105&amp;RIGHT(F_interface!J$2, 2),'Forecast drivers'!$C$4:$C$111, 0), MATCH(F_interface!$D105,'Forecast drivers'!$C$4:$P$4, 0)),0)/100</f>
        <v>0.98831809129753878</v>
      </c>
      <c r="K105" s="47">
        <f xml:space="preserve"> _xlfn.IFNA(INDEX('Forecast drivers'!$C$4:$P$111, MATCH(F_interface!$A105&amp;RIGHT(F_interface!K$2, 2),'Forecast drivers'!$C$4:$C$111, 0), MATCH(F_interface!$D105,'Forecast drivers'!$C$4:$P$4, 0)),0)/100</f>
        <v>0.98911374090393867</v>
      </c>
      <c r="L105" s="47">
        <f xml:space="preserve"> _xlfn.IFNA(INDEX('Forecast drivers'!$C$4:$P$111, MATCH(F_interface!$A105&amp;RIGHT(F_interface!L$2, 2),'Forecast drivers'!$C$4:$C$111, 0), MATCH(F_interface!$D105,'Forecast drivers'!$C$4:$P$4, 0)),0)/100</f>
        <v>0.9899100926166029</v>
      </c>
    </row>
    <row r="106" spans="1:12" x14ac:dyDescent="0.25">
      <c r="A106" s="13" t="s">
        <v>6</v>
      </c>
      <c r="B106" s="13" t="s">
        <v>130</v>
      </c>
      <c r="C106" s="12" t="str">
        <f t="shared" si="1"/>
        <v>NWTC_W36_PR19CA004</v>
      </c>
      <c r="D106" s="13" t="s">
        <v>37</v>
      </c>
      <c r="E106" s="13" t="s">
        <v>45</v>
      </c>
      <c r="F106" s="76" t="s">
        <v>0</v>
      </c>
      <c r="G106" s="13" t="s">
        <v>59</v>
      </c>
      <c r="H106" s="47">
        <f xml:space="preserve"> _xlfn.IFNA(INDEX('Forecast drivers'!$C$4:$P$111, MATCH(F_interface!$A106&amp;RIGHT(F_interface!H$2, 2),'Forecast drivers'!$C$4:$C$111, 0), MATCH(F_interface!$D106,'Forecast drivers'!$C$4:$P$4, 0)),0)/100</f>
        <v>0.98164351034580255</v>
      </c>
      <c r="I106" s="47">
        <f xml:space="preserve"> _xlfn.IFNA(INDEX('Forecast drivers'!$C$4:$P$111, MATCH(F_interface!$A106&amp;RIGHT(F_interface!I$2, 2),'Forecast drivers'!$C$4:$C$111, 0), MATCH(F_interface!$D106,'Forecast drivers'!$C$4:$P$4, 0)),0)/100</f>
        <v>0.98164351034580255</v>
      </c>
      <c r="J106" s="47">
        <f xml:space="preserve"> _xlfn.IFNA(INDEX('Forecast drivers'!$C$4:$P$111, MATCH(F_interface!$A106&amp;RIGHT(F_interface!J$2, 2),'Forecast drivers'!$C$4:$C$111, 0), MATCH(F_interface!$D106,'Forecast drivers'!$C$4:$P$4, 0)),0)/100</f>
        <v>0.98164351034580255</v>
      </c>
      <c r="K106" s="47">
        <f xml:space="preserve"> _xlfn.IFNA(INDEX('Forecast drivers'!$C$4:$P$111, MATCH(F_interface!$A106&amp;RIGHT(F_interface!K$2, 2),'Forecast drivers'!$C$4:$C$111, 0), MATCH(F_interface!$D106,'Forecast drivers'!$C$4:$P$4, 0)),0)/100</f>
        <v>0.98164351034580255</v>
      </c>
      <c r="L106" s="47">
        <f xml:space="preserve"> _xlfn.IFNA(INDEX('Forecast drivers'!$C$4:$P$111, MATCH(F_interface!$A106&amp;RIGHT(F_interface!L$2, 2),'Forecast drivers'!$C$4:$C$111, 0), MATCH(F_interface!$D106,'Forecast drivers'!$C$4:$P$4, 0)),0)/100</f>
        <v>0.98164351034580255</v>
      </c>
    </row>
    <row r="107" spans="1:12" x14ac:dyDescent="0.25">
      <c r="A107" s="13" t="s">
        <v>7</v>
      </c>
      <c r="B107" s="13" t="s">
        <v>130</v>
      </c>
      <c r="C107" s="12" t="str">
        <f t="shared" si="1"/>
        <v>SRNC_W36_PR19CA004</v>
      </c>
      <c r="D107" s="13" t="s">
        <v>37</v>
      </c>
      <c r="E107" s="13" t="s">
        <v>45</v>
      </c>
      <c r="F107" s="76" t="s">
        <v>0</v>
      </c>
      <c r="G107" s="13" t="s">
        <v>59</v>
      </c>
      <c r="H107" s="47">
        <f xml:space="preserve"> _xlfn.IFNA(INDEX('Forecast drivers'!$C$4:$P$111, MATCH(F_interface!$A107&amp;RIGHT(F_interface!H$2, 2),'Forecast drivers'!$C$4:$C$111, 0), MATCH(F_interface!$D107,'Forecast drivers'!$C$4:$P$4, 0)),0)/100</f>
        <v>0.90524681189574208</v>
      </c>
      <c r="I107" s="47">
        <f xml:space="preserve"> _xlfn.IFNA(INDEX('Forecast drivers'!$C$4:$P$111, MATCH(F_interface!$A107&amp;RIGHT(F_interface!I$2, 2),'Forecast drivers'!$C$4:$C$111, 0), MATCH(F_interface!$D107,'Forecast drivers'!$C$4:$P$4, 0)),0)/100</f>
        <v>0.91335814843791885</v>
      </c>
      <c r="J107" s="47">
        <f xml:space="preserve"> _xlfn.IFNA(INDEX('Forecast drivers'!$C$4:$P$111, MATCH(F_interface!$A107&amp;RIGHT(F_interface!J$2, 2),'Forecast drivers'!$C$4:$C$111, 0), MATCH(F_interface!$D107,'Forecast drivers'!$C$4:$P$4, 0)),0)/100</f>
        <v>0.92148247125932381</v>
      </c>
      <c r="K107" s="47">
        <f xml:space="preserve"> _xlfn.IFNA(INDEX('Forecast drivers'!$C$4:$P$111, MATCH(F_interface!$A107&amp;RIGHT(F_interface!K$2, 2),'Forecast drivers'!$C$4:$C$111, 0), MATCH(F_interface!$D107,'Forecast drivers'!$C$4:$P$4, 0)),0)/100</f>
        <v>0.92961981157156226</v>
      </c>
      <c r="L107" s="47">
        <f xml:space="preserve"> _xlfn.IFNA(INDEX('Forecast drivers'!$C$4:$P$111, MATCH(F_interface!$A107&amp;RIGHT(F_interface!L$2, 2),'Forecast drivers'!$C$4:$C$111, 0), MATCH(F_interface!$D107,'Forecast drivers'!$C$4:$P$4, 0)),0)/100</f>
        <v>0.93777020068633954</v>
      </c>
    </row>
    <row r="108" spans="1:12" x14ac:dyDescent="0.25">
      <c r="A108" s="13" t="s">
        <v>89</v>
      </c>
      <c r="B108" s="13" t="s">
        <v>130</v>
      </c>
      <c r="C108" s="12" t="str">
        <f t="shared" si="1"/>
        <v>SVEC_W36_PR19CA004</v>
      </c>
      <c r="D108" s="13" t="s">
        <v>37</v>
      </c>
      <c r="E108" s="13" t="s">
        <v>45</v>
      </c>
      <c r="F108" s="76" t="s">
        <v>0</v>
      </c>
      <c r="G108" s="13" t="s">
        <v>59</v>
      </c>
      <c r="H108" s="47">
        <f xml:space="preserve"> _xlfn.IFNA(INDEX('Forecast drivers'!$C$4:$P$111, MATCH(F_interface!$A108&amp;RIGHT(F_interface!H$2, 2),'Forecast drivers'!$C$4:$C$111, 0), MATCH(F_interface!$D108,'Forecast drivers'!$C$4:$P$4, 0)),0)/100</f>
        <v>0.91350126869098913</v>
      </c>
      <c r="I108" s="47">
        <f xml:space="preserve"> _xlfn.IFNA(INDEX('Forecast drivers'!$C$4:$P$111, MATCH(F_interface!$A108&amp;RIGHT(F_interface!I$2, 2),'Forecast drivers'!$C$4:$C$111, 0), MATCH(F_interface!$D108,'Forecast drivers'!$C$4:$P$4, 0)),0)/100</f>
        <v>0.92114330349493956</v>
      </c>
      <c r="J108" s="47">
        <f xml:space="preserve"> _xlfn.IFNA(INDEX('Forecast drivers'!$C$4:$P$111, MATCH(F_interface!$A108&amp;RIGHT(F_interface!J$2, 2),'Forecast drivers'!$C$4:$C$111, 0), MATCH(F_interface!$D108,'Forecast drivers'!$C$4:$P$4, 0)),0)/100</f>
        <v>0.92628724753404701</v>
      </c>
      <c r="K108" s="47">
        <f xml:space="preserve"> _xlfn.IFNA(INDEX('Forecast drivers'!$C$4:$P$111, MATCH(F_interface!$A108&amp;RIGHT(F_interface!K$2, 2),'Forecast drivers'!$C$4:$C$111, 0), MATCH(F_interface!$D108,'Forecast drivers'!$C$4:$P$4, 0)),0)/100</f>
        <v>0.92595235236724283</v>
      </c>
      <c r="L108" s="47">
        <f xml:space="preserve"> _xlfn.IFNA(INDEX('Forecast drivers'!$C$4:$P$111, MATCH(F_interface!$A108&amp;RIGHT(F_interface!L$2, 2),'Forecast drivers'!$C$4:$C$111, 0), MATCH(F_interface!$D108,'Forecast drivers'!$C$4:$P$4, 0)),0)/100</f>
        <v>0.92638367322860371</v>
      </c>
    </row>
    <row r="109" spans="1:12" x14ac:dyDescent="0.25">
      <c r="A109" s="13" t="s">
        <v>93</v>
      </c>
      <c r="B109" s="13" t="s">
        <v>130</v>
      </c>
      <c r="C109" s="12" t="str">
        <f t="shared" si="1"/>
        <v>SVHC_W36_PR19CA004</v>
      </c>
      <c r="D109" s="13" t="s">
        <v>37</v>
      </c>
      <c r="E109" s="13" t="s">
        <v>45</v>
      </c>
      <c r="F109" s="76" t="s">
        <v>0</v>
      </c>
      <c r="G109" s="13" t="s">
        <v>59</v>
      </c>
      <c r="H109" s="47">
        <f xml:space="preserve"> _xlfn.IFNA(INDEX('Forecast drivers'!$C$4:$P$111, MATCH(F_interface!$A109&amp;RIGHT(F_interface!H$2, 2),'Forecast drivers'!$C$4:$C$111, 0), MATCH(F_interface!$D109,'Forecast drivers'!$C$4:$P$4, 0)),0)/100</f>
        <v>0.93453356961036382</v>
      </c>
      <c r="I109" s="47">
        <f xml:space="preserve"> _xlfn.IFNA(INDEX('Forecast drivers'!$C$4:$P$111, MATCH(F_interface!$A109&amp;RIGHT(F_interface!I$2, 2),'Forecast drivers'!$C$4:$C$111, 0), MATCH(F_interface!$D109,'Forecast drivers'!$C$4:$P$4, 0)),0)/100</f>
        <v>0.94474774138478945</v>
      </c>
      <c r="J109" s="47">
        <f xml:space="preserve"> _xlfn.IFNA(INDEX('Forecast drivers'!$C$4:$P$111, MATCH(F_interface!$A109&amp;RIGHT(F_interface!J$2, 2),'Forecast drivers'!$C$4:$C$111, 0), MATCH(F_interface!$D109,'Forecast drivers'!$C$4:$P$4, 0)),0)/100</f>
        <v>0.95480130837724941</v>
      </c>
      <c r="K109" s="47">
        <f xml:space="preserve"> _xlfn.IFNA(INDEX('Forecast drivers'!$C$4:$P$111, MATCH(F_interface!$A109&amp;RIGHT(F_interface!K$2, 2),'Forecast drivers'!$C$4:$C$111, 0), MATCH(F_interface!$D109,'Forecast drivers'!$C$4:$P$4, 0)),0)/100</f>
        <v>0.96469802899670765</v>
      </c>
      <c r="L109" s="47">
        <f xml:space="preserve"> _xlfn.IFNA(INDEX('Forecast drivers'!$C$4:$P$111, MATCH(F_interface!$A109&amp;RIGHT(F_interface!L$2, 2),'Forecast drivers'!$C$4:$C$111, 0), MATCH(F_interface!$D109,'Forecast drivers'!$C$4:$P$4, 0)),0)/100</f>
        <v>0.9744415452894386</v>
      </c>
    </row>
    <row r="110" spans="1:12" x14ac:dyDescent="0.25">
      <c r="A110" s="13" t="s">
        <v>8</v>
      </c>
      <c r="B110" s="13" t="s">
        <v>130</v>
      </c>
      <c r="C110" s="12" t="str">
        <f t="shared" si="1"/>
        <v>SVTC_W36_PR19CA004</v>
      </c>
      <c r="D110" s="13" t="s">
        <v>37</v>
      </c>
      <c r="E110" s="13" t="s">
        <v>45</v>
      </c>
      <c r="F110" s="76" t="s">
        <v>0</v>
      </c>
      <c r="G110" s="13" t="s">
        <v>59</v>
      </c>
      <c r="H110" s="47">
        <f xml:space="preserve"> _xlfn.IFNA(INDEX('Forecast drivers'!$C$4:$P$111, MATCH(F_interface!$A110&amp;RIGHT(F_interface!H$2, 2),'Forecast drivers'!$C$4:$C$111, 0), MATCH(F_interface!$D110,'Forecast drivers'!$C$4:$P$4, 0)),0)/100</f>
        <v>0.93123872607786451</v>
      </c>
      <c r="I110" s="47">
        <f xml:space="preserve"> _xlfn.IFNA(INDEX('Forecast drivers'!$C$4:$P$111, MATCH(F_interface!$A110&amp;RIGHT(F_interface!I$2, 2),'Forecast drivers'!$C$4:$C$111, 0), MATCH(F_interface!$D110,'Forecast drivers'!$C$4:$P$4, 0)),0)/100</f>
        <v>0.94151754906463592</v>
      </c>
      <c r="J110" s="47">
        <f xml:space="preserve"> _xlfn.IFNA(INDEX('Forecast drivers'!$C$4:$P$111, MATCH(F_interface!$A110&amp;RIGHT(F_interface!J$2, 2),'Forecast drivers'!$C$4:$C$111, 0), MATCH(F_interface!$D110,'Forecast drivers'!$C$4:$P$4, 0)),0)/100</f>
        <v>0.9516324704842607</v>
      </c>
      <c r="K110" s="47">
        <f xml:space="preserve"> _xlfn.IFNA(INDEX('Forecast drivers'!$C$4:$P$111, MATCH(F_interface!$A110&amp;RIGHT(F_interface!K$2, 2),'Forecast drivers'!$C$4:$C$111, 0), MATCH(F_interface!$D110,'Forecast drivers'!$C$4:$P$4, 0)),0)/100</f>
        <v>0.96158737958154406</v>
      </c>
      <c r="L110" s="47">
        <f xml:space="preserve"> _xlfn.IFNA(INDEX('Forecast drivers'!$C$4:$P$111, MATCH(F_interface!$A110&amp;RIGHT(F_interface!L$2, 2),'Forecast drivers'!$C$4:$C$111, 0), MATCH(F_interface!$D110,'Forecast drivers'!$C$4:$P$4, 0)),0)/100</f>
        <v>0.97138604351565927</v>
      </c>
    </row>
    <row r="111" spans="1:12" x14ac:dyDescent="0.25">
      <c r="A111" s="13" t="s">
        <v>19</v>
      </c>
      <c r="B111" s="13" t="s">
        <v>130</v>
      </c>
      <c r="C111" s="12" t="str">
        <f t="shared" si="1"/>
        <v>SWBC_W36_PR19CA004</v>
      </c>
      <c r="D111" s="13" t="s">
        <v>37</v>
      </c>
      <c r="E111" s="13" t="s">
        <v>45</v>
      </c>
      <c r="F111" s="76" t="s">
        <v>0</v>
      </c>
      <c r="G111" s="13" t="s">
        <v>59</v>
      </c>
      <c r="H111" s="47">
        <f xml:space="preserve"> _xlfn.IFNA(INDEX('Forecast drivers'!$C$4:$P$111, MATCH(F_interface!$A111&amp;RIGHT(F_interface!H$2, 2),'Forecast drivers'!$C$4:$C$111, 0), MATCH(F_interface!$D111,'Forecast drivers'!$C$4:$P$4, 0)),0)/100</f>
        <v>0.96705531747417761</v>
      </c>
      <c r="I111" s="47">
        <f xml:space="preserve"> _xlfn.IFNA(INDEX('Forecast drivers'!$C$4:$P$111, MATCH(F_interface!$A111&amp;RIGHT(F_interface!I$2, 2),'Forecast drivers'!$C$4:$C$111, 0), MATCH(F_interface!$D111,'Forecast drivers'!$C$4:$P$4, 0)),0)/100</f>
        <v>0.96686383019396738</v>
      </c>
      <c r="J111" s="47">
        <f xml:space="preserve"> _xlfn.IFNA(INDEX('Forecast drivers'!$C$4:$P$111, MATCH(F_interface!$A111&amp;RIGHT(F_interface!J$2, 2),'Forecast drivers'!$C$4:$C$111, 0), MATCH(F_interface!$D111,'Forecast drivers'!$C$4:$P$4, 0)),0)/100</f>
        <v>0.96667531683389041</v>
      </c>
      <c r="K111" s="47">
        <f xml:space="preserve"> _xlfn.IFNA(INDEX('Forecast drivers'!$C$4:$P$111, MATCH(F_interface!$A111&amp;RIGHT(F_interface!K$2, 2),'Forecast drivers'!$C$4:$C$111, 0), MATCH(F_interface!$D111,'Forecast drivers'!$C$4:$P$4, 0)),0)/100</f>
        <v>0.96648970864745853</v>
      </c>
      <c r="L111" s="47">
        <f xml:space="preserve"> _xlfn.IFNA(INDEX('Forecast drivers'!$C$4:$P$111, MATCH(F_interface!$A111&amp;RIGHT(F_interface!L$2, 2),'Forecast drivers'!$C$4:$C$111, 0), MATCH(F_interface!$D111,'Forecast drivers'!$C$4:$P$4, 0)),0)/100</f>
        <v>0.96630693899088005</v>
      </c>
    </row>
    <row r="112" spans="1:12" x14ac:dyDescent="0.25">
      <c r="A112" s="13" t="s">
        <v>9</v>
      </c>
      <c r="B112" s="13" t="s">
        <v>130</v>
      </c>
      <c r="C112" s="12" t="str">
        <f t="shared" si="1"/>
        <v>TMSC_W36_PR19CA004</v>
      </c>
      <c r="D112" s="13" t="s">
        <v>37</v>
      </c>
      <c r="E112" s="13" t="s">
        <v>45</v>
      </c>
      <c r="F112" s="76" t="s">
        <v>0</v>
      </c>
      <c r="G112" s="13" t="s">
        <v>59</v>
      </c>
      <c r="H112" s="47">
        <f xml:space="preserve"> _xlfn.IFNA(INDEX('Forecast drivers'!$C$4:$P$111, MATCH(F_interface!$A112&amp;RIGHT(F_interface!H$2, 2),'Forecast drivers'!$C$4:$C$111, 0), MATCH(F_interface!$D112,'Forecast drivers'!$C$4:$P$4, 0)),0)/100</f>
        <v>0.89896461302229114</v>
      </c>
      <c r="I112" s="47">
        <f xml:space="preserve"> _xlfn.IFNA(INDEX('Forecast drivers'!$C$4:$P$111, MATCH(F_interface!$A112&amp;RIGHT(F_interface!I$2, 2),'Forecast drivers'!$C$4:$C$111, 0), MATCH(F_interface!$D112,'Forecast drivers'!$C$4:$P$4, 0)),0)/100</f>
        <v>0.89944665535867596</v>
      </c>
      <c r="J112" s="47">
        <f xml:space="preserve"> _xlfn.IFNA(INDEX('Forecast drivers'!$C$4:$P$111, MATCH(F_interface!$A112&amp;RIGHT(F_interface!J$2, 2),'Forecast drivers'!$C$4:$C$111, 0), MATCH(F_interface!$D112,'Forecast drivers'!$C$4:$P$4, 0)),0)/100</f>
        <v>0.89992031583538956</v>
      </c>
      <c r="K112" s="47">
        <f xml:space="preserve"> _xlfn.IFNA(INDEX('Forecast drivers'!$C$4:$P$111, MATCH(F_interface!$A112&amp;RIGHT(F_interface!K$2, 2),'Forecast drivers'!$C$4:$C$111, 0), MATCH(F_interface!$D112,'Forecast drivers'!$C$4:$P$4, 0)),0)/100</f>
        <v>0.90038581118658978</v>
      </c>
      <c r="L112" s="47">
        <f xml:space="preserve"> _xlfn.IFNA(INDEX('Forecast drivers'!$C$4:$P$111, MATCH(F_interface!$A112&amp;RIGHT(F_interface!L$2, 2),'Forecast drivers'!$C$4:$C$111, 0), MATCH(F_interface!$D112,'Forecast drivers'!$C$4:$P$4, 0)),0)/100</f>
        <v>0.90084335073800947</v>
      </c>
    </row>
    <row r="113" spans="1:12" x14ac:dyDescent="0.25">
      <c r="A113" s="13" t="s">
        <v>23</v>
      </c>
      <c r="B113" s="13" t="s">
        <v>130</v>
      </c>
      <c r="C113" s="12" t="str">
        <f t="shared" si="1"/>
        <v>WSHC_W36_PR19CA004</v>
      </c>
      <c r="D113" s="13" t="s">
        <v>37</v>
      </c>
      <c r="E113" s="13" t="s">
        <v>45</v>
      </c>
      <c r="F113" s="76" t="s">
        <v>0</v>
      </c>
      <c r="G113" s="13" t="s">
        <v>59</v>
      </c>
      <c r="H113" s="47">
        <f xml:space="preserve"> _xlfn.IFNA(INDEX('Forecast drivers'!$C$4:$P$111, MATCH(F_interface!$A113&amp;RIGHT(F_interface!H$2, 2),'Forecast drivers'!$C$4:$C$111, 0), MATCH(F_interface!$D113,'Forecast drivers'!$C$4:$P$4, 0)),0)/100</f>
        <v>0.99978234372279307</v>
      </c>
      <c r="I113" s="47">
        <f xml:space="preserve"> _xlfn.IFNA(INDEX('Forecast drivers'!$C$4:$P$111, MATCH(F_interface!$A113&amp;RIGHT(F_interface!I$2, 2),'Forecast drivers'!$C$4:$C$111, 0), MATCH(F_interface!$D113,'Forecast drivers'!$C$4:$P$4, 0)),0)/100</f>
        <v>0.99978234372279307</v>
      </c>
      <c r="J113" s="47">
        <f xml:space="preserve"> _xlfn.IFNA(INDEX('Forecast drivers'!$C$4:$P$111, MATCH(F_interface!$A113&amp;RIGHT(F_interface!J$2, 2),'Forecast drivers'!$C$4:$C$111, 0), MATCH(F_interface!$D113,'Forecast drivers'!$C$4:$P$4, 0)),0)/100</f>
        <v>0.99978234372279307</v>
      </c>
      <c r="K113" s="47">
        <f xml:space="preserve"> _xlfn.IFNA(INDEX('Forecast drivers'!$C$4:$P$111, MATCH(F_interface!$A113&amp;RIGHT(F_interface!K$2, 2),'Forecast drivers'!$C$4:$C$111, 0), MATCH(F_interface!$D113,'Forecast drivers'!$C$4:$P$4, 0)),0)/100</f>
        <v>0.99978234372279307</v>
      </c>
      <c r="L113" s="47">
        <f xml:space="preserve"> _xlfn.IFNA(INDEX('Forecast drivers'!$C$4:$P$111, MATCH(F_interface!$A113&amp;RIGHT(F_interface!L$2, 2),'Forecast drivers'!$C$4:$C$111, 0), MATCH(F_interface!$D113,'Forecast drivers'!$C$4:$P$4, 0)),0)/100</f>
        <v>0.99978234372279307</v>
      </c>
    </row>
    <row r="114" spans="1:12" x14ac:dyDescent="0.25">
      <c r="A114" s="13" t="s">
        <v>10</v>
      </c>
      <c r="B114" s="13" t="s">
        <v>130</v>
      </c>
      <c r="C114" s="12" t="str">
        <f t="shared" si="1"/>
        <v>WSXC_W36_PR19CA004</v>
      </c>
      <c r="D114" s="13" t="s">
        <v>37</v>
      </c>
      <c r="E114" s="13" t="s">
        <v>45</v>
      </c>
      <c r="F114" s="76" t="s">
        <v>0</v>
      </c>
      <c r="G114" s="13" t="s">
        <v>59</v>
      </c>
      <c r="H114" s="47">
        <f xml:space="preserve"> _xlfn.IFNA(INDEX('Forecast drivers'!$C$4:$P$111, MATCH(F_interface!$A114&amp;RIGHT(F_interface!H$2, 2),'Forecast drivers'!$C$4:$C$111, 0), MATCH(F_interface!$D114,'Forecast drivers'!$C$4:$P$4, 0)),0)/100</f>
        <v>0.50348768906589181</v>
      </c>
      <c r="I114" s="47">
        <f xml:space="preserve"> _xlfn.IFNA(INDEX('Forecast drivers'!$C$4:$P$111, MATCH(F_interface!$A114&amp;RIGHT(F_interface!I$2, 2),'Forecast drivers'!$C$4:$C$111, 0), MATCH(F_interface!$D114,'Forecast drivers'!$C$4:$P$4, 0)),0)/100</f>
        <v>0.50858485039145707</v>
      </c>
      <c r="J114" s="47">
        <f xml:space="preserve"> _xlfn.IFNA(INDEX('Forecast drivers'!$C$4:$P$111, MATCH(F_interface!$A114&amp;RIGHT(F_interface!J$2, 2),'Forecast drivers'!$C$4:$C$111, 0), MATCH(F_interface!$D114,'Forecast drivers'!$C$4:$P$4, 0)),0)/100</f>
        <v>0.51363004849182925</v>
      </c>
      <c r="K114" s="47">
        <f xml:space="preserve"> _xlfn.IFNA(INDEX('Forecast drivers'!$C$4:$P$111, MATCH(F_interface!$A114&amp;RIGHT(F_interface!K$2, 2),'Forecast drivers'!$C$4:$C$111, 0), MATCH(F_interface!$D114,'Forecast drivers'!$C$4:$P$4, 0)),0)/100</f>
        <v>0.51862407394911958</v>
      </c>
      <c r="L114" s="47">
        <f xml:space="preserve"> _xlfn.IFNA(INDEX('Forecast drivers'!$C$4:$P$111, MATCH(F_interface!$A114&amp;RIGHT(F_interface!L$2, 2),'Forecast drivers'!$C$4:$C$111, 0), MATCH(F_interface!$D114,'Forecast drivers'!$C$4:$P$4, 0)),0)/100</f>
        <v>0.52356770138886377</v>
      </c>
    </row>
    <row r="115" spans="1:12" x14ac:dyDescent="0.25">
      <c r="A115" s="13" t="s">
        <v>11</v>
      </c>
      <c r="B115" s="13" t="s">
        <v>130</v>
      </c>
      <c r="C115" s="12" t="str">
        <f t="shared" si="1"/>
        <v>YKYC_W36_PR19CA004</v>
      </c>
      <c r="D115" s="13" t="s">
        <v>37</v>
      </c>
      <c r="E115" s="13" t="s">
        <v>45</v>
      </c>
      <c r="F115" s="76" t="s">
        <v>0</v>
      </c>
      <c r="G115" s="13" t="s">
        <v>59</v>
      </c>
      <c r="H115" s="47">
        <f xml:space="preserve"> _xlfn.IFNA(INDEX('Forecast drivers'!$C$4:$P$111, MATCH(F_interface!$A115&amp;RIGHT(F_interface!H$2, 2),'Forecast drivers'!$C$4:$C$111, 0), MATCH(F_interface!$D115,'Forecast drivers'!$C$4:$P$4, 0)),0)/100</f>
        <v>0.95791036252508632</v>
      </c>
      <c r="I115" s="47">
        <f xml:space="preserve"> _xlfn.IFNA(INDEX('Forecast drivers'!$C$4:$P$111, MATCH(F_interface!$A115&amp;RIGHT(F_interface!I$2, 2),'Forecast drivers'!$C$4:$C$111, 0), MATCH(F_interface!$D115,'Forecast drivers'!$C$4:$P$4, 0)),0)/100</f>
        <v>0.96024379205426547</v>
      </c>
      <c r="J115" s="47">
        <f xml:space="preserve"> _xlfn.IFNA(INDEX('Forecast drivers'!$C$4:$P$111, MATCH(F_interface!$A115&amp;RIGHT(F_interface!J$2, 2),'Forecast drivers'!$C$4:$C$111, 0), MATCH(F_interface!$D115,'Forecast drivers'!$C$4:$P$4, 0)),0)/100</f>
        <v>0.96254830456085183</v>
      </c>
      <c r="K115" s="47">
        <f xml:space="preserve"> _xlfn.IFNA(INDEX('Forecast drivers'!$C$4:$P$111, MATCH(F_interface!$A115&amp;RIGHT(F_interface!K$2, 2),'Forecast drivers'!$C$4:$C$111, 0), MATCH(F_interface!$D115,'Forecast drivers'!$C$4:$P$4, 0)),0)/100</f>
        <v>0.96482443426592956</v>
      </c>
      <c r="L115" s="47">
        <f xml:space="preserve"> _xlfn.IFNA(INDEX('Forecast drivers'!$C$4:$P$111, MATCH(F_interface!$A115&amp;RIGHT(F_interface!L$2, 2),'Forecast drivers'!$C$4:$C$111, 0), MATCH(F_interface!$D115,'Forecast drivers'!$C$4:$P$4, 0)),0)/100</f>
        <v>0.96707270231198972</v>
      </c>
    </row>
    <row r="116" spans="1:12" x14ac:dyDescent="0.25">
      <c r="A116" s="13" t="s">
        <v>12</v>
      </c>
      <c r="B116" s="13" t="s">
        <v>130</v>
      </c>
      <c r="C116" s="12" t="str">
        <f t="shared" si="1"/>
        <v>AFWC_W36_PR19CA004</v>
      </c>
      <c r="D116" s="13" t="s">
        <v>37</v>
      </c>
      <c r="E116" s="13" t="s">
        <v>45</v>
      </c>
      <c r="F116" s="76" t="s">
        <v>0</v>
      </c>
      <c r="G116" s="13" t="s">
        <v>59</v>
      </c>
      <c r="H116" s="47">
        <f xml:space="preserve"> _xlfn.IFNA(INDEX('Forecast drivers'!$C$4:$P$111, MATCH(F_interface!$A116&amp;RIGHT(F_interface!H$2, 2),'Forecast drivers'!$C$4:$C$111, 0), MATCH(F_interface!$D116,'Forecast drivers'!$C$4:$P$4, 0)),0)/100</f>
        <v>0.93097387262061615</v>
      </c>
      <c r="I116" s="47">
        <f xml:space="preserve"> _xlfn.IFNA(INDEX('Forecast drivers'!$C$4:$P$111, MATCH(F_interface!$A116&amp;RIGHT(F_interface!I$2, 2),'Forecast drivers'!$C$4:$C$111, 0), MATCH(F_interface!$D116,'Forecast drivers'!$C$4:$P$4, 0)),0)/100</f>
        <v>0.93097387262061615</v>
      </c>
      <c r="J116" s="47">
        <f xml:space="preserve"> _xlfn.IFNA(INDEX('Forecast drivers'!$C$4:$P$111, MATCH(F_interface!$A116&amp;RIGHT(F_interface!J$2, 2),'Forecast drivers'!$C$4:$C$111, 0), MATCH(F_interface!$D116,'Forecast drivers'!$C$4:$P$4, 0)),0)/100</f>
        <v>0.93097387262061615</v>
      </c>
      <c r="K116" s="47">
        <f xml:space="preserve"> _xlfn.IFNA(INDEX('Forecast drivers'!$C$4:$P$111, MATCH(F_interface!$A116&amp;RIGHT(F_interface!K$2, 2),'Forecast drivers'!$C$4:$C$111, 0), MATCH(F_interface!$D116,'Forecast drivers'!$C$4:$P$4, 0)),0)/100</f>
        <v>0.93097387262061615</v>
      </c>
      <c r="L116" s="47">
        <f xml:space="preserve"> _xlfn.IFNA(INDEX('Forecast drivers'!$C$4:$P$111, MATCH(F_interface!$A116&amp;RIGHT(F_interface!L$2, 2),'Forecast drivers'!$C$4:$C$111, 0), MATCH(F_interface!$D116,'Forecast drivers'!$C$4:$P$4, 0)),0)/100</f>
        <v>0.93097387262061615</v>
      </c>
    </row>
    <row r="117" spans="1:12" x14ac:dyDescent="0.25">
      <c r="A117" s="13" t="s">
        <v>13</v>
      </c>
      <c r="B117" s="13" t="s">
        <v>130</v>
      </c>
      <c r="C117" s="12" t="str">
        <f t="shared" si="1"/>
        <v>BRLC_W36_PR19CA004</v>
      </c>
      <c r="D117" s="13" t="s">
        <v>37</v>
      </c>
      <c r="E117" s="13" t="s">
        <v>45</v>
      </c>
      <c r="F117" s="76" t="s">
        <v>0</v>
      </c>
      <c r="G117" s="13" t="s">
        <v>59</v>
      </c>
      <c r="H117" s="47">
        <f xml:space="preserve"> _xlfn.IFNA(INDEX('Forecast drivers'!$C$4:$P$111, MATCH(F_interface!$A117&amp;RIGHT(F_interface!H$2, 2),'Forecast drivers'!$C$4:$C$111, 0), MATCH(F_interface!$D117,'Forecast drivers'!$C$4:$P$4, 0)),0)/100</f>
        <v>0.98382419831703416</v>
      </c>
      <c r="I117" s="47">
        <f xml:space="preserve"> _xlfn.IFNA(INDEX('Forecast drivers'!$C$4:$P$111, MATCH(F_interface!$A117&amp;RIGHT(F_interface!I$2, 2),'Forecast drivers'!$C$4:$C$111, 0), MATCH(F_interface!$D117,'Forecast drivers'!$C$4:$P$4, 0)),0)/100</f>
        <v>0.98353873964813954</v>
      </c>
      <c r="J117" s="47">
        <f xml:space="preserve"> _xlfn.IFNA(INDEX('Forecast drivers'!$C$4:$P$111, MATCH(F_interface!$A117&amp;RIGHT(F_interface!J$2, 2),'Forecast drivers'!$C$4:$C$111, 0), MATCH(F_interface!$D117,'Forecast drivers'!$C$4:$P$4, 0)),0)/100</f>
        <v>0.98325533181435598</v>
      </c>
      <c r="K117" s="47">
        <f xml:space="preserve"> _xlfn.IFNA(INDEX('Forecast drivers'!$C$4:$P$111, MATCH(F_interface!$A117&amp;RIGHT(F_interface!K$2, 2),'Forecast drivers'!$C$4:$C$111, 0), MATCH(F_interface!$D117,'Forecast drivers'!$C$4:$P$4, 0)),0)/100</f>
        <v>0.98297395279391286</v>
      </c>
      <c r="L117" s="47">
        <f xml:space="preserve"> _xlfn.IFNA(INDEX('Forecast drivers'!$C$4:$P$111, MATCH(F_interface!$A117&amp;RIGHT(F_interface!L$2, 2),'Forecast drivers'!$C$4:$C$111, 0), MATCH(F_interface!$D117,'Forecast drivers'!$C$4:$P$4, 0)),0)/100</f>
        <v>0.9826945808792058</v>
      </c>
    </row>
    <row r="118" spans="1:12" x14ac:dyDescent="0.25">
      <c r="A118" s="13" t="s">
        <v>14</v>
      </c>
      <c r="B118" s="13" t="s">
        <v>130</v>
      </c>
      <c r="C118" s="12" t="str">
        <f t="shared" si="1"/>
        <v>DVWC_W36_PR19CA004</v>
      </c>
      <c r="D118" s="13" t="s">
        <v>37</v>
      </c>
      <c r="E118" s="13" t="s">
        <v>45</v>
      </c>
      <c r="F118" s="76" t="s">
        <v>0</v>
      </c>
      <c r="G118" s="13" t="s">
        <v>59</v>
      </c>
      <c r="H118" s="47">
        <f xml:space="preserve"> _xlfn.IFNA(INDEX('Forecast drivers'!$C$4:$P$111, MATCH(F_interface!$A118&amp;RIGHT(F_interface!H$2, 2),'Forecast drivers'!$C$4:$C$111, 0), MATCH(F_interface!$D118,'Forecast drivers'!$C$4:$P$4, 0)),0)/100</f>
        <v>1</v>
      </c>
      <c r="I118" s="47">
        <f xml:space="preserve"> _xlfn.IFNA(INDEX('Forecast drivers'!$C$4:$P$111, MATCH(F_interface!$A118&amp;RIGHT(F_interface!I$2, 2),'Forecast drivers'!$C$4:$C$111, 0), MATCH(F_interface!$D118,'Forecast drivers'!$C$4:$P$4, 0)),0)/100</f>
        <v>1</v>
      </c>
      <c r="J118" s="47">
        <f xml:space="preserve"> _xlfn.IFNA(INDEX('Forecast drivers'!$C$4:$P$111, MATCH(F_interface!$A118&amp;RIGHT(F_interface!J$2, 2),'Forecast drivers'!$C$4:$C$111, 0), MATCH(F_interface!$D118,'Forecast drivers'!$C$4:$P$4, 0)),0)/100</f>
        <v>1</v>
      </c>
      <c r="K118" s="47">
        <f xml:space="preserve"> _xlfn.IFNA(INDEX('Forecast drivers'!$C$4:$P$111, MATCH(F_interface!$A118&amp;RIGHT(F_interface!K$2, 2),'Forecast drivers'!$C$4:$C$111, 0), MATCH(F_interface!$D118,'Forecast drivers'!$C$4:$P$4, 0)),0)/100</f>
        <v>1</v>
      </c>
      <c r="L118" s="47">
        <f xml:space="preserve"> _xlfn.IFNA(INDEX('Forecast drivers'!$C$4:$P$111, MATCH(F_interface!$A118&amp;RIGHT(F_interface!L$2, 2),'Forecast drivers'!$C$4:$C$111, 0), MATCH(F_interface!$D118,'Forecast drivers'!$C$4:$P$4, 0)),0)/100</f>
        <v>1</v>
      </c>
    </row>
    <row r="119" spans="1:12" x14ac:dyDescent="0.25">
      <c r="A119" s="13" t="s">
        <v>15</v>
      </c>
      <c r="B119" s="13" t="s">
        <v>130</v>
      </c>
      <c r="C119" s="12" t="str">
        <f t="shared" si="1"/>
        <v>PRTC_W36_PR19CA004</v>
      </c>
      <c r="D119" s="13" t="s">
        <v>37</v>
      </c>
      <c r="E119" s="13" t="s">
        <v>45</v>
      </c>
      <c r="F119" s="76" t="s">
        <v>0</v>
      </c>
      <c r="G119" s="13" t="s">
        <v>59</v>
      </c>
      <c r="H119" s="47">
        <f xml:space="preserve"> _xlfn.IFNA(INDEX('Forecast drivers'!$C$4:$P$111, MATCH(F_interface!$A119&amp;RIGHT(F_interface!H$2, 2),'Forecast drivers'!$C$4:$C$111, 0), MATCH(F_interface!$D119,'Forecast drivers'!$C$4:$P$4, 0)),0)/100</f>
        <v>0.55212208154553866</v>
      </c>
      <c r="I119" s="47">
        <f xml:space="preserve"> _xlfn.IFNA(INDEX('Forecast drivers'!$C$4:$P$111, MATCH(F_interface!$A119&amp;RIGHT(F_interface!I$2, 2),'Forecast drivers'!$C$4:$C$111, 0), MATCH(F_interface!$D119,'Forecast drivers'!$C$4:$P$4, 0)),0)/100</f>
        <v>0.55212208154553866</v>
      </c>
      <c r="J119" s="47">
        <f xml:space="preserve"> _xlfn.IFNA(INDEX('Forecast drivers'!$C$4:$P$111, MATCH(F_interface!$A119&amp;RIGHT(F_interface!J$2, 2),'Forecast drivers'!$C$4:$C$111, 0), MATCH(F_interface!$D119,'Forecast drivers'!$C$4:$P$4, 0)),0)/100</f>
        <v>0.55212208154553866</v>
      </c>
      <c r="K119" s="47">
        <f xml:space="preserve"> _xlfn.IFNA(INDEX('Forecast drivers'!$C$4:$P$111, MATCH(F_interface!$A119&amp;RIGHT(F_interface!K$2, 2),'Forecast drivers'!$C$4:$C$111, 0), MATCH(F_interface!$D119,'Forecast drivers'!$C$4:$P$4, 0)),0)/100</f>
        <v>0.55212208154553866</v>
      </c>
      <c r="L119" s="47">
        <f xml:space="preserve"> _xlfn.IFNA(INDEX('Forecast drivers'!$C$4:$P$111, MATCH(F_interface!$A119&amp;RIGHT(F_interface!L$2, 2),'Forecast drivers'!$C$4:$C$111, 0), MATCH(F_interface!$D119,'Forecast drivers'!$C$4:$P$4, 0)),0)/100</f>
        <v>0.55212208154553866</v>
      </c>
    </row>
    <row r="120" spans="1:12" x14ac:dyDescent="0.25">
      <c r="A120" s="13" t="s">
        <v>16</v>
      </c>
      <c r="B120" s="13" t="s">
        <v>130</v>
      </c>
      <c r="C120" s="12" t="str">
        <f t="shared" si="1"/>
        <v>SESC_W36_PR19CA004</v>
      </c>
      <c r="D120" s="13" t="s">
        <v>37</v>
      </c>
      <c r="E120" s="13" t="s">
        <v>45</v>
      </c>
      <c r="F120" s="76" t="s">
        <v>0</v>
      </c>
      <c r="G120" s="13" t="s">
        <v>59</v>
      </c>
      <c r="H120" s="47">
        <f xml:space="preserve"> _xlfn.IFNA(INDEX('Forecast drivers'!$C$4:$P$111, MATCH(F_interface!$A120&amp;RIGHT(F_interface!H$2, 2),'Forecast drivers'!$C$4:$C$111, 0), MATCH(F_interface!$D120,'Forecast drivers'!$C$4:$P$4, 0)),0)/100</f>
        <v>1</v>
      </c>
      <c r="I120" s="47">
        <f xml:space="preserve"> _xlfn.IFNA(INDEX('Forecast drivers'!$C$4:$P$111, MATCH(F_interface!$A120&amp;RIGHT(F_interface!I$2, 2),'Forecast drivers'!$C$4:$C$111, 0), MATCH(F_interface!$D120,'Forecast drivers'!$C$4:$P$4, 0)),0)/100</f>
        <v>1</v>
      </c>
      <c r="J120" s="47">
        <f xml:space="preserve"> _xlfn.IFNA(INDEX('Forecast drivers'!$C$4:$P$111, MATCH(F_interface!$A120&amp;RIGHT(F_interface!J$2, 2),'Forecast drivers'!$C$4:$C$111, 0), MATCH(F_interface!$D120,'Forecast drivers'!$C$4:$P$4, 0)),0)/100</f>
        <v>1</v>
      </c>
      <c r="K120" s="47">
        <f xml:space="preserve"> _xlfn.IFNA(INDEX('Forecast drivers'!$C$4:$P$111, MATCH(F_interface!$A120&amp;RIGHT(F_interface!K$2, 2),'Forecast drivers'!$C$4:$C$111, 0), MATCH(F_interface!$D120,'Forecast drivers'!$C$4:$P$4, 0)),0)/100</f>
        <v>1</v>
      </c>
      <c r="L120" s="47">
        <f xml:space="preserve"> _xlfn.IFNA(INDEX('Forecast drivers'!$C$4:$P$111, MATCH(F_interface!$A120&amp;RIGHT(F_interface!L$2, 2),'Forecast drivers'!$C$4:$C$111, 0), MATCH(F_interface!$D120,'Forecast drivers'!$C$4:$P$4, 0)),0)/100</f>
        <v>1</v>
      </c>
    </row>
    <row r="121" spans="1:12" x14ac:dyDescent="0.25">
      <c r="A121" s="13" t="s">
        <v>17</v>
      </c>
      <c r="B121" s="13" t="s">
        <v>130</v>
      </c>
      <c r="C121" s="12" t="str">
        <f t="shared" si="1"/>
        <v>SEWC_W36_PR19CA004</v>
      </c>
      <c r="D121" s="13" t="s">
        <v>37</v>
      </c>
      <c r="E121" s="13" t="s">
        <v>45</v>
      </c>
      <c r="F121" s="76" t="s">
        <v>0</v>
      </c>
      <c r="G121" s="13" t="s">
        <v>59</v>
      </c>
      <c r="H121" s="47">
        <f xml:space="preserve"> _xlfn.IFNA(INDEX('Forecast drivers'!$C$4:$P$111, MATCH(F_interface!$A121&amp;RIGHT(F_interface!H$2, 2),'Forecast drivers'!$C$4:$C$111, 0), MATCH(F_interface!$D121,'Forecast drivers'!$C$4:$P$4, 0)),0)/100</f>
        <v>0.90780507616785211</v>
      </c>
      <c r="I121" s="47">
        <f xml:space="preserve"> _xlfn.IFNA(INDEX('Forecast drivers'!$C$4:$P$111, MATCH(F_interface!$A121&amp;RIGHT(F_interface!I$2, 2),'Forecast drivers'!$C$4:$C$111, 0), MATCH(F_interface!$D121,'Forecast drivers'!$C$4:$P$4, 0)),0)/100</f>
        <v>0.91701168653591514</v>
      </c>
      <c r="J121" s="47">
        <f xml:space="preserve"> _xlfn.IFNA(INDEX('Forecast drivers'!$C$4:$P$111, MATCH(F_interface!$A121&amp;RIGHT(F_interface!J$2, 2),'Forecast drivers'!$C$4:$C$111, 0), MATCH(F_interface!$D121,'Forecast drivers'!$C$4:$P$4, 0)),0)/100</f>
        <v>0.92625340714737103</v>
      </c>
      <c r="K121" s="47">
        <f xml:space="preserve"> _xlfn.IFNA(INDEX('Forecast drivers'!$C$4:$P$111, MATCH(F_interface!$A121&amp;RIGHT(F_interface!K$2, 2),'Forecast drivers'!$C$4:$C$111, 0), MATCH(F_interface!$D121,'Forecast drivers'!$C$4:$P$4, 0)),0)/100</f>
        <v>0.93553043923006518</v>
      </c>
      <c r="L121" s="47">
        <f xml:space="preserve"> _xlfn.IFNA(INDEX('Forecast drivers'!$C$4:$P$111, MATCH(F_interface!$A121&amp;RIGHT(F_interface!L$2, 2),'Forecast drivers'!$C$4:$C$111, 0), MATCH(F_interface!$D121,'Forecast drivers'!$C$4:$P$4, 0)),0)/100</f>
        <v>0.94484298555251922</v>
      </c>
    </row>
    <row r="122" spans="1:12" x14ac:dyDescent="0.25">
      <c r="A122" s="13" t="s">
        <v>18</v>
      </c>
      <c r="B122" s="13" t="s">
        <v>130</v>
      </c>
      <c r="C122" s="12" t="str">
        <f t="shared" si="1"/>
        <v>SSCC_W36_PR19CA004</v>
      </c>
      <c r="D122" s="13" t="s">
        <v>37</v>
      </c>
      <c r="E122" s="13" t="s">
        <v>45</v>
      </c>
      <c r="F122" s="76" t="s">
        <v>0</v>
      </c>
      <c r="G122" s="13" t="s">
        <v>59</v>
      </c>
      <c r="H122" s="47">
        <f xml:space="preserve"> _xlfn.IFNA(INDEX('Forecast drivers'!$C$4:$P$111, MATCH(F_interface!$A122&amp;RIGHT(F_interface!H$2, 2),'Forecast drivers'!$C$4:$C$111, 0), MATCH(F_interface!$D122,'Forecast drivers'!$C$4:$P$4, 0)),0)/100</f>
        <v>0.70898233536857802</v>
      </c>
      <c r="I122" s="47">
        <f xml:space="preserve"> _xlfn.IFNA(INDEX('Forecast drivers'!$C$4:$P$111, MATCH(F_interface!$A122&amp;RIGHT(F_interface!I$2, 2),'Forecast drivers'!$C$4:$C$111, 0), MATCH(F_interface!$D122,'Forecast drivers'!$C$4:$P$4, 0)),0)/100</f>
        <v>0.70898233536857802</v>
      </c>
      <c r="J122" s="47">
        <f xml:space="preserve"> _xlfn.IFNA(INDEX('Forecast drivers'!$C$4:$P$111, MATCH(F_interface!$A122&amp;RIGHT(F_interface!J$2, 2),'Forecast drivers'!$C$4:$C$111, 0), MATCH(F_interface!$D122,'Forecast drivers'!$C$4:$P$4, 0)),0)/100</f>
        <v>0.70898233536857802</v>
      </c>
      <c r="K122" s="47">
        <f xml:space="preserve"> _xlfn.IFNA(INDEX('Forecast drivers'!$C$4:$P$111, MATCH(F_interface!$A122&amp;RIGHT(F_interface!K$2, 2),'Forecast drivers'!$C$4:$C$111, 0), MATCH(F_interface!$D122,'Forecast drivers'!$C$4:$P$4, 0)),0)/100</f>
        <v>0.70898233536857802</v>
      </c>
      <c r="L122" s="47">
        <f xml:space="preserve"> _xlfn.IFNA(INDEX('Forecast drivers'!$C$4:$P$111, MATCH(F_interface!$A122&amp;RIGHT(F_interface!L$2, 2),'Forecast drivers'!$C$4:$C$111, 0), MATCH(F_interface!$D122,'Forecast drivers'!$C$4:$P$4, 0)),0)/100</f>
        <v>0.70898233536857802</v>
      </c>
    </row>
    <row r="123" spans="1:12" x14ac:dyDescent="0.25">
      <c r="A123" s="13" t="s">
        <v>4</v>
      </c>
      <c r="B123" s="13" t="s">
        <v>131</v>
      </c>
      <c r="C123" s="12" t="str">
        <f t="shared" si="1"/>
        <v>ANHC_WAC_PR19CA004</v>
      </c>
      <c r="D123" s="13" t="s">
        <v>88</v>
      </c>
      <c r="E123" s="13" t="s">
        <v>113</v>
      </c>
      <c r="F123" s="76" t="s">
        <v>3</v>
      </c>
      <c r="G123" s="13" t="s">
        <v>59</v>
      </c>
      <c r="H123" s="47">
        <f xml:space="preserve"> _xlfn.IFNA(INDEX('Forecast drivers'!$C$4:$P$111, MATCH(F_interface!$A123&amp;RIGHT(F_interface!H$2, 2),'Forecast drivers'!$C$4:$C$111, 0), MATCH(F_interface!$D123,'Forecast drivers'!$C$4:$P$4, 0)),0)</f>
        <v>5.0243126102918856</v>
      </c>
      <c r="I123" s="47">
        <f xml:space="preserve"> _xlfn.IFNA(INDEX('Forecast drivers'!$C$4:$P$111, MATCH(F_interface!$A123&amp;RIGHT(F_interface!I$2, 2),'Forecast drivers'!$C$4:$C$111, 0), MATCH(F_interface!$D123,'Forecast drivers'!$C$4:$P$4, 0)),0)</f>
        <v>5.0243126102918856</v>
      </c>
      <c r="J123" s="47">
        <f xml:space="preserve"> _xlfn.IFNA(INDEX('Forecast drivers'!$C$4:$P$111, MATCH(F_interface!$A123&amp;RIGHT(F_interface!J$2, 2),'Forecast drivers'!$C$4:$C$111, 0), MATCH(F_interface!$D123,'Forecast drivers'!$C$4:$P$4, 0)),0)</f>
        <v>5.0243126102918856</v>
      </c>
      <c r="K123" s="47">
        <f xml:space="preserve"> _xlfn.IFNA(INDEX('Forecast drivers'!$C$4:$P$111, MATCH(F_interface!$A123&amp;RIGHT(F_interface!K$2, 2),'Forecast drivers'!$C$4:$C$111, 0), MATCH(F_interface!$D123,'Forecast drivers'!$C$4:$P$4, 0)),0)</f>
        <v>5.0243126102918856</v>
      </c>
      <c r="L123" s="47">
        <f xml:space="preserve"> _xlfn.IFNA(INDEX('Forecast drivers'!$C$4:$P$111, MATCH(F_interface!$A123&amp;RIGHT(F_interface!L$2, 2),'Forecast drivers'!$C$4:$C$111, 0), MATCH(F_interface!$D123,'Forecast drivers'!$C$4:$P$4, 0)),0)</f>
        <v>5.0243126102918856</v>
      </c>
    </row>
    <row r="124" spans="1:12" x14ac:dyDescent="0.25">
      <c r="A124" s="13" t="s">
        <v>90</v>
      </c>
      <c r="B124" s="13" t="s">
        <v>131</v>
      </c>
      <c r="C124" s="12" t="str">
        <f t="shared" si="1"/>
        <v>HDDC_WAC_PR19CA004</v>
      </c>
      <c r="D124" s="13" t="s">
        <v>88</v>
      </c>
      <c r="E124" s="13" t="s">
        <v>113</v>
      </c>
      <c r="F124" s="76" t="s">
        <v>3</v>
      </c>
      <c r="G124" s="13" t="s">
        <v>59</v>
      </c>
      <c r="H124" s="47">
        <f xml:space="preserve"> _xlfn.IFNA(INDEX('Forecast drivers'!$C$4:$P$111, MATCH(F_interface!$A124&amp;RIGHT(F_interface!H$2, 2),'Forecast drivers'!$C$4:$C$111, 0), MATCH(F_interface!$D124,'Forecast drivers'!$C$4:$P$4, 0)),0)</f>
        <v>5.2310958573829085</v>
      </c>
      <c r="I124" s="47">
        <f xml:space="preserve"> _xlfn.IFNA(INDEX('Forecast drivers'!$C$4:$P$111, MATCH(F_interface!$A124&amp;RIGHT(F_interface!I$2, 2),'Forecast drivers'!$C$4:$C$111, 0), MATCH(F_interface!$D124,'Forecast drivers'!$C$4:$P$4, 0)),0)</f>
        <v>5.2319638917128497</v>
      </c>
      <c r="J124" s="47">
        <f xml:space="preserve"> _xlfn.IFNA(INDEX('Forecast drivers'!$C$4:$P$111, MATCH(F_interface!$A124&amp;RIGHT(F_interface!J$2, 2),'Forecast drivers'!$C$4:$C$111, 0), MATCH(F_interface!$D124,'Forecast drivers'!$C$4:$P$4, 0)),0)</f>
        <v>5.2336930640051227</v>
      </c>
      <c r="K124" s="47">
        <f xml:space="preserve"> _xlfn.IFNA(INDEX('Forecast drivers'!$C$4:$P$111, MATCH(F_interface!$A124&amp;RIGHT(F_interface!K$2, 2),'Forecast drivers'!$C$4:$C$111, 0), MATCH(F_interface!$D124,'Forecast drivers'!$C$4:$P$4, 0)),0)</f>
        <v>5.2354821679177714</v>
      </c>
      <c r="L124" s="47">
        <f xml:space="preserve"> _xlfn.IFNA(INDEX('Forecast drivers'!$C$4:$P$111, MATCH(F_interface!$A124&amp;RIGHT(F_interface!L$2, 2),'Forecast drivers'!$C$4:$C$111, 0), MATCH(F_interface!$D124,'Forecast drivers'!$C$4:$P$4, 0)),0)</f>
        <v>5.2366835675443006</v>
      </c>
    </row>
    <row r="125" spans="1:12" x14ac:dyDescent="0.25">
      <c r="A125" s="13" t="s">
        <v>5</v>
      </c>
      <c r="B125" s="13" t="s">
        <v>131</v>
      </c>
      <c r="C125" s="12" t="str">
        <f t="shared" si="1"/>
        <v>NESC_WAC_PR19CA004</v>
      </c>
      <c r="D125" s="13" t="s">
        <v>88</v>
      </c>
      <c r="E125" s="13" t="s">
        <v>113</v>
      </c>
      <c r="F125" s="76" t="s">
        <v>3</v>
      </c>
      <c r="G125" s="13" t="s">
        <v>59</v>
      </c>
      <c r="H125" s="47">
        <f xml:space="preserve"> _xlfn.IFNA(INDEX('Forecast drivers'!$C$4:$P$111, MATCH(F_interface!$A125&amp;RIGHT(F_interface!H$2, 2),'Forecast drivers'!$C$4:$C$111, 0), MATCH(F_interface!$D125,'Forecast drivers'!$C$4:$P$4, 0)),0)</f>
        <v>5.2884857416051201</v>
      </c>
      <c r="I125" s="47">
        <f xml:space="preserve"> _xlfn.IFNA(INDEX('Forecast drivers'!$C$4:$P$111, MATCH(F_interface!$A125&amp;RIGHT(F_interface!I$2, 2),'Forecast drivers'!$C$4:$C$111, 0), MATCH(F_interface!$D125,'Forecast drivers'!$C$4:$P$4, 0)),0)</f>
        <v>5.2884857416051201</v>
      </c>
      <c r="J125" s="47">
        <f xml:space="preserve"> _xlfn.IFNA(INDEX('Forecast drivers'!$C$4:$P$111, MATCH(F_interface!$A125&amp;RIGHT(F_interface!J$2, 2),'Forecast drivers'!$C$4:$C$111, 0), MATCH(F_interface!$D125,'Forecast drivers'!$C$4:$P$4, 0)),0)</f>
        <v>5.2884857416051201</v>
      </c>
      <c r="K125" s="47">
        <f xml:space="preserve"> _xlfn.IFNA(INDEX('Forecast drivers'!$C$4:$P$111, MATCH(F_interface!$A125&amp;RIGHT(F_interface!K$2, 2),'Forecast drivers'!$C$4:$C$111, 0), MATCH(F_interface!$D125,'Forecast drivers'!$C$4:$P$4, 0)),0)</f>
        <v>5.2884857416051201</v>
      </c>
      <c r="L125" s="47">
        <f xml:space="preserve"> _xlfn.IFNA(INDEX('Forecast drivers'!$C$4:$P$111, MATCH(F_interface!$A125&amp;RIGHT(F_interface!L$2, 2),'Forecast drivers'!$C$4:$C$111, 0), MATCH(F_interface!$D125,'Forecast drivers'!$C$4:$P$4, 0)),0)</f>
        <v>5.2884857416051201</v>
      </c>
    </row>
    <row r="126" spans="1:12" x14ac:dyDescent="0.25">
      <c r="A126" s="13" t="s">
        <v>6</v>
      </c>
      <c r="B126" s="13" t="s">
        <v>131</v>
      </c>
      <c r="C126" s="12" t="str">
        <f t="shared" si="1"/>
        <v>NWTC_WAC_PR19CA004</v>
      </c>
      <c r="D126" s="13" t="s">
        <v>88</v>
      </c>
      <c r="E126" s="13" t="s">
        <v>113</v>
      </c>
      <c r="F126" s="76" t="s">
        <v>3</v>
      </c>
      <c r="G126" s="13" t="s">
        <v>59</v>
      </c>
      <c r="H126" s="47">
        <f xml:space="preserve"> _xlfn.IFNA(INDEX('Forecast drivers'!$C$4:$P$111, MATCH(F_interface!$A126&amp;RIGHT(F_interface!H$2, 2),'Forecast drivers'!$C$4:$C$111, 0), MATCH(F_interface!$D126,'Forecast drivers'!$C$4:$P$4, 0)),0)</f>
        <v>5.0244330420975354</v>
      </c>
      <c r="I126" s="47">
        <f xml:space="preserve"> _xlfn.IFNA(INDEX('Forecast drivers'!$C$4:$P$111, MATCH(F_interface!$A126&amp;RIGHT(F_interface!I$2, 2),'Forecast drivers'!$C$4:$C$111, 0), MATCH(F_interface!$D126,'Forecast drivers'!$C$4:$P$4, 0)),0)</f>
        <v>5.0244330420975354</v>
      </c>
      <c r="J126" s="47">
        <f xml:space="preserve"> _xlfn.IFNA(INDEX('Forecast drivers'!$C$4:$P$111, MATCH(F_interface!$A126&amp;RIGHT(F_interface!J$2, 2),'Forecast drivers'!$C$4:$C$111, 0), MATCH(F_interface!$D126,'Forecast drivers'!$C$4:$P$4, 0)),0)</f>
        <v>5.0244330420975354</v>
      </c>
      <c r="K126" s="47">
        <f xml:space="preserve"> _xlfn.IFNA(INDEX('Forecast drivers'!$C$4:$P$111, MATCH(F_interface!$A126&amp;RIGHT(F_interface!K$2, 2),'Forecast drivers'!$C$4:$C$111, 0), MATCH(F_interface!$D126,'Forecast drivers'!$C$4:$P$4, 0)),0)</f>
        <v>5.0244330420975354</v>
      </c>
      <c r="L126" s="47">
        <f xml:space="preserve"> _xlfn.IFNA(INDEX('Forecast drivers'!$C$4:$P$111, MATCH(F_interface!$A126&amp;RIGHT(F_interface!L$2, 2),'Forecast drivers'!$C$4:$C$111, 0), MATCH(F_interface!$D126,'Forecast drivers'!$C$4:$P$4, 0)),0)</f>
        <v>5.0244330420975354</v>
      </c>
    </row>
    <row r="127" spans="1:12" x14ac:dyDescent="0.25">
      <c r="A127" s="13" t="s">
        <v>7</v>
      </c>
      <c r="B127" s="13" t="s">
        <v>131</v>
      </c>
      <c r="C127" s="12" t="str">
        <f t="shared" si="1"/>
        <v>SRNC_WAC_PR19CA004</v>
      </c>
      <c r="D127" s="13" t="s">
        <v>88</v>
      </c>
      <c r="E127" s="13" t="s">
        <v>113</v>
      </c>
      <c r="F127" s="76" t="s">
        <v>3</v>
      </c>
      <c r="G127" s="13" t="s">
        <v>59</v>
      </c>
      <c r="H127" s="47">
        <f xml:space="preserve"> _xlfn.IFNA(INDEX('Forecast drivers'!$C$4:$P$111, MATCH(F_interface!$A127&amp;RIGHT(F_interface!H$2, 2),'Forecast drivers'!$C$4:$C$111, 0), MATCH(F_interface!$D127,'Forecast drivers'!$C$4:$P$4, 0)),0)</f>
        <v>4.4698824821852314</v>
      </c>
      <c r="I127" s="47">
        <f xml:space="preserve"> _xlfn.IFNA(INDEX('Forecast drivers'!$C$4:$P$111, MATCH(F_interface!$A127&amp;RIGHT(F_interface!I$2, 2),'Forecast drivers'!$C$4:$C$111, 0), MATCH(F_interface!$D127,'Forecast drivers'!$C$4:$P$4, 0)),0)</f>
        <v>4.4698824821852314</v>
      </c>
      <c r="J127" s="47">
        <f xml:space="preserve"> _xlfn.IFNA(INDEX('Forecast drivers'!$C$4:$P$111, MATCH(F_interface!$A127&amp;RIGHT(F_interface!J$2, 2),'Forecast drivers'!$C$4:$C$111, 0), MATCH(F_interface!$D127,'Forecast drivers'!$C$4:$P$4, 0)),0)</f>
        <v>4.4698824821852314</v>
      </c>
      <c r="K127" s="47">
        <f xml:space="preserve"> _xlfn.IFNA(INDEX('Forecast drivers'!$C$4:$P$111, MATCH(F_interface!$A127&amp;RIGHT(F_interface!K$2, 2),'Forecast drivers'!$C$4:$C$111, 0), MATCH(F_interface!$D127,'Forecast drivers'!$C$4:$P$4, 0)),0)</f>
        <v>4.4698824821852314</v>
      </c>
      <c r="L127" s="47">
        <f xml:space="preserve"> _xlfn.IFNA(INDEX('Forecast drivers'!$C$4:$P$111, MATCH(F_interface!$A127&amp;RIGHT(F_interface!L$2, 2),'Forecast drivers'!$C$4:$C$111, 0), MATCH(F_interface!$D127,'Forecast drivers'!$C$4:$P$4, 0)),0)</f>
        <v>4.4698824821852314</v>
      </c>
    </row>
    <row r="128" spans="1:12" x14ac:dyDescent="0.25">
      <c r="A128" s="13" t="s">
        <v>89</v>
      </c>
      <c r="B128" s="13" t="s">
        <v>131</v>
      </c>
      <c r="C128" s="12" t="str">
        <f t="shared" si="1"/>
        <v>SVEC_WAC_PR19CA004</v>
      </c>
      <c r="D128" s="13" t="s">
        <v>88</v>
      </c>
      <c r="E128" s="13" t="s">
        <v>113</v>
      </c>
      <c r="F128" s="76" t="s">
        <v>3</v>
      </c>
      <c r="G128" s="13" t="s">
        <v>59</v>
      </c>
      <c r="H128" s="47">
        <f xml:space="preserve"> _xlfn.IFNA(INDEX('Forecast drivers'!$C$4:$P$111, MATCH(F_interface!$A128&amp;RIGHT(F_interface!H$2, 2),'Forecast drivers'!$C$4:$C$111, 0), MATCH(F_interface!$D128,'Forecast drivers'!$C$4:$P$4, 0)),0)</f>
        <v>4.6466355070765131</v>
      </c>
      <c r="I128" s="47">
        <f xml:space="preserve"> _xlfn.IFNA(INDEX('Forecast drivers'!$C$4:$P$111, MATCH(F_interface!$A128&amp;RIGHT(F_interface!I$2, 2),'Forecast drivers'!$C$4:$C$111, 0), MATCH(F_interface!$D128,'Forecast drivers'!$C$4:$P$4, 0)),0)</f>
        <v>4.6952451101094681</v>
      </c>
      <c r="J128" s="47">
        <f xml:space="preserve"> _xlfn.IFNA(INDEX('Forecast drivers'!$C$4:$P$111, MATCH(F_interface!$A128&amp;RIGHT(F_interface!J$2, 2),'Forecast drivers'!$C$4:$C$111, 0), MATCH(F_interface!$D128,'Forecast drivers'!$C$4:$P$4, 0)),0)</f>
        <v>4.7197280056436073</v>
      </c>
      <c r="K128" s="47">
        <f xml:space="preserve"> _xlfn.IFNA(INDEX('Forecast drivers'!$C$4:$P$111, MATCH(F_interface!$A128&amp;RIGHT(F_interface!K$2, 2),'Forecast drivers'!$C$4:$C$111, 0), MATCH(F_interface!$D128,'Forecast drivers'!$C$4:$P$4, 0)),0)</f>
        <v>4.7192171670475656</v>
      </c>
      <c r="L128" s="47">
        <f xml:space="preserve"> _xlfn.IFNA(INDEX('Forecast drivers'!$C$4:$P$111, MATCH(F_interface!$A128&amp;RIGHT(F_interface!L$2, 2),'Forecast drivers'!$C$4:$C$111, 0), MATCH(F_interface!$D128,'Forecast drivers'!$C$4:$P$4, 0)),0)</f>
        <v>4.7205591506396027</v>
      </c>
    </row>
    <row r="129" spans="1:12" x14ac:dyDescent="0.25">
      <c r="A129" s="13" t="s">
        <v>93</v>
      </c>
      <c r="B129" s="13" t="s">
        <v>131</v>
      </c>
      <c r="C129" s="12" t="str">
        <f t="shared" si="1"/>
        <v>SVHC_WAC_PR19CA004</v>
      </c>
      <c r="D129" s="13" t="s">
        <v>88</v>
      </c>
      <c r="E129" s="13" t="s">
        <v>113</v>
      </c>
      <c r="F129" s="76" t="s">
        <v>3</v>
      </c>
      <c r="G129" s="13" t="s">
        <v>59</v>
      </c>
      <c r="H129" s="47">
        <f xml:space="preserve"> _xlfn.IFNA(INDEX('Forecast drivers'!$C$4:$P$111, MATCH(F_interface!$A129&amp;RIGHT(F_interface!H$2, 2),'Forecast drivers'!$C$4:$C$111, 0), MATCH(F_interface!$D129,'Forecast drivers'!$C$4:$P$4, 0)),0)</f>
        <v>4.455912849327194</v>
      </c>
      <c r="I129" s="47">
        <f xml:space="preserve"> _xlfn.IFNA(INDEX('Forecast drivers'!$C$4:$P$111, MATCH(F_interface!$A129&amp;RIGHT(F_interface!I$2, 2),'Forecast drivers'!$C$4:$C$111, 0), MATCH(F_interface!$D129,'Forecast drivers'!$C$4:$P$4, 0)),0)</f>
        <v>4.455912849327194</v>
      </c>
      <c r="J129" s="47">
        <f xml:space="preserve"> _xlfn.IFNA(INDEX('Forecast drivers'!$C$4:$P$111, MATCH(F_interface!$A129&amp;RIGHT(F_interface!J$2, 2),'Forecast drivers'!$C$4:$C$111, 0), MATCH(F_interface!$D129,'Forecast drivers'!$C$4:$P$4, 0)),0)</f>
        <v>4.455912849327194</v>
      </c>
      <c r="K129" s="47">
        <f xml:space="preserve"> _xlfn.IFNA(INDEX('Forecast drivers'!$C$4:$P$111, MATCH(F_interface!$A129&amp;RIGHT(F_interface!K$2, 2),'Forecast drivers'!$C$4:$C$111, 0), MATCH(F_interface!$D129,'Forecast drivers'!$C$4:$P$4, 0)),0)</f>
        <v>4.455912849327194</v>
      </c>
      <c r="L129" s="47">
        <f xml:space="preserve"> _xlfn.IFNA(INDEX('Forecast drivers'!$C$4:$P$111, MATCH(F_interface!$A129&amp;RIGHT(F_interface!L$2, 2),'Forecast drivers'!$C$4:$C$111, 0), MATCH(F_interface!$D129,'Forecast drivers'!$C$4:$P$4, 0)),0)</f>
        <v>4.455912849327194</v>
      </c>
    </row>
    <row r="130" spans="1:12" x14ac:dyDescent="0.25">
      <c r="A130" s="13" t="s">
        <v>8</v>
      </c>
      <c r="B130" s="13" t="s">
        <v>131</v>
      </c>
      <c r="C130" s="12" t="str">
        <f t="shared" si="1"/>
        <v>SVTC_WAC_PR19CA004</v>
      </c>
      <c r="D130" s="13" t="s">
        <v>88</v>
      </c>
      <c r="E130" s="13" t="s">
        <v>113</v>
      </c>
      <c r="F130" s="76" t="s">
        <v>3</v>
      </c>
      <c r="G130" s="13" t="s">
        <v>59</v>
      </c>
      <c r="H130" s="47">
        <f xml:space="preserve"> _xlfn.IFNA(INDEX('Forecast drivers'!$C$4:$P$111, MATCH(F_interface!$A130&amp;RIGHT(F_interface!H$2, 2),'Forecast drivers'!$C$4:$C$111, 0), MATCH(F_interface!$D130,'Forecast drivers'!$C$4:$P$4, 0)),0)</f>
        <v>4.4412627020037538</v>
      </c>
      <c r="I130" s="47">
        <f xml:space="preserve"> _xlfn.IFNA(INDEX('Forecast drivers'!$C$4:$P$111, MATCH(F_interface!$A130&amp;RIGHT(F_interface!I$2, 2),'Forecast drivers'!$C$4:$C$111, 0), MATCH(F_interface!$D130,'Forecast drivers'!$C$4:$P$4, 0)),0)</f>
        <v>4.4412627020037538</v>
      </c>
      <c r="J130" s="47">
        <f xml:space="preserve"> _xlfn.IFNA(INDEX('Forecast drivers'!$C$4:$P$111, MATCH(F_interface!$A130&amp;RIGHT(F_interface!J$2, 2),'Forecast drivers'!$C$4:$C$111, 0), MATCH(F_interface!$D130,'Forecast drivers'!$C$4:$P$4, 0)),0)</f>
        <v>4.4412627020037538</v>
      </c>
      <c r="K130" s="47">
        <f xml:space="preserve"> _xlfn.IFNA(INDEX('Forecast drivers'!$C$4:$P$111, MATCH(F_interface!$A130&amp;RIGHT(F_interface!K$2, 2),'Forecast drivers'!$C$4:$C$111, 0), MATCH(F_interface!$D130,'Forecast drivers'!$C$4:$P$4, 0)),0)</f>
        <v>4.4412627020037538</v>
      </c>
      <c r="L130" s="47">
        <f xml:space="preserve"> _xlfn.IFNA(INDEX('Forecast drivers'!$C$4:$P$111, MATCH(F_interface!$A130&amp;RIGHT(F_interface!L$2, 2),'Forecast drivers'!$C$4:$C$111, 0), MATCH(F_interface!$D130,'Forecast drivers'!$C$4:$P$4, 0)),0)</f>
        <v>4.4412627020037538</v>
      </c>
    </row>
    <row r="131" spans="1:12" x14ac:dyDescent="0.25">
      <c r="A131" s="13" t="s">
        <v>19</v>
      </c>
      <c r="B131" s="13" t="s">
        <v>131</v>
      </c>
      <c r="C131" s="12" t="str">
        <f t="shared" si="1"/>
        <v>SWBC_WAC_PR19CA004</v>
      </c>
      <c r="D131" s="13" t="s">
        <v>88</v>
      </c>
      <c r="E131" s="13" t="s">
        <v>113</v>
      </c>
      <c r="F131" s="76" t="s">
        <v>3</v>
      </c>
      <c r="G131" s="13" t="s">
        <v>59</v>
      </c>
      <c r="H131" s="47">
        <f xml:space="preserve"> _xlfn.IFNA(INDEX('Forecast drivers'!$C$4:$P$111, MATCH(F_interface!$A131&amp;RIGHT(F_interface!H$2, 2),'Forecast drivers'!$C$4:$C$111, 0), MATCH(F_interface!$D131,'Forecast drivers'!$C$4:$P$4, 0)),0)</f>
        <v>4.9411445479807101</v>
      </c>
      <c r="I131" s="47">
        <f xml:space="preserve"> _xlfn.IFNA(INDEX('Forecast drivers'!$C$4:$P$111, MATCH(F_interface!$A131&amp;RIGHT(F_interface!I$2, 2),'Forecast drivers'!$C$4:$C$111, 0), MATCH(F_interface!$D131,'Forecast drivers'!$C$4:$P$4, 0)),0)</f>
        <v>4.9411445479807101</v>
      </c>
      <c r="J131" s="47">
        <f xml:space="preserve"> _xlfn.IFNA(INDEX('Forecast drivers'!$C$4:$P$111, MATCH(F_interface!$A131&amp;RIGHT(F_interface!J$2, 2),'Forecast drivers'!$C$4:$C$111, 0), MATCH(F_interface!$D131,'Forecast drivers'!$C$4:$P$4, 0)),0)</f>
        <v>4.9411445479807101</v>
      </c>
      <c r="K131" s="47">
        <f xml:space="preserve"> _xlfn.IFNA(INDEX('Forecast drivers'!$C$4:$P$111, MATCH(F_interface!$A131&amp;RIGHT(F_interface!K$2, 2),'Forecast drivers'!$C$4:$C$111, 0), MATCH(F_interface!$D131,'Forecast drivers'!$C$4:$P$4, 0)),0)</f>
        <v>4.9411445479807101</v>
      </c>
      <c r="L131" s="47">
        <f xml:space="preserve"> _xlfn.IFNA(INDEX('Forecast drivers'!$C$4:$P$111, MATCH(F_interface!$A131&amp;RIGHT(F_interface!L$2, 2),'Forecast drivers'!$C$4:$C$111, 0), MATCH(F_interface!$D131,'Forecast drivers'!$C$4:$P$4, 0)),0)</f>
        <v>4.9411445479807101</v>
      </c>
    </row>
    <row r="132" spans="1:12" x14ac:dyDescent="0.25">
      <c r="A132" s="13" t="s">
        <v>9</v>
      </c>
      <c r="B132" s="13" t="s">
        <v>131</v>
      </c>
      <c r="C132" s="12" t="str">
        <f t="shared" si="1"/>
        <v>TMSC_WAC_PR19CA004</v>
      </c>
      <c r="D132" s="13" t="s">
        <v>88</v>
      </c>
      <c r="E132" s="13" t="s">
        <v>113</v>
      </c>
      <c r="F132" s="76" t="s">
        <v>3</v>
      </c>
      <c r="G132" s="13" t="s">
        <v>59</v>
      </c>
      <c r="H132" s="47">
        <f xml:space="preserve"> _xlfn.IFNA(INDEX('Forecast drivers'!$C$4:$P$111, MATCH(F_interface!$A132&amp;RIGHT(F_interface!H$2, 2),'Forecast drivers'!$C$4:$C$111, 0), MATCH(F_interface!$D132,'Forecast drivers'!$C$4:$P$4, 0)),0)</f>
        <v>5.5393645099494719</v>
      </c>
      <c r="I132" s="47">
        <f xml:space="preserve"> _xlfn.IFNA(INDEX('Forecast drivers'!$C$4:$P$111, MATCH(F_interface!$A132&amp;RIGHT(F_interface!I$2, 2),'Forecast drivers'!$C$4:$C$111, 0), MATCH(F_interface!$D132,'Forecast drivers'!$C$4:$P$4, 0)),0)</f>
        <v>5.5393645099494719</v>
      </c>
      <c r="J132" s="47">
        <f xml:space="preserve"> _xlfn.IFNA(INDEX('Forecast drivers'!$C$4:$P$111, MATCH(F_interface!$A132&amp;RIGHT(F_interface!J$2, 2),'Forecast drivers'!$C$4:$C$111, 0), MATCH(F_interface!$D132,'Forecast drivers'!$C$4:$P$4, 0)),0)</f>
        <v>5.5393645099494719</v>
      </c>
      <c r="K132" s="47">
        <f xml:space="preserve"> _xlfn.IFNA(INDEX('Forecast drivers'!$C$4:$P$111, MATCH(F_interface!$A132&amp;RIGHT(F_interface!K$2, 2),'Forecast drivers'!$C$4:$C$111, 0), MATCH(F_interface!$D132,'Forecast drivers'!$C$4:$P$4, 0)),0)</f>
        <v>5.5393645099494719</v>
      </c>
      <c r="L132" s="47">
        <f xml:space="preserve"> _xlfn.IFNA(INDEX('Forecast drivers'!$C$4:$P$111, MATCH(F_interface!$A132&amp;RIGHT(F_interface!L$2, 2),'Forecast drivers'!$C$4:$C$111, 0), MATCH(F_interface!$D132,'Forecast drivers'!$C$4:$P$4, 0)),0)</f>
        <v>5.5393645099494719</v>
      </c>
    </row>
    <row r="133" spans="1:12" x14ac:dyDescent="0.25">
      <c r="A133" s="13" t="s">
        <v>23</v>
      </c>
      <c r="B133" s="13" t="s">
        <v>131</v>
      </c>
      <c r="C133" s="12" t="str">
        <f t="shared" si="1"/>
        <v>WSHC_WAC_PR19CA004</v>
      </c>
      <c r="D133" s="13" t="s">
        <v>88</v>
      </c>
      <c r="E133" s="13" t="s">
        <v>113</v>
      </c>
      <c r="F133" s="76" t="s">
        <v>3</v>
      </c>
      <c r="G133" s="13" t="s">
        <v>59</v>
      </c>
      <c r="H133" s="47">
        <f xml:space="preserve"> _xlfn.IFNA(INDEX('Forecast drivers'!$C$4:$P$111, MATCH(F_interface!$A133&amp;RIGHT(F_interface!H$2, 2),'Forecast drivers'!$C$4:$C$111, 0), MATCH(F_interface!$D133,'Forecast drivers'!$C$4:$P$4, 0)),0)</f>
        <v>5.1593752945337039</v>
      </c>
      <c r="I133" s="47">
        <f xml:space="preserve"> _xlfn.IFNA(INDEX('Forecast drivers'!$C$4:$P$111, MATCH(F_interface!$A133&amp;RIGHT(F_interface!I$2, 2),'Forecast drivers'!$C$4:$C$111, 0), MATCH(F_interface!$D133,'Forecast drivers'!$C$4:$P$4, 0)),0)</f>
        <v>5.1593752945337039</v>
      </c>
      <c r="J133" s="47">
        <f xml:space="preserve"> _xlfn.IFNA(INDEX('Forecast drivers'!$C$4:$P$111, MATCH(F_interface!$A133&amp;RIGHT(F_interface!J$2, 2),'Forecast drivers'!$C$4:$C$111, 0), MATCH(F_interface!$D133,'Forecast drivers'!$C$4:$P$4, 0)),0)</f>
        <v>5.1593752945337039</v>
      </c>
      <c r="K133" s="47">
        <f xml:space="preserve"> _xlfn.IFNA(INDEX('Forecast drivers'!$C$4:$P$111, MATCH(F_interface!$A133&amp;RIGHT(F_interface!K$2, 2),'Forecast drivers'!$C$4:$C$111, 0), MATCH(F_interface!$D133,'Forecast drivers'!$C$4:$P$4, 0)),0)</f>
        <v>5.1593752945337039</v>
      </c>
      <c r="L133" s="47">
        <f xml:space="preserve"> _xlfn.IFNA(INDEX('Forecast drivers'!$C$4:$P$111, MATCH(F_interface!$A133&amp;RIGHT(F_interface!L$2, 2),'Forecast drivers'!$C$4:$C$111, 0), MATCH(F_interface!$D133,'Forecast drivers'!$C$4:$P$4, 0)),0)</f>
        <v>5.1593752945337039</v>
      </c>
    </row>
    <row r="134" spans="1:12" x14ac:dyDescent="0.25">
      <c r="A134" s="13" t="s">
        <v>10</v>
      </c>
      <c r="B134" s="13" t="s">
        <v>131</v>
      </c>
      <c r="C134" s="12" t="str">
        <f t="shared" si="1"/>
        <v>WSXC_WAC_PR19CA004</v>
      </c>
      <c r="D134" s="13" t="s">
        <v>88</v>
      </c>
      <c r="E134" s="13" t="s">
        <v>113</v>
      </c>
      <c r="F134" s="76" t="s">
        <v>3</v>
      </c>
      <c r="G134" s="13" t="s">
        <v>59</v>
      </c>
      <c r="H134" s="47">
        <f xml:space="preserve"> _xlfn.IFNA(INDEX('Forecast drivers'!$C$4:$P$111, MATCH(F_interface!$A134&amp;RIGHT(F_interface!H$2, 2),'Forecast drivers'!$C$4:$C$111, 0), MATCH(F_interface!$D134,'Forecast drivers'!$C$4:$P$4, 0)),0)</f>
        <v>3.6251495122561375</v>
      </c>
      <c r="I134" s="47">
        <f xml:space="preserve"> _xlfn.IFNA(INDEX('Forecast drivers'!$C$4:$P$111, MATCH(F_interface!$A134&amp;RIGHT(F_interface!I$2, 2),'Forecast drivers'!$C$4:$C$111, 0), MATCH(F_interface!$D134,'Forecast drivers'!$C$4:$P$4, 0)),0)</f>
        <v>3.6251495122561375</v>
      </c>
      <c r="J134" s="47">
        <f xml:space="preserve"> _xlfn.IFNA(INDEX('Forecast drivers'!$C$4:$P$111, MATCH(F_interface!$A134&amp;RIGHT(F_interface!J$2, 2),'Forecast drivers'!$C$4:$C$111, 0), MATCH(F_interface!$D134,'Forecast drivers'!$C$4:$P$4, 0)),0)</f>
        <v>3.6251495122561375</v>
      </c>
      <c r="K134" s="47">
        <f xml:space="preserve"> _xlfn.IFNA(INDEX('Forecast drivers'!$C$4:$P$111, MATCH(F_interface!$A134&amp;RIGHT(F_interface!K$2, 2),'Forecast drivers'!$C$4:$C$111, 0), MATCH(F_interface!$D134,'Forecast drivers'!$C$4:$P$4, 0)),0)</f>
        <v>3.6251495122561375</v>
      </c>
      <c r="L134" s="47">
        <f xml:space="preserve"> _xlfn.IFNA(INDEX('Forecast drivers'!$C$4:$P$111, MATCH(F_interface!$A134&amp;RIGHT(F_interface!L$2, 2),'Forecast drivers'!$C$4:$C$111, 0), MATCH(F_interface!$D134,'Forecast drivers'!$C$4:$P$4, 0)),0)</f>
        <v>3.6251495122561375</v>
      </c>
    </row>
    <row r="135" spans="1:12" x14ac:dyDescent="0.25">
      <c r="A135" s="13" t="s">
        <v>11</v>
      </c>
      <c r="B135" s="13" t="s">
        <v>131</v>
      </c>
      <c r="C135" s="12" t="str">
        <f t="shared" si="1"/>
        <v>YKYC_WAC_PR19CA004</v>
      </c>
      <c r="D135" s="13" t="s">
        <v>88</v>
      </c>
      <c r="E135" s="13" t="s">
        <v>113</v>
      </c>
      <c r="F135" s="76" t="s">
        <v>3</v>
      </c>
      <c r="G135" s="13" t="s">
        <v>59</v>
      </c>
      <c r="H135" s="47">
        <f xml:space="preserve"> _xlfn.IFNA(INDEX('Forecast drivers'!$C$4:$P$111, MATCH(F_interface!$A135&amp;RIGHT(F_interface!H$2, 2),'Forecast drivers'!$C$4:$C$111, 0), MATCH(F_interface!$D135,'Forecast drivers'!$C$4:$P$4, 0)),0)</f>
        <v>4.7315121307915931</v>
      </c>
      <c r="I135" s="47">
        <f xml:space="preserve"> _xlfn.IFNA(INDEX('Forecast drivers'!$C$4:$P$111, MATCH(F_interface!$A135&amp;RIGHT(F_interface!I$2, 2),'Forecast drivers'!$C$4:$C$111, 0), MATCH(F_interface!$D135,'Forecast drivers'!$C$4:$P$4, 0)),0)</f>
        <v>4.7315121307915931</v>
      </c>
      <c r="J135" s="47">
        <f xml:space="preserve"> _xlfn.IFNA(INDEX('Forecast drivers'!$C$4:$P$111, MATCH(F_interface!$A135&amp;RIGHT(F_interface!J$2, 2),'Forecast drivers'!$C$4:$C$111, 0), MATCH(F_interface!$D135,'Forecast drivers'!$C$4:$P$4, 0)),0)</f>
        <v>4.7315121307915931</v>
      </c>
      <c r="K135" s="47">
        <f xml:space="preserve"> _xlfn.IFNA(INDEX('Forecast drivers'!$C$4:$P$111, MATCH(F_interface!$A135&amp;RIGHT(F_interface!K$2, 2),'Forecast drivers'!$C$4:$C$111, 0), MATCH(F_interface!$D135,'Forecast drivers'!$C$4:$P$4, 0)),0)</f>
        <v>4.7315121307915931</v>
      </c>
      <c r="L135" s="47">
        <f xml:space="preserve"> _xlfn.IFNA(INDEX('Forecast drivers'!$C$4:$P$111, MATCH(F_interface!$A135&amp;RIGHT(F_interface!L$2, 2),'Forecast drivers'!$C$4:$C$111, 0), MATCH(F_interface!$D135,'Forecast drivers'!$C$4:$P$4, 0)),0)</f>
        <v>4.7315121307915931</v>
      </c>
    </row>
    <row r="136" spans="1:12" x14ac:dyDescent="0.25">
      <c r="A136" s="13" t="s">
        <v>12</v>
      </c>
      <c r="B136" s="13" t="s">
        <v>131</v>
      </c>
      <c r="C136" s="12" t="str">
        <f t="shared" si="1"/>
        <v>AFWC_WAC_PR19CA004</v>
      </c>
      <c r="D136" s="13" t="s">
        <v>88</v>
      </c>
      <c r="E136" s="13" t="s">
        <v>113</v>
      </c>
      <c r="F136" s="76" t="s">
        <v>3</v>
      </c>
      <c r="G136" s="13" t="s">
        <v>59</v>
      </c>
      <c r="H136" s="47">
        <f xml:space="preserve"> _xlfn.IFNA(INDEX('Forecast drivers'!$C$4:$P$111, MATCH(F_interface!$A136&amp;RIGHT(F_interface!H$2, 2),'Forecast drivers'!$C$4:$C$111, 0), MATCH(F_interface!$D136,'Forecast drivers'!$C$4:$P$4, 0)),0)</f>
        <v>5.1946703323838035</v>
      </c>
      <c r="I136" s="47">
        <f xml:space="preserve"> _xlfn.IFNA(INDEX('Forecast drivers'!$C$4:$P$111, MATCH(F_interface!$A136&amp;RIGHT(F_interface!I$2, 2),'Forecast drivers'!$C$4:$C$111, 0), MATCH(F_interface!$D136,'Forecast drivers'!$C$4:$P$4, 0)),0)</f>
        <v>5.1946703323838035</v>
      </c>
      <c r="J136" s="47">
        <f xml:space="preserve"> _xlfn.IFNA(INDEX('Forecast drivers'!$C$4:$P$111, MATCH(F_interface!$A136&amp;RIGHT(F_interface!J$2, 2),'Forecast drivers'!$C$4:$C$111, 0), MATCH(F_interface!$D136,'Forecast drivers'!$C$4:$P$4, 0)),0)</f>
        <v>5.1946703323838035</v>
      </c>
      <c r="K136" s="47">
        <f xml:space="preserve"> _xlfn.IFNA(INDEX('Forecast drivers'!$C$4:$P$111, MATCH(F_interface!$A136&amp;RIGHT(F_interface!K$2, 2),'Forecast drivers'!$C$4:$C$111, 0), MATCH(F_interface!$D136,'Forecast drivers'!$C$4:$P$4, 0)),0)</f>
        <v>5.1946703323838035</v>
      </c>
      <c r="L136" s="47">
        <f xml:space="preserve"> _xlfn.IFNA(INDEX('Forecast drivers'!$C$4:$P$111, MATCH(F_interface!$A136&amp;RIGHT(F_interface!L$2, 2),'Forecast drivers'!$C$4:$C$111, 0), MATCH(F_interface!$D136,'Forecast drivers'!$C$4:$P$4, 0)),0)</f>
        <v>5.1946703323838035</v>
      </c>
    </row>
    <row r="137" spans="1:12" x14ac:dyDescent="0.25">
      <c r="A137" s="13" t="s">
        <v>13</v>
      </c>
      <c r="B137" s="13" t="s">
        <v>131</v>
      </c>
      <c r="C137" s="12" t="str">
        <f t="shared" si="1"/>
        <v>BRLC_WAC_PR19CA004</v>
      </c>
      <c r="D137" s="13" t="s">
        <v>88</v>
      </c>
      <c r="E137" s="13" t="s">
        <v>113</v>
      </c>
      <c r="F137" s="76" t="s">
        <v>3</v>
      </c>
      <c r="G137" s="13" t="s">
        <v>59</v>
      </c>
      <c r="H137" s="47">
        <f xml:space="preserve"> _xlfn.IFNA(INDEX('Forecast drivers'!$C$4:$P$111, MATCH(F_interface!$A137&amp;RIGHT(F_interface!H$2, 2),'Forecast drivers'!$C$4:$C$111, 0), MATCH(F_interface!$D137,'Forecast drivers'!$C$4:$P$4, 0)),0)</f>
        <v>5.6641967315081558</v>
      </c>
      <c r="I137" s="47">
        <f xml:space="preserve"> _xlfn.IFNA(INDEX('Forecast drivers'!$C$4:$P$111, MATCH(F_interface!$A137&amp;RIGHT(F_interface!I$2, 2),'Forecast drivers'!$C$4:$C$111, 0), MATCH(F_interface!$D137,'Forecast drivers'!$C$4:$P$4, 0)),0)</f>
        <v>5.6641967315081558</v>
      </c>
      <c r="J137" s="47">
        <f xml:space="preserve"> _xlfn.IFNA(INDEX('Forecast drivers'!$C$4:$P$111, MATCH(F_interface!$A137&amp;RIGHT(F_interface!J$2, 2),'Forecast drivers'!$C$4:$C$111, 0), MATCH(F_interface!$D137,'Forecast drivers'!$C$4:$P$4, 0)),0)</f>
        <v>5.6641967315081558</v>
      </c>
      <c r="K137" s="47">
        <f xml:space="preserve"> _xlfn.IFNA(INDEX('Forecast drivers'!$C$4:$P$111, MATCH(F_interface!$A137&amp;RIGHT(F_interface!K$2, 2),'Forecast drivers'!$C$4:$C$111, 0), MATCH(F_interface!$D137,'Forecast drivers'!$C$4:$P$4, 0)),0)</f>
        <v>5.6641967315081558</v>
      </c>
      <c r="L137" s="47">
        <f xml:space="preserve"> _xlfn.IFNA(INDEX('Forecast drivers'!$C$4:$P$111, MATCH(F_interface!$A137&amp;RIGHT(F_interface!L$2, 2),'Forecast drivers'!$C$4:$C$111, 0), MATCH(F_interface!$D137,'Forecast drivers'!$C$4:$P$4, 0)),0)</f>
        <v>5.6641967315081558</v>
      </c>
    </row>
    <row r="138" spans="1:12" x14ac:dyDescent="0.25">
      <c r="A138" s="13" t="s">
        <v>14</v>
      </c>
      <c r="B138" s="13" t="s">
        <v>131</v>
      </c>
      <c r="C138" s="12" t="str">
        <f t="shared" si="1"/>
        <v>DVWC_WAC_PR19CA004</v>
      </c>
      <c r="D138" s="13" t="s">
        <v>88</v>
      </c>
      <c r="E138" s="13" t="s">
        <v>113</v>
      </c>
      <c r="F138" s="76" t="s">
        <v>3</v>
      </c>
      <c r="G138" s="13" t="s">
        <v>59</v>
      </c>
      <c r="H138" s="47">
        <f xml:space="preserve"> _xlfn.IFNA(INDEX('Forecast drivers'!$C$4:$P$111, MATCH(F_interface!$A138&amp;RIGHT(F_interface!H$2, 2),'Forecast drivers'!$C$4:$C$111, 0), MATCH(F_interface!$D138,'Forecast drivers'!$C$4:$P$4, 0)),0)</f>
        <v>4.8731890017693686</v>
      </c>
      <c r="I138" s="47">
        <f xml:space="preserve"> _xlfn.IFNA(INDEX('Forecast drivers'!$C$4:$P$111, MATCH(F_interface!$A138&amp;RIGHT(F_interface!I$2, 2),'Forecast drivers'!$C$4:$C$111, 0), MATCH(F_interface!$D138,'Forecast drivers'!$C$4:$P$4, 0)),0)</f>
        <v>4.8731890017693686</v>
      </c>
      <c r="J138" s="47">
        <f xml:space="preserve"> _xlfn.IFNA(INDEX('Forecast drivers'!$C$4:$P$111, MATCH(F_interface!$A138&amp;RIGHT(F_interface!J$2, 2),'Forecast drivers'!$C$4:$C$111, 0), MATCH(F_interface!$D138,'Forecast drivers'!$C$4:$P$4, 0)),0)</f>
        <v>4.8731890017693686</v>
      </c>
      <c r="K138" s="47">
        <f xml:space="preserve"> _xlfn.IFNA(INDEX('Forecast drivers'!$C$4:$P$111, MATCH(F_interface!$A138&amp;RIGHT(F_interface!K$2, 2),'Forecast drivers'!$C$4:$C$111, 0), MATCH(F_interface!$D138,'Forecast drivers'!$C$4:$P$4, 0)),0)</f>
        <v>4.8731890017693686</v>
      </c>
      <c r="L138" s="47">
        <f xml:space="preserve"> _xlfn.IFNA(INDEX('Forecast drivers'!$C$4:$P$111, MATCH(F_interface!$A138&amp;RIGHT(F_interface!L$2, 2),'Forecast drivers'!$C$4:$C$111, 0), MATCH(F_interface!$D138,'Forecast drivers'!$C$4:$P$4, 0)),0)</f>
        <v>4.8731890017693686</v>
      </c>
    </row>
    <row r="139" spans="1:12" x14ac:dyDescent="0.25">
      <c r="A139" s="13" t="s">
        <v>15</v>
      </c>
      <c r="B139" s="13" t="s">
        <v>131</v>
      </c>
      <c r="C139" s="12" t="str">
        <f t="shared" si="1"/>
        <v>PRTC_WAC_PR19CA004</v>
      </c>
      <c r="D139" s="13" t="s">
        <v>88</v>
      </c>
      <c r="E139" s="13" t="s">
        <v>113</v>
      </c>
      <c r="F139" s="76" t="s">
        <v>3</v>
      </c>
      <c r="G139" s="13" t="s">
        <v>59</v>
      </c>
      <c r="H139" s="47">
        <f xml:space="preserve"> _xlfn.IFNA(INDEX('Forecast drivers'!$C$4:$P$111, MATCH(F_interface!$A139&amp;RIGHT(F_interface!H$2, 2),'Forecast drivers'!$C$4:$C$111, 0), MATCH(F_interface!$D139,'Forecast drivers'!$C$4:$P$4, 0)),0)</f>
        <v>3.3594759860229275</v>
      </c>
      <c r="I139" s="47">
        <f xml:space="preserve"> _xlfn.IFNA(INDEX('Forecast drivers'!$C$4:$P$111, MATCH(F_interface!$A139&amp;RIGHT(F_interface!I$2, 2),'Forecast drivers'!$C$4:$C$111, 0), MATCH(F_interface!$D139,'Forecast drivers'!$C$4:$P$4, 0)),0)</f>
        <v>3.3594759860229275</v>
      </c>
      <c r="J139" s="47">
        <f xml:space="preserve"> _xlfn.IFNA(INDEX('Forecast drivers'!$C$4:$P$111, MATCH(F_interface!$A139&amp;RIGHT(F_interface!J$2, 2),'Forecast drivers'!$C$4:$C$111, 0), MATCH(F_interface!$D139,'Forecast drivers'!$C$4:$P$4, 0)),0)</f>
        <v>3.3594759860229275</v>
      </c>
      <c r="K139" s="47">
        <f xml:space="preserve"> _xlfn.IFNA(INDEX('Forecast drivers'!$C$4:$P$111, MATCH(F_interface!$A139&amp;RIGHT(F_interface!K$2, 2),'Forecast drivers'!$C$4:$C$111, 0), MATCH(F_interface!$D139,'Forecast drivers'!$C$4:$P$4, 0)),0)</f>
        <v>3.3594759860229275</v>
      </c>
      <c r="L139" s="47">
        <f xml:space="preserve"> _xlfn.IFNA(INDEX('Forecast drivers'!$C$4:$P$111, MATCH(F_interface!$A139&amp;RIGHT(F_interface!L$2, 2),'Forecast drivers'!$C$4:$C$111, 0), MATCH(F_interface!$D139,'Forecast drivers'!$C$4:$P$4, 0)),0)</f>
        <v>3.3594759860229275</v>
      </c>
    </row>
    <row r="140" spans="1:12" x14ac:dyDescent="0.25">
      <c r="A140" s="13" t="s">
        <v>16</v>
      </c>
      <c r="B140" s="13" t="s">
        <v>131</v>
      </c>
      <c r="C140" s="12" t="str">
        <f t="shared" si="1"/>
        <v>SESC_WAC_PR19CA004</v>
      </c>
      <c r="D140" s="13" t="s">
        <v>88</v>
      </c>
      <c r="E140" s="13" t="s">
        <v>113</v>
      </c>
      <c r="F140" s="76" t="s">
        <v>3</v>
      </c>
      <c r="G140" s="13" t="s">
        <v>59</v>
      </c>
      <c r="H140" s="47">
        <f xml:space="preserve"> _xlfn.IFNA(INDEX('Forecast drivers'!$C$4:$P$111, MATCH(F_interface!$A140&amp;RIGHT(F_interface!H$2, 2),'Forecast drivers'!$C$4:$C$111, 0), MATCH(F_interface!$D140,'Forecast drivers'!$C$4:$P$4, 0)),0)</f>
        <v>5.0854941587471236</v>
      </c>
      <c r="I140" s="47">
        <f xml:space="preserve"> _xlfn.IFNA(INDEX('Forecast drivers'!$C$4:$P$111, MATCH(F_interface!$A140&amp;RIGHT(F_interface!I$2, 2),'Forecast drivers'!$C$4:$C$111, 0), MATCH(F_interface!$D140,'Forecast drivers'!$C$4:$P$4, 0)),0)</f>
        <v>5.0854941587471236</v>
      </c>
      <c r="J140" s="47">
        <f xml:space="preserve"> _xlfn.IFNA(INDEX('Forecast drivers'!$C$4:$P$111, MATCH(F_interface!$A140&amp;RIGHT(F_interface!J$2, 2),'Forecast drivers'!$C$4:$C$111, 0), MATCH(F_interface!$D140,'Forecast drivers'!$C$4:$P$4, 0)),0)</f>
        <v>5.0854941587471236</v>
      </c>
      <c r="K140" s="47">
        <f xml:space="preserve"> _xlfn.IFNA(INDEX('Forecast drivers'!$C$4:$P$111, MATCH(F_interface!$A140&amp;RIGHT(F_interface!K$2, 2),'Forecast drivers'!$C$4:$C$111, 0), MATCH(F_interface!$D140,'Forecast drivers'!$C$4:$P$4, 0)),0)</f>
        <v>5.0854941587471236</v>
      </c>
      <c r="L140" s="47">
        <f xml:space="preserve"> _xlfn.IFNA(INDEX('Forecast drivers'!$C$4:$P$111, MATCH(F_interface!$A140&amp;RIGHT(F_interface!L$2, 2),'Forecast drivers'!$C$4:$C$111, 0), MATCH(F_interface!$D140,'Forecast drivers'!$C$4:$P$4, 0)),0)</f>
        <v>5.0854941587471236</v>
      </c>
    </row>
    <row r="141" spans="1:12" x14ac:dyDescent="0.25">
      <c r="A141" s="13" t="s">
        <v>17</v>
      </c>
      <c r="B141" s="13" t="s">
        <v>131</v>
      </c>
      <c r="C141" s="12" t="str">
        <f t="shared" si="1"/>
        <v>SEWC_WAC_PR19CA004</v>
      </c>
      <c r="D141" s="13" t="s">
        <v>88</v>
      </c>
      <c r="E141" s="13" t="s">
        <v>113</v>
      </c>
      <c r="F141" s="76" t="s">
        <v>3</v>
      </c>
      <c r="G141" s="13" t="s">
        <v>59</v>
      </c>
      <c r="H141" s="47">
        <f xml:space="preserve"> _xlfn.IFNA(INDEX('Forecast drivers'!$C$4:$P$111, MATCH(F_interface!$A141&amp;RIGHT(F_interface!H$2, 2),'Forecast drivers'!$C$4:$C$111, 0), MATCH(F_interface!$D141,'Forecast drivers'!$C$4:$P$4, 0)),0)</f>
        <v>4.540878810348624</v>
      </c>
      <c r="I141" s="47">
        <f xml:space="preserve"> _xlfn.IFNA(INDEX('Forecast drivers'!$C$4:$P$111, MATCH(F_interface!$A141&amp;RIGHT(F_interface!I$2, 2),'Forecast drivers'!$C$4:$C$111, 0), MATCH(F_interface!$D141,'Forecast drivers'!$C$4:$P$4, 0)),0)</f>
        <v>4.540878810348624</v>
      </c>
      <c r="J141" s="47">
        <f xml:space="preserve"> _xlfn.IFNA(INDEX('Forecast drivers'!$C$4:$P$111, MATCH(F_interface!$A141&amp;RIGHT(F_interface!J$2, 2),'Forecast drivers'!$C$4:$C$111, 0), MATCH(F_interface!$D141,'Forecast drivers'!$C$4:$P$4, 0)),0)</f>
        <v>4.540878810348624</v>
      </c>
      <c r="K141" s="47">
        <f xml:space="preserve"> _xlfn.IFNA(INDEX('Forecast drivers'!$C$4:$P$111, MATCH(F_interface!$A141&amp;RIGHT(F_interface!K$2, 2),'Forecast drivers'!$C$4:$C$111, 0), MATCH(F_interface!$D141,'Forecast drivers'!$C$4:$P$4, 0)),0)</f>
        <v>4.540878810348624</v>
      </c>
      <c r="L141" s="47">
        <f xml:space="preserve"> _xlfn.IFNA(INDEX('Forecast drivers'!$C$4:$P$111, MATCH(F_interface!$A141&amp;RIGHT(F_interface!L$2, 2),'Forecast drivers'!$C$4:$C$111, 0), MATCH(F_interface!$D141,'Forecast drivers'!$C$4:$P$4, 0)),0)</f>
        <v>4.540878810348624</v>
      </c>
    </row>
    <row r="142" spans="1:12" x14ac:dyDescent="0.25">
      <c r="A142" s="13" t="s">
        <v>18</v>
      </c>
      <c r="B142" s="13" t="s">
        <v>131</v>
      </c>
      <c r="C142" s="12" t="str">
        <f t="shared" si="1"/>
        <v>SSCC_WAC_PR19CA004</v>
      </c>
      <c r="D142" s="13" t="s">
        <v>88</v>
      </c>
      <c r="E142" s="13" t="s">
        <v>113</v>
      </c>
      <c r="F142" s="76" t="s">
        <v>3</v>
      </c>
      <c r="G142" s="13" t="s">
        <v>59</v>
      </c>
      <c r="H142" s="47">
        <f xml:space="preserve"> _xlfn.IFNA(INDEX('Forecast drivers'!$C$4:$P$111, MATCH(F_interface!$A142&amp;RIGHT(F_interface!H$2, 2),'Forecast drivers'!$C$4:$C$111, 0), MATCH(F_interface!$D142,'Forecast drivers'!$C$4:$P$4, 0)),0)</f>
        <v>4.3224315545637708</v>
      </c>
      <c r="I142" s="47">
        <f xml:space="preserve"> _xlfn.IFNA(INDEX('Forecast drivers'!$C$4:$P$111, MATCH(F_interface!$A142&amp;RIGHT(F_interface!I$2, 2),'Forecast drivers'!$C$4:$C$111, 0), MATCH(F_interface!$D142,'Forecast drivers'!$C$4:$P$4, 0)),0)</f>
        <v>4.3224315545637708</v>
      </c>
      <c r="J142" s="47">
        <f xml:space="preserve"> _xlfn.IFNA(INDEX('Forecast drivers'!$C$4:$P$111, MATCH(F_interface!$A142&amp;RIGHT(F_interface!J$2, 2),'Forecast drivers'!$C$4:$C$111, 0), MATCH(F_interface!$D142,'Forecast drivers'!$C$4:$P$4, 0)),0)</f>
        <v>4.3224315545637708</v>
      </c>
      <c r="K142" s="47">
        <f xml:space="preserve"> _xlfn.IFNA(INDEX('Forecast drivers'!$C$4:$P$111, MATCH(F_interface!$A142&amp;RIGHT(F_interface!K$2, 2),'Forecast drivers'!$C$4:$C$111, 0), MATCH(F_interface!$D142,'Forecast drivers'!$C$4:$P$4, 0)),0)</f>
        <v>4.3224315545637708</v>
      </c>
      <c r="L142" s="47">
        <f xml:space="preserve"> _xlfn.IFNA(INDEX('Forecast drivers'!$C$4:$P$111, MATCH(F_interface!$A142&amp;RIGHT(F_interface!L$2, 2),'Forecast drivers'!$C$4:$C$111, 0), MATCH(F_interface!$D142,'Forecast drivers'!$C$4:$P$4, 0)),0)</f>
        <v>4.3224315545637708</v>
      </c>
    </row>
    <row r="143" spans="1:12" x14ac:dyDescent="0.25">
      <c r="A143" s="13" t="s">
        <v>4</v>
      </c>
      <c r="B143" s="13" t="s">
        <v>132</v>
      </c>
      <c r="C143" s="12" t="str">
        <f t="shared" si="1"/>
        <v>ANHC_BOOSTER_LENGTH_PR19CA004</v>
      </c>
      <c r="D143" s="13" t="s">
        <v>62</v>
      </c>
      <c r="E143" s="13" t="s">
        <v>61</v>
      </c>
      <c r="F143" s="76" t="s">
        <v>66</v>
      </c>
      <c r="G143" s="13" t="s">
        <v>59</v>
      </c>
      <c r="H143" s="157">
        <f xml:space="preserve"> _xlfn.IFNA(INDEX('Forecast drivers'!$C$4:$P$111, MATCH(F_interface!$A143&amp;RIGHT(F_interface!H$2, 2),'Forecast drivers'!$C$4:$C$111, 0), MATCH(F_interface!$D143,'Forecast drivers'!$C$4:$P$4, 0)),0)</f>
        <v>1.1754277215990545E-2</v>
      </c>
      <c r="I143" s="157">
        <f xml:space="preserve"> _xlfn.IFNA(INDEX('Forecast drivers'!$C$4:$P$111, MATCH(F_interface!$A143&amp;RIGHT(F_interface!I$2, 2),'Forecast drivers'!$C$4:$C$111, 0), MATCH(F_interface!$D143,'Forecast drivers'!$C$4:$P$4, 0)),0)</f>
        <v>1.1817274977577667E-2</v>
      </c>
      <c r="J143" s="157">
        <f xml:space="preserve"> _xlfn.IFNA(INDEX('Forecast drivers'!$C$4:$P$111, MATCH(F_interface!$A143&amp;RIGHT(F_interface!J$2, 2),'Forecast drivers'!$C$4:$C$111, 0), MATCH(F_interface!$D143,'Forecast drivers'!$C$4:$P$4, 0)),0)</f>
        <v>1.1879810647381008E-2</v>
      </c>
      <c r="K143" s="157">
        <f xml:space="preserve"> _xlfn.IFNA(INDEX('Forecast drivers'!$C$4:$P$111, MATCH(F_interface!$A143&amp;RIGHT(F_interface!K$2, 2),'Forecast drivers'!$C$4:$C$111, 0), MATCH(F_interface!$D143,'Forecast drivers'!$C$4:$P$4, 0)),0)</f>
        <v>1.1941889291022361E-2</v>
      </c>
      <c r="L143" s="157">
        <f xml:space="preserve"> _xlfn.IFNA(INDEX('Forecast drivers'!$C$4:$P$111, MATCH(F_interface!$A143&amp;RIGHT(F_interface!L$2, 2),'Forecast drivers'!$C$4:$C$111, 0), MATCH(F_interface!$D143,'Forecast drivers'!$C$4:$P$4, 0)),0)</f>
        <v>1.2003515900351452E-2</v>
      </c>
    </row>
    <row r="144" spans="1:12" x14ac:dyDescent="0.25">
      <c r="A144" s="13" t="s">
        <v>90</v>
      </c>
      <c r="B144" s="13" t="s">
        <v>132</v>
      </c>
      <c r="C144" s="12" t="str">
        <f t="shared" si="1"/>
        <v>HDDC_BOOSTER_LENGTH_PR19CA004</v>
      </c>
      <c r="D144" s="13" t="s">
        <v>62</v>
      </c>
      <c r="E144" s="13" t="s">
        <v>61</v>
      </c>
      <c r="F144" s="76" t="s">
        <v>66</v>
      </c>
      <c r="G144" s="13" t="s">
        <v>59</v>
      </c>
      <c r="H144" s="157">
        <f xml:space="preserve"> _xlfn.IFNA(INDEX('Forecast drivers'!$C$4:$P$111, MATCH(F_interface!$A144&amp;RIGHT(F_interface!H$2, 2),'Forecast drivers'!$C$4:$C$111, 0), MATCH(F_interface!$D144,'Forecast drivers'!$C$4:$P$4, 0)),0)</f>
        <v>3.5677886490676443E-2</v>
      </c>
      <c r="I144" s="157">
        <f xml:space="preserve"> _xlfn.IFNA(INDEX('Forecast drivers'!$C$4:$P$111, MATCH(F_interface!$A144&amp;RIGHT(F_interface!I$2, 2),'Forecast drivers'!$C$4:$C$111, 0), MATCH(F_interface!$D144,'Forecast drivers'!$C$4:$P$4, 0)),0)</f>
        <v>3.5535090269490574E-2</v>
      </c>
      <c r="J144" s="157">
        <f xml:space="preserve"> _xlfn.IFNA(INDEX('Forecast drivers'!$C$4:$P$111, MATCH(F_interface!$A144&amp;RIGHT(F_interface!J$2, 2),'Forecast drivers'!$C$4:$C$111, 0), MATCH(F_interface!$D144,'Forecast drivers'!$C$4:$P$4, 0)),0)</f>
        <v>3.5393432539212254E-2</v>
      </c>
      <c r="K144" s="157">
        <f xml:space="preserve"> _xlfn.IFNA(INDEX('Forecast drivers'!$C$4:$P$111, MATCH(F_interface!$A144&amp;RIGHT(F_interface!K$2, 2),'Forecast drivers'!$C$4:$C$111, 0), MATCH(F_interface!$D144,'Forecast drivers'!$C$4:$P$4, 0)),0)</f>
        <v>3.5252899738400477E-2</v>
      </c>
      <c r="L144" s="157">
        <f xml:space="preserve"> _xlfn.IFNA(INDEX('Forecast drivers'!$C$4:$P$111, MATCH(F_interface!$A144&amp;RIGHT(F_interface!L$2, 2),'Forecast drivers'!$C$4:$C$111, 0), MATCH(F_interface!$D144,'Forecast drivers'!$C$4:$P$4, 0)),0)</f>
        <v>3.5113478520150058E-2</v>
      </c>
    </row>
    <row r="145" spans="1:12" x14ac:dyDescent="0.25">
      <c r="A145" s="13" t="s">
        <v>5</v>
      </c>
      <c r="B145" s="13" t="s">
        <v>132</v>
      </c>
      <c r="C145" s="12" t="str">
        <f t="shared" si="1"/>
        <v>NESC_BOOSTER_LENGTH_PR19CA004</v>
      </c>
      <c r="D145" s="13" t="s">
        <v>62</v>
      </c>
      <c r="E145" s="13" t="s">
        <v>61</v>
      </c>
      <c r="F145" s="76" t="s">
        <v>66</v>
      </c>
      <c r="G145" s="13" t="s">
        <v>59</v>
      </c>
      <c r="H145" s="157">
        <f xml:space="preserve"> _xlfn.IFNA(INDEX('Forecast drivers'!$C$4:$P$111, MATCH(F_interface!$A145&amp;RIGHT(F_interface!H$2, 2),'Forecast drivers'!$C$4:$C$111, 0), MATCH(F_interface!$D145,'Forecast drivers'!$C$4:$P$4, 0)),0)</f>
        <v>1.1613334949682528E-2</v>
      </c>
      <c r="I145" s="157">
        <f xml:space="preserve"> _xlfn.IFNA(INDEX('Forecast drivers'!$C$4:$P$111, MATCH(F_interface!$A145&amp;RIGHT(F_interface!I$2, 2),'Forecast drivers'!$C$4:$C$111, 0), MATCH(F_interface!$D145,'Forecast drivers'!$C$4:$P$4, 0)),0)</f>
        <v>1.1616408506510786E-2</v>
      </c>
      <c r="J145" s="157">
        <f xml:space="preserve"> _xlfn.IFNA(INDEX('Forecast drivers'!$C$4:$P$111, MATCH(F_interface!$A145&amp;RIGHT(F_interface!J$2, 2),'Forecast drivers'!$C$4:$C$111, 0), MATCH(F_interface!$D145,'Forecast drivers'!$C$4:$P$4, 0)),0)</f>
        <v>1.1619463651607967E-2</v>
      </c>
      <c r="K145" s="157">
        <f xml:space="preserve"> _xlfn.IFNA(INDEX('Forecast drivers'!$C$4:$P$111, MATCH(F_interface!$A145&amp;RIGHT(F_interface!K$2, 2),'Forecast drivers'!$C$4:$C$111, 0), MATCH(F_interface!$D145,'Forecast drivers'!$C$4:$P$4, 0)),0)</f>
        <v>1.1622500549919547E-2</v>
      </c>
      <c r="L145" s="157">
        <f xml:space="preserve"> _xlfn.IFNA(INDEX('Forecast drivers'!$C$4:$P$111, MATCH(F_interface!$A145&amp;RIGHT(F_interface!L$2, 2),'Forecast drivers'!$C$4:$C$111, 0), MATCH(F_interface!$D145,'Forecast drivers'!$C$4:$P$4, 0)),0)</f>
        <v>1.1625519364426599E-2</v>
      </c>
    </row>
    <row r="146" spans="1:12" x14ac:dyDescent="0.25">
      <c r="A146" s="13" t="s">
        <v>6</v>
      </c>
      <c r="B146" s="13" t="s">
        <v>132</v>
      </c>
      <c r="C146" s="12" t="str">
        <f t="shared" si="1"/>
        <v>NWTC_BOOSTER_LENGTH_PR19CA004</v>
      </c>
      <c r="D146" s="13" t="s">
        <v>62</v>
      </c>
      <c r="E146" s="13" t="s">
        <v>61</v>
      </c>
      <c r="F146" s="76" t="s">
        <v>66</v>
      </c>
      <c r="G146" s="13" t="s">
        <v>59</v>
      </c>
      <c r="H146" s="157">
        <f xml:space="preserve"> _xlfn.IFNA(INDEX('Forecast drivers'!$C$4:$P$111, MATCH(F_interface!$A146&amp;RIGHT(F_interface!H$2, 2),'Forecast drivers'!$C$4:$C$111, 0), MATCH(F_interface!$D146,'Forecast drivers'!$C$4:$P$4, 0)),0)</f>
        <v>1.2696441728933631E-2</v>
      </c>
      <c r="I146" s="157">
        <f xml:space="preserve"> _xlfn.IFNA(INDEX('Forecast drivers'!$C$4:$P$111, MATCH(F_interface!$A146&amp;RIGHT(F_interface!I$2, 2),'Forecast drivers'!$C$4:$C$111, 0), MATCH(F_interface!$D146,'Forecast drivers'!$C$4:$P$4, 0)),0)</f>
        <v>1.2821877551319539E-2</v>
      </c>
      <c r="J146" s="157">
        <f xml:space="preserve"> _xlfn.IFNA(INDEX('Forecast drivers'!$C$4:$P$111, MATCH(F_interface!$A146&amp;RIGHT(F_interface!J$2, 2),'Forecast drivers'!$C$4:$C$111, 0), MATCH(F_interface!$D146,'Forecast drivers'!$C$4:$P$4, 0)),0)</f>
        <v>1.2946227377660085E-2</v>
      </c>
      <c r="K146" s="157">
        <f xml:space="preserve"> _xlfn.IFNA(INDEX('Forecast drivers'!$C$4:$P$111, MATCH(F_interface!$A146&amp;RIGHT(F_interface!K$2, 2),'Forecast drivers'!$C$4:$C$111, 0), MATCH(F_interface!$D146,'Forecast drivers'!$C$4:$P$4, 0)),0)</f>
        <v>1.3069505250642044E-2</v>
      </c>
      <c r="L146" s="157">
        <f xml:space="preserve"> _xlfn.IFNA(INDEX('Forecast drivers'!$C$4:$P$111, MATCH(F_interface!$A146&amp;RIGHT(F_interface!L$2, 2),'Forecast drivers'!$C$4:$C$111, 0), MATCH(F_interface!$D146,'Forecast drivers'!$C$4:$P$4, 0)),0)</f>
        <v>1.3191724971882276E-2</v>
      </c>
    </row>
    <row r="147" spans="1:12" x14ac:dyDescent="0.25">
      <c r="A147" s="13" t="s">
        <v>7</v>
      </c>
      <c r="B147" s="13" t="s">
        <v>132</v>
      </c>
      <c r="C147" s="12" t="str">
        <f t="shared" si="1"/>
        <v>SRNC_BOOSTER_LENGTH_PR19CA004</v>
      </c>
      <c r="D147" s="13" t="s">
        <v>62</v>
      </c>
      <c r="E147" s="13" t="s">
        <v>61</v>
      </c>
      <c r="F147" s="76" t="s">
        <v>66</v>
      </c>
      <c r="G147" s="13" t="s">
        <v>59</v>
      </c>
      <c r="H147" s="157">
        <f xml:space="preserve"> _xlfn.IFNA(INDEX('Forecast drivers'!$C$4:$P$111, MATCH(F_interface!$A147&amp;RIGHT(F_interface!H$2, 2),'Forecast drivers'!$C$4:$C$111, 0), MATCH(F_interface!$D147,'Forecast drivers'!$C$4:$P$4, 0)),0)</f>
        <v>1.7120627754720473E-2</v>
      </c>
      <c r="I147" s="157">
        <f xml:space="preserve"> _xlfn.IFNA(INDEX('Forecast drivers'!$C$4:$P$111, MATCH(F_interface!$A147&amp;RIGHT(F_interface!I$2, 2),'Forecast drivers'!$C$4:$C$111, 0), MATCH(F_interface!$D147,'Forecast drivers'!$C$4:$P$4, 0)),0)</f>
        <v>1.7080373867321808E-2</v>
      </c>
      <c r="J147" s="157">
        <f xml:space="preserve"> _xlfn.IFNA(INDEX('Forecast drivers'!$C$4:$P$111, MATCH(F_interface!$A147&amp;RIGHT(F_interface!J$2, 2),'Forecast drivers'!$C$4:$C$111, 0), MATCH(F_interface!$D147,'Forecast drivers'!$C$4:$P$4, 0)),0)</f>
        <v>1.7040308825168334E-2</v>
      </c>
      <c r="K147" s="157">
        <f xml:space="preserve"> _xlfn.IFNA(INDEX('Forecast drivers'!$C$4:$P$111, MATCH(F_interface!$A147&amp;RIGHT(F_interface!K$2, 2),'Forecast drivers'!$C$4:$C$111, 0), MATCH(F_interface!$D147,'Forecast drivers'!$C$4:$P$4, 0)),0)</f>
        <v>1.700043130246004E-2</v>
      </c>
      <c r="L147" s="157">
        <f xml:space="preserve"> _xlfn.IFNA(INDEX('Forecast drivers'!$C$4:$P$111, MATCH(F_interface!$A147&amp;RIGHT(F_interface!L$2, 2),'Forecast drivers'!$C$4:$C$111, 0), MATCH(F_interface!$D147,'Forecast drivers'!$C$4:$P$4, 0)),0)</f>
        <v>1.696073998577842E-2</v>
      </c>
    </row>
    <row r="148" spans="1:12" x14ac:dyDescent="0.25">
      <c r="A148" s="13" t="s">
        <v>89</v>
      </c>
      <c r="B148" s="13" t="s">
        <v>132</v>
      </c>
      <c r="C148" s="12" t="str">
        <f t="shared" si="1"/>
        <v>SVEC_BOOSTER_LENGTH_PR19CA004</v>
      </c>
      <c r="D148" s="13" t="s">
        <v>62</v>
      </c>
      <c r="E148" s="13" t="s">
        <v>61</v>
      </c>
      <c r="F148" s="76" t="s">
        <v>66</v>
      </c>
      <c r="G148" s="13" t="s">
        <v>59</v>
      </c>
      <c r="H148" s="157">
        <f xml:space="preserve"> _xlfn.IFNA(INDEX('Forecast drivers'!$C$4:$P$111, MATCH(F_interface!$A148&amp;RIGHT(F_interface!H$2, 2),'Forecast drivers'!$C$4:$C$111, 0), MATCH(F_interface!$D148,'Forecast drivers'!$C$4:$P$4, 0)),0)</f>
        <v>1.4386287408809472E-2</v>
      </c>
      <c r="I148" s="157">
        <f xml:space="preserve"> _xlfn.IFNA(INDEX('Forecast drivers'!$C$4:$P$111, MATCH(F_interface!$A148&amp;RIGHT(F_interface!I$2, 2),'Forecast drivers'!$C$4:$C$111, 0), MATCH(F_interface!$D148,'Forecast drivers'!$C$4:$P$4, 0)),0)</f>
        <v>1.4349921838909556E-2</v>
      </c>
      <c r="J148" s="157">
        <f xml:space="preserve"> _xlfn.IFNA(INDEX('Forecast drivers'!$C$4:$P$111, MATCH(F_interface!$A148&amp;RIGHT(F_interface!J$2, 2),'Forecast drivers'!$C$4:$C$111, 0), MATCH(F_interface!$D148,'Forecast drivers'!$C$4:$P$4, 0)),0)</f>
        <v>1.4313739654781473E-2</v>
      </c>
      <c r="K148" s="157">
        <f xml:space="preserve"> _xlfn.IFNA(INDEX('Forecast drivers'!$C$4:$P$111, MATCH(F_interface!$A148&amp;RIGHT(F_interface!K$2, 2),'Forecast drivers'!$C$4:$C$111, 0), MATCH(F_interface!$D148,'Forecast drivers'!$C$4:$P$4, 0)),0)</f>
        <v>1.4277739472736254E-2</v>
      </c>
      <c r="L148" s="157">
        <f xml:space="preserve"> _xlfn.IFNA(INDEX('Forecast drivers'!$C$4:$P$111, MATCH(F_interface!$A148&amp;RIGHT(F_interface!L$2, 2),'Forecast drivers'!$C$4:$C$111, 0), MATCH(F_interface!$D148,'Forecast drivers'!$C$4:$P$4, 0)),0)</f>
        <v>1.4262987851850503E-2</v>
      </c>
    </row>
    <row r="149" spans="1:12" x14ac:dyDescent="0.25">
      <c r="A149" s="13" t="s">
        <v>93</v>
      </c>
      <c r="B149" s="13" t="s">
        <v>132</v>
      </c>
      <c r="C149" s="12" t="str">
        <f t="shared" si="1"/>
        <v>SVHC_BOOSTER_LENGTH_PR19CA004</v>
      </c>
      <c r="D149" s="13" t="s">
        <v>62</v>
      </c>
      <c r="E149" s="13" t="s">
        <v>61</v>
      </c>
      <c r="F149" s="76" t="s">
        <v>66</v>
      </c>
      <c r="G149" s="13" t="s">
        <v>59</v>
      </c>
      <c r="H149" s="157">
        <f xml:space="preserve"> _xlfn.IFNA(INDEX('Forecast drivers'!$C$4:$P$111, MATCH(F_interface!$A149&amp;RIGHT(F_interface!H$2, 2),'Forecast drivers'!$C$4:$C$111, 0), MATCH(F_interface!$D149,'Forecast drivers'!$C$4:$P$4, 0)),0)</f>
        <v>1.5558485246036971E-2</v>
      </c>
      <c r="I149" s="157">
        <f xml:space="preserve"> _xlfn.IFNA(INDEX('Forecast drivers'!$C$4:$P$111, MATCH(F_interface!$A149&amp;RIGHT(F_interface!I$2, 2),'Forecast drivers'!$C$4:$C$111, 0), MATCH(F_interface!$D149,'Forecast drivers'!$C$4:$P$4, 0)),0)</f>
        <v>1.5507759922199897E-2</v>
      </c>
      <c r="J149" s="157">
        <f xml:space="preserve"> _xlfn.IFNA(INDEX('Forecast drivers'!$C$4:$P$111, MATCH(F_interface!$A149&amp;RIGHT(F_interface!J$2, 2),'Forecast drivers'!$C$4:$C$111, 0), MATCH(F_interface!$D149,'Forecast drivers'!$C$4:$P$4, 0)),0)</f>
        <v>1.5457238448023308E-2</v>
      </c>
      <c r="K149" s="157">
        <f xml:space="preserve"> _xlfn.IFNA(INDEX('Forecast drivers'!$C$4:$P$111, MATCH(F_interface!$A149&amp;RIGHT(F_interface!K$2, 2),'Forecast drivers'!$C$4:$C$111, 0), MATCH(F_interface!$D149,'Forecast drivers'!$C$4:$P$4, 0)),0)</f>
        <v>1.5406919597156614E-2</v>
      </c>
      <c r="L149" s="157">
        <f xml:space="preserve"> _xlfn.IFNA(INDEX('Forecast drivers'!$C$4:$P$111, MATCH(F_interface!$A149&amp;RIGHT(F_interface!L$2, 2),'Forecast drivers'!$C$4:$C$111, 0), MATCH(F_interface!$D149,'Forecast drivers'!$C$4:$P$4, 0)),0)</f>
        <v>1.5356802153066439E-2</v>
      </c>
    </row>
    <row r="150" spans="1:12" x14ac:dyDescent="0.25">
      <c r="A150" s="13" t="s">
        <v>8</v>
      </c>
      <c r="B150" s="13" t="s">
        <v>132</v>
      </c>
      <c r="C150" s="12" t="str">
        <f t="shared" si="1"/>
        <v>SVTC_BOOSTER_LENGTH_PR19CA004</v>
      </c>
      <c r="D150" s="13" t="s">
        <v>62</v>
      </c>
      <c r="E150" s="13" t="s">
        <v>61</v>
      </c>
      <c r="F150" s="76" t="s">
        <v>66</v>
      </c>
      <c r="G150" s="13" t="s">
        <v>59</v>
      </c>
      <c r="H150" s="157">
        <f xml:space="preserve"> _xlfn.IFNA(INDEX('Forecast drivers'!$C$4:$P$111, MATCH(F_interface!$A150&amp;RIGHT(F_interface!H$2, 2),'Forecast drivers'!$C$4:$C$111, 0), MATCH(F_interface!$D150,'Forecast drivers'!$C$4:$P$4, 0)),0)</f>
        <v>1.5415785158626504E-2</v>
      </c>
      <c r="I150" s="157">
        <f xml:space="preserve"> _xlfn.IFNA(INDEX('Forecast drivers'!$C$4:$P$111, MATCH(F_interface!$A150&amp;RIGHT(F_interface!I$2, 2),'Forecast drivers'!$C$4:$C$111, 0), MATCH(F_interface!$D150,'Forecast drivers'!$C$4:$P$4, 0)),0)</f>
        <v>1.5355153390570088E-2</v>
      </c>
      <c r="J150" s="157">
        <f xml:space="preserve"> _xlfn.IFNA(INDEX('Forecast drivers'!$C$4:$P$111, MATCH(F_interface!$A150&amp;RIGHT(F_interface!J$2, 2),'Forecast drivers'!$C$4:$C$111, 0), MATCH(F_interface!$D150,'Forecast drivers'!$C$4:$P$4, 0)),0)</f>
        <v>1.5294758868325877E-2</v>
      </c>
      <c r="K150" s="157">
        <f xml:space="preserve"> _xlfn.IFNA(INDEX('Forecast drivers'!$C$4:$P$111, MATCH(F_interface!$A150&amp;RIGHT(F_interface!K$2, 2),'Forecast drivers'!$C$4:$C$111, 0), MATCH(F_interface!$D150,'Forecast drivers'!$C$4:$P$4, 0)),0)</f>
        <v>1.5234600202135518E-2</v>
      </c>
      <c r="L150" s="157">
        <f xml:space="preserve"> _xlfn.IFNA(INDEX('Forecast drivers'!$C$4:$P$111, MATCH(F_interface!$A150&amp;RIGHT(F_interface!L$2, 2),'Forecast drivers'!$C$4:$C$111, 0), MATCH(F_interface!$D150,'Forecast drivers'!$C$4:$P$4, 0)),0)</f>
        <v>1.5174676013074231E-2</v>
      </c>
    </row>
    <row r="151" spans="1:12" x14ac:dyDescent="0.25">
      <c r="A151" s="13" t="s">
        <v>19</v>
      </c>
      <c r="B151" s="13" t="s">
        <v>132</v>
      </c>
      <c r="C151" s="12" t="str">
        <f t="shared" si="1"/>
        <v>SWBC_BOOSTER_LENGTH_PR19CA004</v>
      </c>
      <c r="D151" s="13" t="s">
        <v>62</v>
      </c>
      <c r="E151" s="13" t="s">
        <v>61</v>
      </c>
      <c r="F151" s="76" t="s">
        <v>66</v>
      </c>
      <c r="G151" s="13" t="s">
        <v>59</v>
      </c>
      <c r="H151" s="157">
        <f xml:space="preserve"> _xlfn.IFNA(INDEX('Forecast drivers'!$C$4:$P$111, MATCH(F_interface!$A151&amp;RIGHT(F_interface!H$2, 2),'Forecast drivers'!$C$4:$C$111, 0), MATCH(F_interface!$D151,'Forecast drivers'!$C$4:$P$4, 0)),0)</f>
        <v>1.4521934824015722E-2</v>
      </c>
      <c r="I151" s="157">
        <f xml:space="preserve"> _xlfn.IFNA(INDEX('Forecast drivers'!$C$4:$P$111, MATCH(F_interface!$A151&amp;RIGHT(F_interface!I$2, 2),'Forecast drivers'!$C$4:$C$111, 0), MATCH(F_interface!$D151,'Forecast drivers'!$C$4:$P$4, 0)),0)</f>
        <v>1.4539356799422878E-2</v>
      </c>
      <c r="J151" s="157">
        <f xml:space="preserve"> _xlfn.IFNA(INDEX('Forecast drivers'!$C$4:$P$111, MATCH(F_interface!$A151&amp;RIGHT(F_interface!J$2, 2),'Forecast drivers'!$C$4:$C$111, 0), MATCH(F_interface!$D151,'Forecast drivers'!$C$4:$P$4, 0)),0)</f>
        <v>1.4556646148727335E-2</v>
      </c>
      <c r="K151" s="157">
        <f xml:space="preserve"> _xlfn.IFNA(INDEX('Forecast drivers'!$C$4:$P$111, MATCH(F_interface!$A151&amp;RIGHT(F_interface!K$2, 2),'Forecast drivers'!$C$4:$C$111, 0), MATCH(F_interface!$D151,'Forecast drivers'!$C$4:$P$4, 0)),0)</f>
        <v>1.4573804380625881E-2</v>
      </c>
      <c r="L151" s="157">
        <f xml:space="preserve"> _xlfn.IFNA(INDEX('Forecast drivers'!$C$4:$P$111, MATCH(F_interface!$A151&amp;RIGHT(F_interface!L$2, 2),'Forecast drivers'!$C$4:$C$111, 0), MATCH(F_interface!$D151,'Forecast drivers'!$C$4:$P$4, 0)),0)</f>
        <v>1.4590832981018716E-2</v>
      </c>
    </row>
    <row r="152" spans="1:12" x14ac:dyDescent="0.25">
      <c r="A152" s="13" t="s">
        <v>9</v>
      </c>
      <c r="B152" s="13" t="s">
        <v>132</v>
      </c>
      <c r="C152" s="12" t="str">
        <f t="shared" si="1"/>
        <v>TMSC_BOOSTER_LENGTH_PR19CA004</v>
      </c>
      <c r="D152" s="13" t="s">
        <v>62</v>
      </c>
      <c r="E152" s="13" t="s">
        <v>61</v>
      </c>
      <c r="F152" s="76" t="s">
        <v>66</v>
      </c>
      <c r="G152" s="13" t="s">
        <v>59</v>
      </c>
      <c r="H152" s="157">
        <f xml:space="preserve"> _xlfn.IFNA(INDEX('Forecast drivers'!$C$4:$P$111, MATCH(F_interface!$A152&amp;RIGHT(F_interface!H$2, 2),'Forecast drivers'!$C$4:$C$111, 0), MATCH(F_interface!$D152,'Forecast drivers'!$C$4:$P$4, 0)),0)</f>
        <v>9.9562560486078262E-3</v>
      </c>
      <c r="I152" s="157">
        <f xml:space="preserve"> _xlfn.IFNA(INDEX('Forecast drivers'!$C$4:$P$111, MATCH(F_interface!$A152&amp;RIGHT(F_interface!I$2, 2),'Forecast drivers'!$C$4:$C$111, 0), MATCH(F_interface!$D152,'Forecast drivers'!$C$4:$P$4, 0)),0)</f>
        <v>9.9538709722973052E-3</v>
      </c>
      <c r="J152" s="157">
        <f xml:space="preserve"> _xlfn.IFNA(INDEX('Forecast drivers'!$C$4:$P$111, MATCH(F_interface!$A152&amp;RIGHT(F_interface!J$2, 2),'Forecast drivers'!$C$4:$C$111, 0), MATCH(F_interface!$D152,'Forecast drivers'!$C$4:$P$4, 0)),0)</f>
        <v>9.9514935237751036E-3</v>
      </c>
      <c r="K152" s="157">
        <f xml:space="preserve"> _xlfn.IFNA(INDEX('Forecast drivers'!$C$4:$P$111, MATCH(F_interface!$A152&amp;RIGHT(F_interface!K$2, 2),'Forecast drivers'!$C$4:$C$111, 0), MATCH(F_interface!$D152,'Forecast drivers'!$C$4:$P$4, 0)),0)</f>
        <v>9.9491236665076345E-3</v>
      </c>
      <c r="L152" s="157">
        <f xml:space="preserve"> _xlfn.IFNA(INDEX('Forecast drivers'!$C$4:$P$111, MATCH(F_interface!$A152&amp;RIGHT(F_interface!L$2, 2),'Forecast drivers'!$C$4:$C$111, 0), MATCH(F_interface!$D152,'Forecast drivers'!$C$4:$P$4, 0)),0)</f>
        <v>9.9467613641942444E-3</v>
      </c>
    </row>
    <row r="153" spans="1:12" x14ac:dyDescent="0.25">
      <c r="A153" s="13" t="s">
        <v>23</v>
      </c>
      <c r="B153" s="13" t="s">
        <v>132</v>
      </c>
      <c r="C153" s="12" t="str">
        <f t="shared" si="1"/>
        <v>WSHC_BOOSTER_LENGTH_PR19CA004</v>
      </c>
      <c r="D153" s="13" t="s">
        <v>62</v>
      </c>
      <c r="E153" s="13" t="s">
        <v>61</v>
      </c>
      <c r="F153" s="76" t="s">
        <v>66</v>
      </c>
      <c r="G153" s="13" t="s">
        <v>59</v>
      </c>
      <c r="H153" s="157">
        <f xml:space="preserve"> _xlfn.IFNA(INDEX('Forecast drivers'!$C$4:$P$111, MATCH(F_interface!$A153&amp;RIGHT(F_interface!H$2, 2),'Forecast drivers'!$C$4:$C$111, 0), MATCH(F_interface!$D153,'Forecast drivers'!$C$4:$P$4, 0)),0)</f>
        <v>2.1024187837319765E-2</v>
      </c>
      <c r="I153" s="157">
        <f xml:space="preserve"> _xlfn.IFNA(INDEX('Forecast drivers'!$C$4:$P$111, MATCH(F_interface!$A153&amp;RIGHT(F_interface!I$2, 2),'Forecast drivers'!$C$4:$C$111, 0), MATCH(F_interface!$D153,'Forecast drivers'!$C$4:$P$4, 0)),0)</f>
        <v>2.0929661716647778E-2</v>
      </c>
      <c r="J153" s="157">
        <f xml:space="preserve"> _xlfn.IFNA(INDEX('Forecast drivers'!$C$4:$P$111, MATCH(F_interface!$A153&amp;RIGHT(F_interface!J$2, 2),'Forecast drivers'!$C$4:$C$111, 0), MATCH(F_interface!$D153,'Forecast drivers'!$C$4:$P$4, 0)),0)</f>
        <v>2.0835477559489158E-2</v>
      </c>
      <c r="K153" s="157">
        <f xml:space="preserve"> _xlfn.IFNA(INDEX('Forecast drivers'!$C$4:$P$111, MATCH(F_interface!$A153&amp;RIGHT(F_interface!K$2, 2),'Forecast drivers'!$C$4:$C$111, 0), MATCH(F_interface!$D153,'Forecast drivers'!$C$4:$P$4, 0)),0)</f>
        <v>2.0741633513532028E-2</v>
      </c>
      <c r="L153" s="157">
        <f xml:space="preserve"> _xlfn.IFNA(INDEX('Forecast drivers'!$C$4:$P$111, MATCH(F_interface!$A153&amp;RIGHT(F_interface!L$2, 2),'Forecast drivers'!$C$4:$C$111, 0), MATCH(F_interface!$D153,'Forecast drivers'!$C$4:$P$4, 0)),0)</f>
        <v>2.0648127739818289E-2</v>
      </c>
    </row>
    <row r="154" spans="1:12" x14ac:dyDescent="0.25">
      <c r="A154" s="13" t="s">
        <v>10</v>
      </c>
      <c r="B154" s="13" t="s">
        <v>132</v>
      </c>
      <c r="C154" s="12" t="str">
        <f t="shared" si="1"/>
        <v>WSXC_BOOSTER_LENGTH_PR19CA004</v>
      </c>
      <c r="D154" s="13" t="s">
        <v>62</v>
      </c>
      <c r="E154" s="13" t="s">
        <v>61</v>
      </c>
      <c r="F154" s="76" t="s">
        <v>66</v>
      </c>
      <c r="G154" s="13" t="s">
        <v>59</v>
      </c>
      <c r="H154" s="157">
        <f xml:space="preserve"> _xlfn.IFNA(INDEX('Forecast drivers'!$C$4:$P$111, MATCH(F_interface!$A154&amp;RIGHT(F_interface!H$2, 2),'Forecast drivers'!$C$4:$C$111, 0), MATCH(F_interface!$D154,'Forecast drivers'!$C$4:$P$4, 0)),0)</f>
        <v>2.4404537367289356E-2</v>
      </c>
      <c r="I154" s="157">
        <f xml:space="preserve"> _xlfn.IFNA(INDEX('Forecast drivers'!$C$4:$P$111, MATCH(F_interface!$A154&amp;RIGHT(F_interface!I$2, 2),'Forecast drivers'!$C$4:$C$111, 0), MATCH(F_interface!$D154,'Forecast drivers'!$C$4:$P$4, 0)),0)</f>
        <v>2.4443866260020229E-2</v>
      </c>
      <c r="J154" s="157">
        <f xml:space="preserve"> _xlfn.IFNA(INDEX('Forecast drivers'!$C$4:$P$111, MATCH(F_interface!$A154&amp;RIGHT(F_interface!J$2, 2),'Forecast drivers'!$C$4:$C$111, 0), MATCH(F_interface!$D154,'Forecast drivers'!$C$4:$P$4, 0)),0)</f>
        <v>2.4482959558279609E-2</v>
      </c>
      <c r="K154" s="157">
        <f xml:space="preserve"> _xlfn.IFNA(INDEX('Forecast drivers'!$C$4:$P$111, MATCH(F_interface!$A154&amp;RIGHT(F_interface!K$2, 2),'Forecast drivers'!$C$4:$C$111, 0), MATCH(F_interface!$D154,'Forecast drivers'!$C$4:$P$4, 0)),0)</f>
        <v>2.4521819372691551E-2</v>
      </c>
      <c r="L154" s="157">
        <f xml:space="preserve"> _xlfn.IFNA(INDEX('Forecast drivers'!$C$4:$P$111, MATCH(F_interface!$A154&amp;RIGHT(F_interface!L$2, 2),'Forecast drivers'!$C$4:$C$111, 0), MATCH(F_interface!$D154,'Forecast drivers'!$C$4:$P$4, 0)),0)</f>
        <v>2.4560447788743847E-2</v>
      </c>
    </row>
    <row r="155" spans="1:12" x14ac:dyDescent="0.25">
      <c r="A155" s="13" t="s">
        <v>11</v>
      </c>
      <c r="B155" s="13" t="s">
        <v>132</v>
      </c>
      <c r="C155" s="12" t="str">
        <f t="shared" si="1"/>
        <v>YKYC_BOOSTER_LENGTH_PR19CA004</v>
      </c>
      <c r="D155" s="13" t="s">
        <v>62</v>
      </c>
      <c r="E155" s="13" t="s">
        <v>61</v>
      </c>
      <c r="F155" s="76" t="s">
        <v>66</v>
      </c>
      <c r="G155" s="13" t="s">
        <v>59</v>
      </c>
      <c r="H155" s="157">
        <f xml:space="preserve"> _xlfn.IFNA(INDEX('Forecast drivers'!$C$4:$P$111, MATCH(F_interface!$A155&amp;RIGHT(F_interface!H$2, 2),'Forecast drivers'!$C$4:$C$111, 0), MATCH(F_interface!$D155,'Forecast drivers'!$C$4:$P$4, 0)),0)</f>
        <v>1.646966956401482E-2</v>
      </c>
      <c r="I155" s="157">
        <f xml:space="preserve"> _xlfn.IFNA(INDEX('Forecast drivers'!$C$4:$P$111, MATCH(F_interface!$A155&amp;RIGHT(F_interface!I$2, 2),'Forecast drivers'!$C$4:$C$111, 0), MATCH(F_interface!$D155,'Forecast drivers'!$C$4:$P$4, 0)),0)</f>
        <v>1.6389745535042591E-2</v>
      </c>
      <c r="J155" s="157">
        <f xml:space="preserve"> _xlfn.IFNA(INDEX('Forecast drivers'!$C$4:$P$111, MATCH(F_interface!$A155&amp;RIGHT(F_interface!J$2, 2),'Forecast drivers'!$C$4:$C$111, 0), MATCH(F_interface!$D155,'Forecast drivers'!$C$4:$P$4, 0)),0)</f>
        <v>1.6310195218193105E-2</v>
      </c>
      <c r="K155" s="157">
        <f xml:space="preserve"> _xlfn.IFNA(INDEX('Forecast drivers'!$C$4:$P$111, MATCH(F_interface!$A155&amp;RIGHT(F_interface!K$2, 2),'Forecast drivers'!$C$4:$C$111, 0), MATCH(F_interface!$D155,'Forecast drivers'!$C$4:$P$4, 0)),0)</f>
        <v>1.6231015998451857E-2</v>
      </c>
      <c r="L155" s="157">
        <f xml:space="preserve"> _xlfn.IFNA(INDEX('Forecast drivers'!$C$4:$P$111, MATCH(F_interface!$A155&amp;RIGHT(F_interface!L$2, 2),'Forecast drivers'!$C$4:$C$111, 0), MATCH(F_interface!$D155,'Forecast drivers'!$C$4:$P$4, 0)),0)</f>
        <v>1.6152205285145327E-2</v>
      </c>
    </row>
    <row r="156" spans="1:12" x14ac:dyDescent="0.25">
      <c r="A156" s="13" t="s">
        <v>12</v>
      </c>
      <c r="B156" s="13" t="s">
        <v>132</v>
      </c>
      <c r="C156" s="12" t="str">
        <f t="shared" si="1"/>
        <v>AFWC_BOOSTER_LENGTH_PR19CA004</v>
      </c>
      <c r="D156" s="13" t="s">
        <v>62</v>
      </c>
      <c r="E156" s="13" t="s">
        <v>61</v>
      </c>
      <c r="F156" s="76" t="s">
        <v>66</v>
      </c>
      <c r="G156" s="13" t="s">
        <v>59</v>
      </c>
      <c r="H156" s="157">
        <f xml:space="preserve"> _xlfn.IFNA(INDEX('Forecast drivers'!$C$4:$P$111, MATCH(F_interface!$A156&amp;RIGHT(F_interface!H$2, 2),'Forecast drivers'!$C$4:$C$111, 0), MATCH(F_interface!$D156,'Forecast drivers'!$C$4:$P$4, 0)),0)</f>
        <v>1.6157360216071469E-2</v>
      </c>
      <c r="I156" s="157">
        <f xml:space="preserve"> _xlfn.IFNA(INDEX('Forecast drivers'!$C$4:$P$111, MATCH(F_interface!$A156&amp;RIGHT(F_interface!I$2, 2),'Forecast drivers'!$C$4:$C$111, 0), MATCH(F_interface!$D156,'Forecast drivers'!$C$4:$P$4, 0)),0)</f>
        <v>1.6022380490684801E-2</v>
      </c>
      <c r="J156" s="157">
        <f xml:space="preserve"> _xlfn.IFNA(INDEX('Forecast drivers'!$C$4:$P$111, MATCH(F_interface!$A156&amp;RIGHT(F_interface!J$2, 2),'Forecast drivers'!$C$4:$C$111, 0), MATCH(F_interface!$D156,'Forecast drivers'!$C$4:$P$4, 0)),0)</f>
        <v>1.5888177859905137E-2</v>
      </c>
      <c r="K156" s="157">
        <f xml:space="preserve"> _xlfn.IFNA(INDEX('Forecast drivers'!$C$4:$P$111, MATCH(F_interface!$A156&amp;RIGHT(F_interface!K$2, 2),'Forecast drivers'!$C$4:$C$111, 0), MATCH(F_interface!$D156,'Forecast drivers'!$C$4:$P$4, 0)),0)</f>
        <v>1.5754745632252831E-2</v>
      </c>
      <c r="L156" s="157">
        <f xml:space="preserve"> _xlfn.IFNA(INDEX('Forecast drivers'!$C$4:$P$111, MATCH(F_interface!$A156&amp;RIGHT(F_interface!L$2, 2),'Forecast drivers'!$C$4:$C$111, 0), MATCH(F_interface!$D156,'Forecast drivers'!$C$4:$P$4, 0)),0)</f>
        <v>1.5622077192854508E-2</v>
      </c>
    </row>
    <row r="157" spans="1:12" x14ac:dyDescent="0.25">
      <c r="A157" s="13" t="s">
        <v>13</v>
      </c>
      <c r="B157" s="13" t="s">
        <v>132</v>
      </c>
      <c r="C157" s="12" t="str">
        <f t="shared" si="1"/>
        <v>BRLC_BOOSTER_LENGTH_PR19CA004</v>
      </c>
      <c r="D157" s="13" t="s">
        <v>62</v>
      </c>
      <c r="E157" s="13" t="s">
        <v>61</v>
      </c>
      <c r="F157" s="76" t="s">
        <v>66</v>
      </c>
      <c r="G157" s="13" t="s">
        <v>59</v>
      </c>
      <c r="H157" s="157">
        <f xml:space="preserve"> _xlfn.IFNA(INDEX('Forecast drivers'!$C$4:$P$111, MATCH(F_interface!$A157&amp;RIGHT(F_interface!H$2, 2),'Forecast drivers'!$C$4:$C$111, 0), MATCH(F_interface!$D157,'Forecast drivers'!$C$4:$P$4, 0)),0)</f>
        <v>1.6962605588852139E-2</v>
      </c>
      <c r="I157" s="157">
        <f xml:space="preserve"> _xlfn.IFNA(INDEX('Forecast drivers'!$C$4:$P$111, MATCH(F_interface!$A157&amp;RIGHT(F_interface!I$2, 2),'Forecast drivers'!$C$4:$C$111, 0), MATCH(F_interface!$D157,'Forecast drivers'!$C$4:$P$4, 0)),0)</f>
        <v>1.7004345268199036E-2</v>
      </c>
      <c r="J157" s="157">
        <f xml:space="preserve"> _xlfn.IFNA(INDEX('Forecast drivers'!$C$4:$P$111, MATCH(F_interface!$A157&amp;RIGHT(F_interface!J$2, 2),'Forecast drivers'!$C$4:$C$111, 0), MATCH(F_interface!$D157,'Forecast drivers'!$C$4:$P$4, 0)),0)</f>
        <v>1.7045758299783279E-2</v>
      </c>
      <c r="K157" s="157">
        <f xml:space="preserve"> _xlfn.IFNA(INDEX('Forecast drivers'!$C$4:$P$111, MATCH(F_interface!$A157&amp;RIGHT(F_interface!K$2, 2),'Forecast drivers'!$C$4:$C$111, 0), MATCH(F_interface!$D157,'Forecast drivers'!$C$4:$P$4, 0)),0)</f>
        <v>1.7086848503095806E-2</v>
      </c>
      <c r="L157" s="157">
        <f xml:space="preserve"> _xlfn.IFNA(INDEX('Forecast drivers'!$C$4:$P$111, MATCH(F_interface!$A157&amp;RIGHT(F_interface!L$2, 2),'Forecast drivers'!$C$4:$C$111, 0), MATCH(F_interface!$D157,'Forecast drivers'!$C$4:$P$4, 0)),0)</f>
        <v>1.7127619638310377E-2</v>
      </c>
    </row>
    <row r="158" spans="1:12" x14ac:dyDescent="0.25">
      <c r="A158" s="13" t="s">
        <v>14</v>
      </c>
      <c r="B158" s="13" t="s">
        <v>132</v>
      </c>
      <c r="C158" s="12" t="str">
        <f t="shared" si="1"/>
        <v>DVWC_BOOSTER_LENGTH_PR19CA004</v>
      </c>
      <c r="D158" s="13" t="s">
        <v>62</v>
      </c>
      <c r="E158" s="13" t="s">
        <v>61</v>
      </c>
      <c r="F158" s="76" t="s">
        <v>66</v>
      </c>
      <c r="G158" s="13" t="s">
        <v>59</v>
      </c>
      <c r="H158" s="157">
        <f xml:space="preserve"> _xlfn.IFNA(INDEX('Forecast drivers'!$C$4:$P$111, MATCH(F_interface!$A158&amp;RIGHT(F_interface!H$2, 2),'Forecast drivers'!$C$4:$C$111, 0), MATCH(F_interface!$D158,'Forecast drivers'!$C$4:$P$4, 0)),0)</f>
        <v>1.886084323806872E-2</v>
      </c>
      <c r="I158" s="157">
        <f xml:space="preserve"> _xlfn.IFNA(INDEX('Forecast drivers'!$C$4:$P$111, MATCH(F_interface!$A158&amp;RIGHT(F_interface!I$2, 2),'Forecast drivers'!$C$4:$C$111, 0), MATCH(F_interface!$D158,'Forecast drivers'!$C$4:$P$4, 0)),0)</f>
        <v>1.9034840825719927E-2</v>
      </c>
      <c r="J158" s="157">
        <f xml:space="preserve"> _xlfn.IFNA(INDEX('Forecast drivers'!$C$4:$P$111, MATCH(F_interface!$A158&amp;RIGHT(F_interface!J$2, 2),'Forecast drivers'!$C$4:$C$111, 0), MATCH(F_interface!$D158,'Forecast drivers'!$C$4:$P$4, 0)),0)</f>
        <v>1.9207714241120055E-2</v>
      </c>
      <c r="K158" s="157">
        <f xml:space="preserve"> _xlfn.IFNA(INDEX('Forecast drivers'!$C$4:$P$111, MATCH(F_interface!$A158&amp;RIGHT(F_interface!K$2, 2),'Forecast drivers'!$C$4:$C$111, 0), MATCH(F_interface!$D158,'Forecast drivers'!$C$4:$P$4, 0)),0)</f>
        <v>1.9379474343849852E-2</v>
      </c>
      <c r="L158" s="157">
        <f xml:space="preserve"> _xlfn.IFNA(INDEX('Forecast drivers'!$C$4:$P$111, MATCH(F_interface!$A158&amp;RIGHT(F_interface!L$2, 2),'Forecast drivers'!$C$4:$C$111, 0), MATCH(F_interface!$D158,'Forecast drivers'!$C$4:$P$4, 0)),0)</f>
        <v>1.9550131854066642E-2</v>
      </c>
    </row>
    <row r="159" spans="1:12" x14ac:dyDescent="0.25">
      <c r="A159" s="13" t="s">
        <v>15</v>
      </c>
      <c r="B159" s="13" t="s">
        <v>132</v>
      </c>
      <c r="C159" s="12" t="str">
        <f t="shared" si="1"/>
        <v>PRTC_BOOSTER_LENGTH_PR19CA004</v>
      </c>
      <c r="D159" s="13" t="s">
        <v>62</v>
      </c>
      <c r="E159" s="13" t="s">
        <v>61</v>
      </c>
      <c r="F159" s="76" t="s">
        <v>66</v>
      </c>
      <c r="G159" s="13" t="s">
        <v>59</v>
      </c>
      <c r="H159" s="157">
        <f xml:space="preserve"> _xlfn.IFNA(INDEX('Forecast drivers'!$C$4:$P$111, MATCH(F_interface!$A159&amp;RIGHT(F_interface!H$2, 2),'Forecast drivers'!$C$4:$C$111, 0), MATCH(F_interface!$D159,'Forecast drivers'!$C$4:$P$4, 0)),0)</f>
        <v>1.1862245438331151E-2</v>
      </c>
      <c r="I159" s="157">
        <f xml:space="preserve"> _xlfn.IFNA(INDEX('Forecast drivers'!$C$4:$P$111, MATCH(F_interface!$A159&amp;RIGHT(F_interface!I$2, 2),'Forecast drivers'!$C$4:$C$111, 0), MATCH(F_interface!$D159,'Forecast drivers'!$C$4:$P$4, 0)),0)</f>
        <v>1.1817986130749135E-2</v>
      </c>
      <c r="J159" s="157">
        <f xml:space="preserve"> _xlfn.IFNA(INDEX('Forecast drivers'!$C$4:$P$111, MATCH(F_interface!$A159&amp;RIGHT(F_interface!J$2, 2),'Forecast drivers'!$C$4:$C$111, 0), MATCH(F_interface!$D159,'Forecast drivers'!$C$4:$P$4, 0)),0)</f>
        <v>1.1774055867895095E-2</v>
      </c>
      <c r="K159" s="157">
        <f xml:space="preserve"> _xlfn.IFNA(INDEX('Forecast drivers'!$C$4:$P$111, MATCH(F_interface!$A159&amp;RIGHT(F_interface!K$2, 2),'Forecast drivers'!$C$4:$C$111, 0), MATCH(F_interface!$D159,'Forecast drivers'!$C$4:$P$4, 0)),0)</f>
        <v>1.173045099394625E-2</v>
      </c>
      <c r="L159" s="157">
        <f xml:space="preserve"> _xlfn.IFNA(INDEX('Forecast drivers'!$C$4:$P$111, MATCH(F_interface!$A159&amp;RIGHT(F_interface!L$2, 2),'Forecast drivers'!$C$4:$C$111, 0), MATCH(F_interface!$D159,'Forecast drivers'!$C$4:$P$4, 0)),0)</f>
        <v>1.1687167907036927E-2</v>
      </c>
    </row>
    <row r="160" spans="1:12" x14ac:dyDescent="0.25">
      <c r="A160" s="13" t="s">
        <v>16</v>
      </c>
      <c r="B160" s="13" t="s">
        <v>132</v>
      </c>
      <c r="C160" s="12" t="str">
        <f t="shared" si="1"/>
        <v>SESC_BOOSTER_LENGTH_PR19CA004</v>
      </c>
      <c r="D160" s="13" t="s">
        <v>62</v>
      </c>
      <c r="E160" s="13" t="s">
        <v>61</v>
      </c>
      <c r="F160" s="76" t="s">
        <v>66</v>
      </c>
      <c r="G160" s="13" t="s">
        <v>59</v>
      </c>
      <c r="H160" s="157">
        <f xml:space="preserve"> _xlfn.IFNA(INDEX('Forecast drivers'!$C$4:$P$111, MATCH(F_interface!$A160&amp;RIGHT(F_interface!H$2, 2),'Forecast drivers'!$C$4:$C$111, 0), MATCH(F_interface!$D160,'Forecast drivers'!$C$4:$P$4, 0)),0)</f>
        <v>9.4046375855730401E-3</v>
      </c>
      <c r="I160" s="157">
        <f xml:space="preserve"> _xlfn.IFNA(INDEX('Forecast drivers'!$C$4:$P$111, MATCH(F_interface!$A160&amp;RIGHT(F_interface!I$2, 2),'Forecast drivers'!$C$4:$C$111, 0), MATCH(F_interface!$D160,'Forecast drivers'!$C$4:$P$4, 0)),0)</f>
        <v>9.3851602739572961E-3</v>
      </c>
      <c r="J160" s="157">
        <f xml:space="preserve"> _xlfn.IFNA(INDEX('Forecast drivers'!$C$4:$P$111, MATCH(F_interface!$A160&amp;RIGHT(F_interface!J$2, 2),'Forecast drivers'!$C$4:$C$111, 0), MATCH(F_interface!$D160,'Forecast drivers'!$C$4:$P$4, 0)),0)</f>
        <v>9.3657634719006809E-3</v>
      </c>
      <c r="K160" s="157">
        <f xml:space="preserve"> _xlfn.IFNA(INDEX('Forecast drivers'!$C$4:$P$111, MATCH(F_interface!$A160&amp;RIGHT(F_interface!K$2, 2),'Forecast drivers'!$C$4:$C$111, 0), MATCH(F_interface!$D160,'Forecast drivers'!$C$4:$P$4, 0)),0)</f>
        <v>9.3464466812527864E-3</v>
      </c>
      <c r="L160" s="157">
        <f xml:space="preserve"> _xlfn.IFNA(INDEX('Forecast drivers'!$C$4:$P$111, MATCH(F_interface!$A160&amp;RIGHT(F_interface!L$2, 2),'Forecast drivers'!$C$4:$C$111, 0), MATCH(F_interface!$D160,'Forecast drivers'!$C$4:$P$4, 0)),0)</f>
        <v>9.3272094079644673E-3</v>
      </c>
    </row>
    <row r="161" spans="1:12" x14ac:dyDescent="0.25">
      <c r="A161" s="13" t="s">
        <v>17</v>
      </c>
      <c r="B161" s="13" t="s">
        <v>132</v>
      </c>
      <c r="C161" s="12" t="str">
        <f t="shared" ref="C161:C224" si="2">A161&amp;B161</f>
        <v>SEWC_BOOSTER_LENGTH_PR19CA004</v>
      </c>
      <c r="D161" s="13" t="s">
        <v>62</v>
      </c>
      <c r="E161" s="13" t="s">
        <v>61</v>
      </c>
      <c r="F161" s="76" t="s">
        <v>66</v>
      </c>
      <c r="G161" s="13" t="s">
        <v>59</v>
      </c>
      <c r="H161" s="157">
        <f xml:space="preserve"> _xlfn.IFNA(INDEX('Forecast drivers'!$C$4:$P$111, MATCH(F_interface!$A161&amp;RIGHT(F_interface!H$2, 2),'Forecast drivers'!$C$4:$C$111, 0), MATCH(F_interface!$D161,'Forecast drivers'!$C$4:$P$4, 0)),0)</f>
        <v>1.6565763684853418E-2</v>
      </c>
      <c r="I161" s="157">
        <f xml:space="preserve"> _xlfn.IFNA(INDEX('Forecast drivers'!$C$4:$P$111, MATCH(F_interface!$A161&amp;RIGHT(F_interface!I$2, 2),'Forecast drivers'!$C$4:$C$111, 0), MATCH(F_interface!$D161,'Forecast drivers'!$C$4:$P$4, 0)),0)</f>
        <v>1.6553544342701291E-2</v>
      </c>
      <c r="J161" s="157">
        <f xml:space="preserve"> _xlfn.IFNA(INDEX('Forecast drivers'!$C$4:$P$111, MATCH(F_interface!$A161&amp;RIGHT(F_interface!J$2, 2),'Forecast drivers'!$C$4:$C$111, 0), MATCH(F_interface!$D161,'Forecast drivers'!$C$4:$P$4, 0)),0)</f>
        <v>1.6541396240192626E-2</v>
      </c>
      <c r="K161" s="157">
        <f xml:space="preserve"> _xlfn.IFNA(INDEX('Forecast drivers'!$C$4:$P$111, MATCH(F_interface!$A161&amp;RIGHT(F_interface!K$2, 2),'Forecast drivers'!$C$4:$C$111, 0), MATCH(F_interface!$D161,'Forecast drivers'!$C$4:$P$4, 0)),0)</f>
        <v>1.6529318756139846E-2</v>
      </c>
      <c r="L161" s="157">
        <f xml:space="preserve"> _xlfn.IFNA(INDEX('Forecast drivers'!$C$4:$P$111, MATCH(F_interface!$A161&amp;RIGHT(F_interface!L$2, 2),'Forecast drivers'!$C$4:$C$111, 0), MATCH(F_interface!$D161,'Forecast drivers'!$C$4:$P$4, 0)),0)</f>
        <v>1.6517311276556507E-2</v>
      </c>
    </row>
    <row r="162" spans="1:12" x14ac:dyDescent="0.25">
      <c r="A162" s="13" t="s">
        <v>18</v>
      </c>
      <c r="B162" s="13" t="s">
        <v>132</v>
      </c>
      <c r="C162" s="12" t="str">
        <f t="shared" si="2"/>
        <v>SSCC_BOOSTER_LENGTH_PR19CA004</v>
      </c>
      <c r="D162" s="13" t="s">
        <v>62</v>
      </c>
      <c r="E162" s="13" t="s">
        <v>61</v>
      </c>
      <c r="F162" s="76" t="s">
        <v>66</v>
      </c>
      <c r="G162" s="13" t="s">
        <v>59</v>
      </c>
      <c r="H162" s="157">
        <f xml:space="preserve"> _xlfn.IFNA(INDEX('Forecast drivers'!$C$4:$P$111, MATCH(F_interface!$A162&amp;RIGHT(F_interface!H$2, 2),'Forecast drivers'!$C$4:$C$111, 0), MATCH(F_interface!$D162,'Forecast drivers'!$C$4:$P$4, 0)),0)</f>
        <v>1.3095970667688162E-2</v>
      </c>
      <c r="I162" s="157">
        <f xml:space="preserve"> _xlfn.IFNA(INDEX('Forecast drivers'!$C$4:$P$111, MATCH(F_interface!$A162&amp;RIGHT(F_interface!I$2, 2),'Forecast drivers'!$C$4:$C$111, 0), MATCH(F_interface!$D162,'Forecast drivers'!$C$4:$P$4, 0)),0)</f>
        <v>1.3112598237703291E-2</v>
      </c>
      <c r="J162" s="157">
        <f xml:space="preserve"> _xlfn.IFNA(INDEX('Forecast drivers'!$C$4:$P$111, MATCH(F_interface!$A162&amp;RIGHT(F_interface!J$2, 2),'Forecast drivers'!$C$4:$C$111, 0), MATCH(F_interface!$D162,'Forecast drivers'!$C$4:$P$4, 0)),0)</f>
        <v>1.3129120935904589E-2</v>
      </c>
      <c r="K162" s="157">
        <f xml:space="preserve"> _xlfn.IFNA(INDEX('Forecast drivers'!$C$4:$P$111, MATCH(F_interface!$A162&amp;RIGHT(F_interface!K$2, 2),'Forecast drivers'!$C$4:$C$111, 0), MATCH(F_interface!$D162,'Forecast drivers'!$C$4:$P$4, 0)),0)</f>
        <v>1.3145539751329247E-2</v>
      </c>
      <c r="L162" s="157">
        <f xml:space="preserve"> _xlfn.IFNA(INDEX('Forecast drivers'!$C$4:$P$111, MATCH(F_interface!$A162&amp;RIGHT(F_interface!L$2, 2),'Forecast drivers'!$C$4:$C$111, 0), MATCH(F_interface!$D162,'Forecast drivers'!$C$4:$P$4, 0)),0)</f>
        <v>1.3161855660616704E-2</v>
      </c>
    </row>
    <row r="163" spans="1:12" x14ac:dyDescent="0.25">
      <c r="A163" s="13" t="s">
        <v>4</v>
      </c>
      <c r="B163" s="13" t="s">
        <v>133</v>
      </c>
      <c r="C163" s="12" t="str">
        <f t="shared" si="2"/>
        <v>ANHC_WAD_W_PR19CA004</v>
      </c>
      <c r="D163" s="13" t="s">
        <v>43</v>
      </c>
      <c r="E163" s="13" t="s">
        <v>46</v>
      </c>
      <c r="F163" s="76" t="s">
        <v>32</v>
      </c>
      <c r="G163" s="13" t="s">
        <v>59</v>
      </c>
      <c r="H163" s="47">
        <f xml:space="preserve"> _xlfn.IFNA(INDEX('Forecast drivers'!$C$4:$P$111, MATCH(F_interface!$A163&amp;RIGHT(F_interface!H$2, 2),'Forecast drivers'!$C$4:$C$111, 0), MATCH(F_interface!$D163,'Forecast drivers'!$C$4:$P$4, 0)),0)</f>
        <v>705.13795516488506</v>
      </c>
      <c r="I163" s="47">
        <f xml:space="preserve"> _xlfn.IFNA(INDEX('Forecast drivers'!$C$4:$P$111, MATCH(F_interface!$A163&amp;RIGHT(F_interface!I$2, 2),'Forecast drivers'!$C$4:$C$111, 0), MATCH(F_interface!$D163,'Forecast drivers'!$C$4:$P$4, 0)),0)</f>
        <v>708.82869491688314</v>
      </c>
      <c r="J163" s="47">
        <f xml:space="preserve"> _xlfn.IFNA(INDEX('Forecast drivers'!$C$4:$P$111, MATCH(F_interface!$A163&amp;RIGHT(F_interface!J$2, 2),'Forecast drivers'!$C$4:$C$111, 0), MATCH(F_interface!$D163,'Forecast drivers'!$C$4:$P$4, 0)),0)</f>
        <v>712.61949066738464</v>
      </c>
      <c r="K163" s="47">
        <f xml:space="preserve"> _xlfn.IFNA(INDEX('Forecast drivers'!$C$4:$P$111, MATCH(F_interface!$A163&amp;RIGHT(F_interface!K$2, 2),'Forecast drivers'!$C$4:$C$111, 0), MATCH(F_interface!$D163,'Forecast drivers'!$C$4:$P$4, 0)),0)</f>
        <v>716.03208726692969</v>
      </c>
      <c r="L163" s="47">
        <f xml:space="preserve"> _xlfn.IFNA(INDEX('Forecast drivers'!$C$4:$P$111, MATCH(F_interface!$A163&amp;RIGHT(F_interface!L$2, 2),'Forecast drivers'!$C$4:$C$111, 0), MATCH(F_interface!$D163,'Forecast drivers'!$C$4:$P$4, 0)),0)</f>
        <v>719.77533792383917</v>
      </c>
    </row>
    <row r="164" spans="1:12" x14ac:dyDescent="0.25">
      <c r="A164" s="13" t="s">
        <v>90</v>
      </c>
      <c r="B164" s="13" t="s">
        <v>133</v>
      </c>
      <c r="C164" s="12" t="str">
        <f t="shared" si="2"/>
        <v>HDDC_WAD_W_PR19CA004</v>
      </c>
      <c r="D164" s="13" t="s">
        <v>43</v>
      </c>
      <c r="E164" s="13" t="s">
        <v>46</v>
      </c>
      <c r="F164" s="76" t="s">
        <v>32</v>
      </c>
      <c r="G164" s="13" t="s">
        <v>59</v>
      </c>
      <c r="H164" s="47">
        <f xml:space="preserve"> _xlfn.IFNA(INDEX('Forecast drivers'!$C$4:$P$111, MATCH(F_interface!$A164&amp;RIGHT(F_interface!H$2, 2),'Forecast drivers'!$C$4:$C$111, 0), MATCH(F_interface!$D164,'Forecast drivers'!$C$4:$P$4, 0)),0)</f>
        <v>319.87524027724618</v>
      </c>
      <c r="I164" s="47">
        <f xml:space="preserve"> _xlfn.IFNA(INDEX('Forecast drivers'!$C$4:$P$111, MATCH(F_interface!$A164&amp;RIGHT(F_interface!I$2, 2),'Forecast drivers'!$C$4:$C$111, 0), MATCH(F_interface!$D164,'Forecast drivers'!$C$4:$P$4, 0)),0)</f>
        <v>320.9720880517396</v>
      </c>
      <c r="J164" s="47">
        <f xml:space="preserve"> _xlfn.IFNA(INDEX('Forecast drivers'!$C$4:$P$111, MATCH(F_interface!$A164&amp;RIGHT(F_interface!J$2, 2),'Forecast drivers'!$C$4:$C$111, 0), MATCH(F_interface!$D164,'Forecast drivers'!$C$4:$P$4, 0)),0)</f>
        <v>322.02303471270892</v>
      </c>
      <c r="K164" s="47">
        <f xml:space="preserve"> _xlfn.IFNA(INDEX('Forecast drivers'!$C$4:$P$111, MATCH(F_interface!$A164&amp;RIGHT(F_interface!K$2, 2),'Forecast drivers'!$C$4:$C$111, 0), MATCH(F_interface!$D164,'Forecast drivers'!$C$4:$P$4, 0)),0)</f>
        <v>323.06354527983081</v>
      </c>
      <c r="L164" s="47">
        <f xml:space="preserve"> _xlfn.IFNA(INDEX('Forecast drivers'!$C$4:$P$111, MATCH(F_interface!$A164&amp;RIGHT(F_interface!L$2, 2),'Forecast drivers'!$C$4:$C$111, 0), MATCH(F_interface!$D164,'Forecast drivers'!$C$4:$P$4, 0)),0)</f>
        <v>324.08344250438199</v>
      </c>
    </row>
    <row r="165" spans="1:12" x14ac:dyDescent="0.25">
      <c r="A165" s="13" t="s">
        <v>5</v>
      </c>
      <c r="B165" s="13" t="s">
        <v>133</v>
      </c>
      <c r="C165" s="12" t="str">
        <f t="shared" si="2"/>
        <v>NESC_WAD_W_PR19CA004</v>
      </c>
      <c r="D165" s="13" t="s">
        <v>43</v>
      </c>
      <c r="E165" s="13" t="s">
        <v>46</v>
      </c>
      <c r="F165" s="76" t="s">
        <v>32</v>
      </c>
      <c r="G165" s="13" t="s">
        <v>59</v>
      </c>
      <c r="H165" s="47">
        <f xml:space="preserve"> _xlfn.IFNA(INDEX('Forecast drivers'!$C$4:$P$111, MATCH(F_interface!$A165&amp;RIGHT(F_interface!H$2, 2),'Forecast drivers'!$C$4:$C$111, 0), MATCH(F_interface!$D165,'Forecast drivers'!$C$4:$P$4, 0)),0)</f>
        <v>1698.7062332103351</v>
      </c>
      <c r="I165" s="47">
        <f xml:space="preserve"> _xlfn.IFNA(INDEX('Forecast drivers'!$C$4:$P$111, MATCH(F_interface!$A165&amp;RIGHT(F_interface!I$2, 2),'Forecast drivers'!$C$4:$C$111, 0), MATCH(F_interface!$D165,'Forecast drivers'!$C$4:$P$4, 0)),0)</f>
        <v>1714.6242950860437</v>
      </c>
      <c r="J165" s="47">
        <f xml:space="preserve"> _xlfn.IFNA(INDEX('Forecast drivers'!$C$4:$P$111, MATCH(F_interface!$A165&amp;RIGHT(F_interface!J$2, 2),'Forecast drivers'!$C$4:$C$111, 0), MATCH(F_interface!$D165,'Forecast drivers'!$C$4:$P$4, 0)),0)</f>
        <v>1729.7332935715785</v>
      </c>
      <c r="K165" s="47">
        <f xml:space="preserve"> _xlfn.IFNA(INDEX('Forecast drivers'!$C$4:$P$111, MATCH(F_interface!$A165&amp;RIGHT(F_interface!K$2, 2),'Forecast drivers'!$C$4:$C$111, 0), MATCH(F_interface!$D165,'Forecast drivers'!$C$4:$P$4, 0)),0)</f>
        <v>1744.2836312903189</v>
      </c>
      <c r="L165" s="47">
        <f xml:space="preserve"> _xlfn.IFNA(INDEX('Forecast drivers'!$C$4:$P$111, MATCH(F_interface!$A165&amp;RIGHT(F_interface!L$2, 2),'Forecast drivers'!$C$4:$C$111, 0), MATCH(F_interface!$D165,'Forecast drivers'!$C$4:$P$4, 0)),0)</f>
        <v>1758.5161952793567</v>
      </c>
    </row>
    <row r="166" spans="1:12" x14ac:dyDescent="0.25">
      <c r="A166" s="13" t="s">
        <v>6</v>
      </c>
      <c r="B166" s="13" t="s">
        <v>133</v>
      </c>
      <c r="C166" s="12" t="str">
        <f t="shared" si="2"/>
        <v>NWTC_WAD_W_PR19CA004</v>
      </c>
      <c r="D166" s="13" t="s">
        <v>43</v>
      </c>
      <c r="E166" s="13" t="s">
        <v>46</v>
      </c>
      <c r="F166" s="76" t="s">
        <v>32</v>
      </c>
      <c r="G166" s="13" t="s">
        <v>59</v>
      </c>
      <c r="H166" s="47">
        <f xml:space="preserve"> _xlfn.IFNA(INDEX('Forecast drivers'!$C$4:$P$111, MATCH(F_interface!$A166&amp;RIGHT(F_interface!H$2, 2),'Forecast drivers'!$C$4:$C$111, 0), MATCH(F_interface!$D166,'Forecast drivers'!$C$4:$P$4, 0)),0)</f>
        <v>1851.2883295755237</v>
      </c>
      <c r="I166" s="47">
        <f xml:space="preserve"> _xlfn.IFNA(INDEX('Forecast drivers'!$C$4:$P$111, MATCH(F_interface!$A166&amp;RIGHT(F_interface!I$2, 2),'Forecast drivers'!$C$4:$C$111, 0), MATCH(F_interface!$D166,'Forecast drivers'!$C$4:$P$4, 0)),0)</f>
        <v>1861.0386421225892</v>
      </c>
      <c r="J166" s="47">
        <f xml:space="preserve"> _xlfn.IFNA(INDEX('Forecast drivers'!$C$4:$P$111, MATCH(F_interface!$A166&amp;RIGHT(F_interface!J$2, 2),'Forecast drivers'!$C$4:$C$111, 0), MATCH(F_interface!$D166,'Forecast drivers'!$C$4:$P$4, 0)),0)</f>
        <v>1870.7321772264927</v>
      </c>
      <c r="K166" s="47">
        <f xml:space="preserve"> _xlfn.IFNA(INDEX('Forecast drivers'!$C$4:$P$111, MATCH(F_interface!$A166&amp;RIGHT(F_interface!K$2, 2),'Forecast drivers'!$C$4:$C$111, 0), MATCH(F_interface!$D166,'Forecast drivers'!$C$4:$P$4, 0)),0)</f>
        <v>1879.8446841914174</v>
      </c>
      <c r="L166" s="47">
        <f xml:space="preserve"> _xlfn.IFNA(INDEX('Forecast drivers'!$C$4:$P$111, MATCH(F_interface!$A166&amp;RIGHT(F_interface!L$2, 2),'Forecast drivers'!$C$4:$C$111, 0), MATCH(F_interface!$D166,'Forecast drivers'!$C$4:$P$4, 0)),0)</f>
        <v>1889.2157080845902</v>
      </c>
    </row>
    <row r="167" spans="1:12" x14ac:dyDescent="0.25">
      <c r="A167" s="13" t="s">
        <v>7</v>
      </c>
      <c r="B167" s="13" t="s">
        <v>133</v>
      </c>
      <c r="C167" s="12" t="str">
        <f t="shared" si="2"/>
        <v>SRNC_WAD_W_PR19CA004</v>
      </c>
      <c r="D167" s="13" t="s">
        <v>43</v>
      </c>
      <c r="E167" s="13" t="s">
        <v>46</v>
      </c>
      <c r="F167" s="76" t="s">
        <v>32</v>
      </c>
      <c r="G167" s="13" t="s">
        <v>59</v>
      </c>
      <c r="H167" s="47">
        <f xml:space="preserve"> _xlfn.IFNA(INDEX('Forecast drivers'!$C$4:$P$111, MATCH(F_interface!$A167&amp;RIGHT(F_interface!H$2, 2),'Forecast drivers'!$C$4:$C$111, 0), MATCH(F_interface!$D167,'Forecast drivers'!$C$4:$P$4, 0)),0)</f>
        <v>1918.7077796788169</v>
      </c>
      <c r="I167" s="47">
        <f xml:space="preserve"> _xlfn.IFNA(INDEX('Forecast drivers'!$C$4:$P$111, MATCH(F_interface!$A167&amp;RIGHT(F_interface!I$2, 2),'Forecast drivers'!$C$4:$C$111, 0), MATCH(F_interface!$D167,'Forecast drivers'!$C$4:$P$4, 0)),0)</f>
        <v>1927.6254628279496</v>
      </c>
      <c r="J167" s="47">
        <f xml:space="preserve"> _xlfn.IFNA(INDEX('Forecast drivers'!$C$4:$P$111, MATCH(F_interface!$A167&amp;RIGHT(F_interface!J$2, 2),'Forecast drivers'!$C$4:$C$111, 0), MATCH(F_interface!$D167,'Forecast drivers'!$C$4:$P$4, 0)),0)</f>
        <v>1937.3729156498162</v>
      </c>
      <c r="K167" s="47">
        <f xml:space="preserve"> _xlfn.IFNA(INDEX('Forecast drivers'!$C$4:$P$111, MATCH(F_interface!$A167&amp;RIGHT(F_interface!K$2, 2),'Forecast drivers'!$C$4:$C$111, 0), MATCH(F_interface!$D167,'Forecast drivers'!$C$4:$P$4, 0)),0)</f>
        <v>1946.7024938942793</v>
      </c>
      <c r="L167" s="47">
        <f xml:space="preserve"> _xlfn.IFNA(INDEX('Forecast drivers'!$C$4:$P$111, MATCH(F_interface!$A167&amp;RIGHT(F_interface!L$2, 2),'Forecast drivers'!$C$4:$C$111, 0), MATCH(F_interface!$D167,'Forecast drivers'!$C$4:$P$4, 0)),0)</f>
        <v>1957.2450434340867</v>
      </c>
    </row>
    <row r="168" spans="1:12" x14ac:dyDescent="0.25">
      <c r="A168" s="13" t="s">
        <v>89</v>
      </c>
      <c r="B168" s="13" t="s">
        <v>133</v>
      </c>
      <c r="C168" s="12" t="str">
        <f t="shared" si="2"/>
        <v>SVEC_WAD_W_PR19CA004</v>
      </c>
      <c r="D168" s="13" t="s">
        <v>43</v>
      </c>
      <c r="E168" s="13" t="s">
        <v>46</v>
      </c>
      <c r="F168" s="76" t="s">
        <v>32</v>
      </c>
      <c r="G168" s="13" t="s">
        <v>59</v>
      </c>
      <c r="H168" s="47">
        <f xml:space="preserve"> _xlfn.IFNA(INDEX('Forecast drivers'!$C$4:$P$111, MATCH(F_interface!$A168&amp;RIGHT(F_interface!H$2, 2),'Forecast drivers'!$C$4:$C$111, 0), MATCH(F_interface!$D168,'Forecast drivers'!$C$4:$P$4, 0)),0)</f>
        <v>1978.030001570718</v>
      </c>
      <c r="I168" s="47">
        <f xml:space="preserve"> _xlfn.IFNA(INDEX('Forecast drivers'!$C$4:$P$111, MATCH(F_interface!$A168&amp;RIGHT(F_interface!I$2, 2),'Forecast drivers'!$C$4:$C$111, 0), MATCH(F_interface!$D168,'Forecast drivers'!$C$4:$P$4, 0)),0)</f>
        <v>1990.517925152883</v>
      </c>
      <c r="J168" s="47">
        <f xml:space="preserve"> _xlfn.IFNA(INDEX('Forecast drivers'!$C$4:$P$111, MATCH(F_interface!$A168&amp;RIGHT(F_interface!J$2, 2),'Forecast drivers'!$C$4:$C$111, 0), MATCH(F_interface!$D168,'Forecast drivers'!$C$4:$P$4, 0)),0)</f>
        <v>2002.9547150792271</v>
      </c>
      <c r="K168" s="47">
        <f xml:space="preserve"> _xlfn.IFNA(INDEX('Forecast drivers'!$C$4:$P$111, MATCH(F_interface!$A168&amp;RIGHT(F_interface!K$2, 2),'Forecast drivers'!$C$4:$C$111, 0), MATCH(F_interface!$D168,'Forecast drivers'!$C$4:$P$4, 0)),0)</f>
        <v>2015.3054429080898</v>
      </c>
      <c r="L168" s="47">
        <f xml:space="preserve"> _xlfn.IFNA(INDEX('Forecast drivers'!$C$4:$P$111, MATCH(F_interface!$A168&amp;RIGHT(F_interface!L$2, 2),'Forecast drivers'!$C$4:$C$111, 0), MATCH(F_interface!$D168,'Forecast drivers'!$C$4:$P$4, 0)),0)</f>
        <v>2028.0454146138507</v>
      </c>
    </row>
    <row r="169" spans="1:12" x14ac:dyDescent="0.25">
      <c r="A169" s="13" t="s">
        <v>93</v>
      </c>
      <c r="B169" s="13" t="s">
        <v>133</v>
      </c>
      <c r="C169" s="12" t="str">
        <f t="shared" si="2"/>
        <v>SVHC_WAD_W_PR19CA004</v>
      </c>
      <c r="D169" s="13" t="s">
        <v>43</v>
      </c>
      <c r="E169" s="13" t="s">
        <v>46</v>
      </c>
      <c r="F169" s="76" t="s">
        <v>32</v>
      </c>
      <c r="G169" s="13" t="s">
        <v>59</v>
      </c>
      <c r="H169" s="47">
        <f xml:space="preserve"> _xlfn.IFNA(INDEX('Forecast drivers'!$C$4:$P$111, MATCH(F_interface!$A169&amp;RIGHT(F_interface!H$2, 2),'Forecast drivers'!$C$4:$C$111, 0), MATCH(F_interface!$D169,'Forecast drivers'!$C$4:$P$4, 0)),0)</f>
        <v>1926.716543912609</v>
      </c>
      <c r="I169" s="47">
        <f xml:space="preserve"> _xlfn.IFNA(INDEX('Forecast drivers'!$C$4:$P$111, MATCH(F_interface!$A169&amp;RIGHT(F_interface!I$2, 2),'Forecast drivers'!$C$4:$C$111, 0), MATCH(F_interface!$D169,'Forecast drivers'!$C$4:$P$4, 0)),0)</f>
        <v>1938.9492321400942</v>
      </c>
      <c r="J169" s="47">
        <f xml:space="preserve"> _xlfn.IFNA(INDEX('Forecast drivers'!$C$4:$P$111, MATCH(F_interface!$A169&amp;RIGHT(F_interface!J$2, 2),'Forecast drivers'!$C$4:$C$111, 0), MATCH(F_interface!$D169,'Forecast drivers'!$C$4:$P$4, 0)),0)</f>
        <v>1951.1313913410045</v>
      </c>
      <c r="K169" s="47">
        <f xml:space="preserve"> _xlfn.IFNA(INDEX('Forecast drivers'!$C$4:$P$111, MATCH(F_interface!$A169&amp;RIGHT(F_interface!K$2, 2),'Forecast drivers'!$C$4:$C$111, 0), MATCH(F_interface!$D169,'Forecast drivers'!$C$4:$P$4, 0)),0)</f>
        <v>1963.2214313079592</v>
      </c>
      <c r="L169" s="47">
        <f xml:space="preserve"> _xlfn.IFNA(INDEX('Forecast drivers'!$C$4:$P$111, MATCH(F_interface!$A169&amp;RIGHT(F_interface!L$2, 2),'Forecast drivers'!$C$4:$C$111, 0), MATCH(F_interface!$D169,'Forecast drivers'!$C$4:$P$4, 0)),0)</f>
        <v>1975.6962246964158</v>
      </c>
    </row>
    <row r="170" spans="1:12" x14ac:dyDescent="0.25">
      <c r="A170" s="13" t="s">
        <v>8</v>
      </c>
      <c r="B170" s="13" t="s">
        <v>133</v>
      </c>
      <c r="C170" s="12" t="str">
        <f t="shared" si="2"/>
        <v>SVTC_WAD_W_PR19CA004</v>
      </c>
      <c r="D170" s="13" t="s">
        <v>43</v>
      </c>
      <c r="E170" s="13" t="s">
        <v>46</v>
      </c>
      <c r="F170" s="76" t="s">
        <v>32</v>
      </c>
      <c r="G170" s="13" t="s">
        <v>59</v>
      </c>
      <c r="H170" s="47">
        <f xml:space="preserve"> _xlfn.IFNA(INDEX('Forecast drivers'!$C$4:$P$111, MATCH(F_interface!$A170&amp;RIGHT(F_interface!H$2, 2),'Forecast drivers'!$C$4:$C$111, 0), MATCH(F_interface!$D170,'Forecast drivers'!$C$4:$P$4, 0)),0)</f>
        <v>1978.030001570718</v>
      </c>
      <c r="I170" s="47">
        <f xml:space="preserve"> _xlfn.IFNA(INDEX('Forecast drivers'!$C$4:$P$111, MATCH(F_interface!$A170&amp;RIGHT(F_interface!I$2, 2),'Forecast drivers'!$C$4:$C$111, 0), MATCH(F_interface!$D170,'Forecast drivers'!$C$4:$P$4, 0)),0)</f>
        <v>1990.517925152883</v>
      </c>
      <c r="J170" s="47">
        <f xml:space="preserve"> _xlfn.IFNA(INDEX('Forecast drivers'!$C$4:$P$111, MATCH(F_interface!$A170&amp;RIGHT(F_interface!J$2, 2),'Forecast drivers'!$C$4:$C$111, 0), MATCH(F_interface!$D170,'Forecast drivers'!$C$4:$P$4, 0)),0)</f>
        <v>2002.9547150792271</v>
      </c>
      <c r="K170" s="47">
        <f xml:space="preserve"> _xlfn.IFNA(INDEX('Forecast drivers'!$C$4:$P$111, MATCH(F_interface!$A170&amp;RIGHT(F_interface!K$2, 2),'Forecast drivers'!$C$4:$C$111, 0), MATCH(F_interface!$D170,'Forecast drivers'!$C$4:$P$4, 0)),0)</f>
        <v>2015.3054429080898</v>
      </c>
      <c r="L170" s="47">
        <f xml:space="preserve"> _xlfn.IFNA(INDEX('Forecast drivers'!$C$4:$P$111, MATCH(F_interface!$A170&amp;RIGHT(F_interface!L$2, 2),'Forecast drivers'!$C$4:$C$111, 0), MATCH(F_interface!$D170,'Forecast drivers'!$C$4:$P$4, 0)),0)</f>
        <v>2028.0454146138507</v>
      </c>
    </row>
    <row r="171" spans="1:12" x14ac:dyDescent="0.25">
      <c r="A171" s="13" t="s">
        <v>19</v>
      </c>
      <c r="B171" s="13" t="s">
        <v>133</v>
      </c>
      <c r="C171" s="12" t="str">
        <f t="shared" si="2"/>
        <v>SWBC_WAD_W_PR19CA004</v>
      </c>
      <c r="D171" s="13" t="s">
        <v>43</v>
      </c>
      <c r="E171" s="13" t="s">
        <v>46</v>
      </c>
      <c r="F171" s="76" t="s">
        <v>32</v>
      </c>
      <c r="G171" s="13" t="s">
        <v>59</v>
      </c>
      <c r="H171" s="47">
        <f xml:space="preserve"> _xlfn.IFNA(INDEX('Forecast drivers'!$C$4:$P$111, MATCH(F_interface!$A171&amp;RIGHT(F_interface!H$2, 2),'Forecast drivers'!$C$4:$C$111, 0), MATCH(F_interface!$D171,'Forecast drivers'!$C$4:$P$4, 0)),0)</f>
        <v>1178.0825934159802</v>
      </c>
      <c r="I171" s="47">
        <f xml:space="preserve"> _xlfn.IFNA(INDEX('Forecast drivers'!$C$4:$P$111, MATCH(F_interface!$A171&amp;RIGHT(F_interface!I$2, 2),'Forecast drivers'!$C$4:$C$111, 0), MATCH(F_interface!$D171,'Forecast drivers'!$C$4:$P$4, 0)),0)</f>
        <v>1181.8195934016801</v>
      </c>
      <c r="J171" s="47">
        <f xml:space="preserve"> _xlfn.IFNA(INDEX('Forecast drivers'!$C$4:$P$111, MATCH(F_interface!$A171&amp;RIGHT(F_interface!J$2, 2),'Forecast drivers'!$C$4:$C$111, 0), MATCH(F_interface!$D171,'Forecast drivers'!$C$4:$P$4, 0)),0)</f>
        <v>1185.866993071294</v>
      </c>
      <c r="K171" s="47">
        <f xml:space="preserve"> _xlfn.IFNA(INDEX('Forecast drivers'!$C$4:$P$111, MATCH(F_interface!$A171&amp;RIGHT(F_interface!K$2, 2),'Forecast drivers'!$C$4:$C$111, 0), MATCH(F_interface!$D171,'Forecast drivers'!$C$4:$P$4, 0)),0)</f>
        <v>1190.0162099750314</v>
      </c>
      <c r="L171" s="47">
        <f xml:space="preserve"> _xlfn.IFNA(INDEX('Forecast drivers'!$C$4:$P$111, MATCH(F_interface!$A171&amp;RIGHT(F_interface!L$2, 2),'Forecast drivers'!$C$4:$C$111, 0), MATCH(F_interface!$D171,'Forecast drivers'!$C$4:$P$4, 0)),0)</f>
        <v>1195.7543430985265</v>
      </c>
    </row>
    <row r="172" spans="1:12" x14ac:dyDescent="0.25">
      <c r="A172" s="13" t="s">
        <v>9</v>
      </c>
      <c r="B172" s="13" t="s">
        <v>133</v>
      </c>
      <c r="C172" s="12" t="str">
        <f t="shared" si="2"/>
        <v>TMSC_WAD_W_PR19CA004</v>
      </c>
      <c r="D172" s="13" t="s">
        <v>43</v>
      </c>
      <c r="E172" s="13" t="s">
        <v>46</v>
      </c>
      <c r="F172" s="76" t="s">
        <v>32</v>
      </c>
      <c r="G172" s="13" t="s">
        <v>59</v>
      </c>
      <c r="H172" s="47">
        <f xml:space="preserve"> _xlfn.IFNA(INDEX('Forecast drivers'!$C$4:$P$111, MATCH(F_interface!$A172&amp;RIGHT(F_interface!H$2, 2),'Forecast drivers'!$C$4:$C$111, 0), MATCH(F_interface!$D172,'Forecast drivers'!$C$4:$P$4, 0)),0)</f>
        <v>6541.4273696761202</v>
      </c>
      <c r="I172" s="47">
        <f xml:space="preserve"> _xlfn.IFNA(INDEX('Forecast drivers'!$C$4:$P$111, MATCH(F_interface!$A172&amp;RIGHT(F_interface!I$2, 2),'Forecast drivers'!$C$4:$C$111, 0), MATCH(F_interface!$D172,'Forecast drivers'!$C$4:$P$4, 0)),0)</f>
        <v>6602.6112811814446</v>
      </c>
      <c r="J172" s="47">
        <f xml:space="preserve"> _xlfn.IFNA(INDEX('Forecast drivers'!$C$4:$P$111, MATCH(F_interface!$A172&amp;RIGHT(F_interface!J$2, 2),'Forecast drivers'!$C$4:$C$111, 0), MATCH(F_interface!$D172,'Forecast drivers'!$C$4:$P$4, 0)),0)</f>
        <v>6657.7365958377095</v>
      </c>
      <c r="K172" s="47">
        <f xml:space="preserve"> _xlfn.IFNA(INDEX('Forecast drivers'!$C$4:$P$111, MATCH(F_interface!$A172&amp;RIGHT(F_interface!K$2, 2),'Forecast drivers'!$C$4:$C$111, 0), MATCH(F_interface!$D172,'Forecast drivers'!$C$4:$P$4, 0)),0)</f>
        <v>6706.6384140754626</v>
      </c>
      <c r="L172" s="47">
        <f xml:space="preserve"> _xlfn.IFNA(INDEX('Forecast drivers'!$C$4:$P$111, MATCH(F_interface!$A172&amp;RIGHT(F_interface!L$2, 2),'Forecast drivers'!$C$4:$C$111, 0), MATCH(F_interface!$D172,'Forecast drivers'!$C$4:$P$4, 0)),0)</f>
        <v>6753.9048540880367</v>
      </c>
    </row>
    <row r="173" spans="1:12" x14ac:dyDescent="0.25">
      <c r="A173" s="13" t="s">
        <v>23</v>
      </c>
      <c r="B173" s="13" t="s">
        <v>133</v>
      </c>
      <c r="C173" s="12" t="str">
        <f t="shared" si="2"/>
        <v>WSHC_WAD_W_PR19CA004</v>
      </c>
      <c r="D173" s="13" t="s">
        <v>43</v>
      </c>
      <c r="E173" s="13" t="s">
        <v>46</v>
      </c>
      <c r="F173" s="76" t="s">
        <v>32</v>
      </c>
      <c r="G173" s="13" t="s">
        <v>59</v>
      </c>
      <c r="H173" s="47">
        <f xml:space="preserve"> _xlfn.IFNA(INDEX('Forecast drivers'!$C$4:$P$111, MATCH(F_interface!$A173&amp;RIGHT(F_interface!H$2, 2),'Forecast drivers'!$C$4:$C$111, 0), MATCH(F_interface!$D173,'Forecast drivers'!$C$4:$P$4, 0)),0)</f>
        <v>637.90716157840734</v>
      </c>
      <c r="I173" s="47">
        <f xml:space="preserve"> _xlfn.IFNA(INDEX('Forecast drivers'!$C$4:$P$111, MATCH(F_interface!$A173&amp;RIGHT(F_interface!I$2, 2),'Forecast drivers'!$C$4:$C$111, 0), MATCH(F_interface!$D173,'Forecast drivers'!$C$4:$P$4, 0)),0)</f>
        <v>643.40626575007593</v>
      </c>
      <c r="J173" s="47">
        <f xml:space="preserve"> _xlfn.IFNA(INDEX('Forecast drivers'!$C$4:$P$111, MATCH(F_interface!$A173&amp;RIGHT(F_interface!J$2, 2),'Forecast drivers'!$C$4:$C$111, 0), MATCH(F_interface!$D173,'Forecast drivers'!$C$4:$P$4, 0)),0)</f>
        <v>649.06728080807989</v>
      </c>
      <c r="K173" s="47">
        <f xml:space="preserve"> _xlfn.IFNA(INDEX('Forecast drivers'!$C$4:$P$111, MATCH(F_interface!$A173&amp;RIGHT(F_interface!K$2, 2),'Forecast drivers'!$C$4:$C$111, 0), MATCH(F_interface!$D173,'Forecast drivers'!$C$4:$P$4, 0)),0)</f>
        <v>654.87707974186355</v>
      </c>
      <c r="L173" s="47">
        <f xml:space="preserve"> _xlfn.IFNA(INDEX('Forecast drivers'!$C$4:$P$111, MATCH(F_interface!$A173&amp;RIGHT(F_interface!L$2, 2),'Forecast drivers'!$C$4:$C$111, 0), MATCH(F_interface!$D173,'Forecast drivers'!$C$4:$P$4, 0)),0)</f>
        <v>660.78340383617569</v>
      </c>
    </row>
    <row r="174" spans="1:12" x14ac:dyDescent="0.25">
      <c r="A174" s="13" t="s">
        <v>10</v>
      </c>
      <c r="B174" s="13" t="s">
        <v>133</v>
      </c>
      <c r="C174" s="12" t="str">
        <f t="shared" si="2"/>
        <v>WSXC_WAD_W_PR19CA004</v>
      </c>
      <c r="D174" s="13" t="s">
        <v>43</v>
      </c>
      <c r="E174" s="13" t="s">
        <v>46</v>
      </c>
      <c r="F174" s="76" t="s">
        <v>32</v>
      </c>
      <c r="G174" s="13" t="s">
        <v>59</v>
      </c>
      <c r="H174" s="47">
        <f xml:space="preserve"> _xlfn.IFNA(INDEX('Forecast drivers'!$C$4:$P$111, MATCH(F_interface!$A174&amp;RIGHT(F_interface!H$2, 2),'Forecast drivers'!$C$4:$C$111, 0), MATCH(F_interface!$D174,'Forecast drivers'!$C$4:$P$4, 0)),0)</f>
        <v>265.1560737501859</v>
      </c>
      <c r="I174" s="47">
        <f xml:space="preserve"> _xlfn.IFNA(INDEX('Forecast drivers'!$C$4:$P$111, MATCH(F_interface!$A174&amp;RIGHT(F_interface!I$2, 2),'Forecast drivers'!$C$4:$C$111, 0), MATCH(F_interface!$D174,'Forecast drivers'!$C$4:$P$4, 0)),0)</f>
        <v>266.35492712028952</v>
      </c>
      <c r="J174" s="47">
        <f xml:space="preserve"> _xlfn.IFNA(INDEX('Forecast drivers'!$C$4:$P$111, MATCH(F_interface!$A174&amp;RIGHT(F_interface!J$2, 2),'Forecast drivers'!$C$4:$C$111, 0), MATCH(F_interface!$D174,'Forecast drivers'!$C$4:$P$4, 0)),0)</f>
        <v>267.53887521874719</v>
      </c>
      <c r="K174" s="47">
        <f xml:space="preserve"> _xlfn.IFNA(INDEX('Forecast drivers'!$C$4:$P$111, MATCH(F_interface!$A174&amp;RIGHT(F_interface!K$2, 2),'Forecast drivers'!$C$4:$C$111, 0), MATCH(F_interface!$D174,'Forecast drivers'!$C$4:$P$4, 0)),0)</f>
        <v>268.73297878268562</v>
      </c>
      <c r="L174" s="47">
        <f xml:space="preserve"> _xlfn.IFNA(INDEX('Forecast drivers'!$C$4:$P$111, MATCH(F_interface!$A174&amp;RIGHT(F_interface!L$2, 2),'Forecast drivers'!$C$4:$C$111, 0), MATCH(F_interface!$D174,'Forecast drivers'!$C$4:$P$4, 0)),0)</f>
        <v>269.95507289619133</v>
      </c>
    </row>
    <row r="175" spans="1:12" x14ac:dyDescent="0.25">
      <c r="A175" s="13" t="s">
        <v>11</v>
      </c>
      <c r="B175" s="13" t="s">
        <v>133</v>
      </c>
      <c r="C175" s="12" t="str">
        <f t="shared" si="2"/>
        <v>YKYC_WAD_W_PR19CA004</v>
      </c>
      <c r="D175" s="13" t="s">
        <v>43</v>
      </c>
      <c r="E175" s="13" t="s">
        <v>46</v>
      </c>
      <c r="F175" s="76" t="s">
        <v>32</v>
      </c>
      <c r="G175" s="13" t="s">
        <v>59</v>
      </c>
      <c r="H175" s="47">
        <f xml:space="preserve"> _xlfn.IFNA(INDEX('Forecast drivers'!$C$4:$P$111, MATCH(F_interface!$A175&amp;RIGHT(F_interface!H$2, 2),'Forecast drivers'!$C$4:$C$111, 0), MATCH(F_interface!$D175,'Forecast drivers'!$C$4:$P$4, 0)),0)</f>
        <v>1087.1228477718885</v>
      </c>
      <c r="I175" s="47">
        <f xml:space="preserve"> _xlfn.IFNA(INDEX('Forecast drivers'!$C$4:$P$111, MATCH(F_interface!$A175&amp;RIGHT(F_interface!I$2, 2),'Forecast drivers'!$C$4:$C$111, 0), MATCH(F_interface!$D175,'Forecast drivers'!$C$4:$P$4, 0)),0)</f>
        <v>1090.7399057086025</v>
      </c>
      <c r="J175" s="47">
        <f xml:space="preserve"> _xlfn.IFNA(INDEX('Forecast drivers'!$C$4:$P$111, MATCH(F_interface!$A175&amp;RIGHT(F_interface!J$2, 2),'Forecast drivers'!$C$4:$C$111, 0), MATCH(F_interface!$D175,'Forecast drivers'!$C$4:$P$4, 0)),0)</f>
        <v>1094.1963550509363</v>
      </c>
      <c r="K175" s="47">
        <f xml:space="preserve"> _xlfn.IFNA(INDEX('Forecast drivers'!$C$4:$P$111, MATCH(F_interface!$A175&amp;RIGHT(F_interface!K$2, 2),'Forecast drivers'!$C$4:$C$111, 0), MATCH(F_interface!$D175,'Forecast drivers'!$C$4:$P$4, 0)),0)</f>
        <v>1097.7325213681636</v>
      </c>
      <c r="L175" s="47">
        <f xml:space="preserve"> _xlfn.IFNA(INDEX('Forecast drivers'!$C$4:$P$111, MATCH(F_interface!$A175&amp;RIGHT(F_interface!L$2, 2),'Forecast drivers'!$C$4:$C$111, 0), MATCH(F_interface!$D175,'Forecast drivers'!$C$4:$P$4, 0)),0)</f>
        <v>1101.3173755078765</v>
      </c>
    </row>
    <row r="176" spans="1:12" x14ac:dyDescent="0.25">
      <c r="A176" s="13" t="s">
        <v>12</v>
      </c>
      <c r="B176" s="13" t="s">
        <v>133</v>
      </c>
      <c r="C176" s="12" t="str">
        <f t="shared" si="2"/>
        <v>AFWC_WAD_W_PR19CA004</v>
      </c>
      <c r="D176" s="13" t="s">
        <v>43</v>
      </c>
      <c r="E176" s="13" t="s">
        <v>46</v>
      </c>
      <c r="F176" s="76" t="s">
        <v>32</v>
      </c>
      <c r="G176" s="13" t="s">
        <v>59</v>
      </c>
      <c r="H176" s="47">
        <f xml:space="preserve"> _xlfn.IFNA(INDEX('Forecast drivers'!$C$4:$P$111, MATCH(F_interface!$A176&amp;RIGHT(F_interface!H$2, 2),'Forecast drivers'!$C$4:$C$111, 0), MATCH(F_interface!$D176,'Forecast drivers'!$C$4:$P$4, 0)),0)</f>
        <v>2719.6334631264458</v>
      </c>
      <c r="I176" s="47">
        <f xml:space="preserve"> _xlfn.IFNA(INDEX('Forecast drivers'!$C$4:$P$111, MATCH(F_interface!$A176&amp;RIGHT(F_interface!I$2, 2),'Forecast drivers'!$C$4:$C$111, 0), MATCH(F_interface!$D176,'Forecast drivers'!$C$4:$P$4, 0)),0)</f>
        <v>2736.1748377666581</v>
      </c>
      <c r="J176" s="47">
        <f xml:space="preserve"> _xlfn.IFNA(INDEX('Forecast drivers'!$C$4:$P$111, MATCH(F_interface!$A176&amp;RIGHT(F_interface!J$2, 2),'Forecast drivers'!$C$4:$C$111, 0), MATCH(F_interface!$D176,'Forecast drivers'!$C$4:$P$4, 0)),0)</f>
        <v>2751.3650425982491</v>
      </c>
      <c r="K176" s="47">
        <f xml:space="preserve"> _xlfn.IFNA(INDEX('Forecast drivers'!$C$4:$P$111, MATCH(F_interface!$A176&amp;RIGHT(F_interface!K$2, 2),'Forecast drivers'!$C$4:$C$111, 0), MATCH(F_interface!$D176,'Forecast drivers'!$C$4:$P$4, 0)),0)</f>
        <v>2764.4670317503519</v>
      </c>
      <c r="L176" s="47">
        <f xml:space="preserve"> _xlfn.IFNA(INDEX('Forecast drivers'!$C$4:$P$111, MATCH(F_interface!$A176&amp;RIGHT(F_interface!L$2, 2),'Forecast drivers'!$C$4:$C$111, 0), MATCH(F_interface!$D176,'Forecast drivers'!$C$4:$P$4, 0)),0)</f>
        <v>2777.2645282361864</v>
      </c>
    </row>
    <row r="177" spans="1:12" x14ac:dyDescent="0.25">
      <c r="A177" s="13" t="s">
        <v>13</v>
      </c>
      <c r="B177" s="13" t="s">
        <v>133</v>
      </c>
      <c r="C177" s="12" t="str">
        <f t="shared" si="2"/>
        <v>BRLC_WAD_W_PR19CA004</v>
      </c>
      <c r="D177" s="13" t="s">
        <v>43</v>
      </c>
      <c r="E177" s="13" t="s">
        <v>46</v>
      </c>
      <c r="F177" s="76" t="s">
        <v>32</v>
      </c>
      <c r="G177" s="13" t="s">
        <v>59</v>
      </c>
      <c r="H177" s="47">
        <f xml:space="preserve"> _xlfn.IFNA(INDEX('Forecast drivers'!$C$4:$P$111, MATCH(F_interface!$A177&amp;RIGHT(F_interface!H$2, 2),'Forecast drivers'!$C$4:$C$111, 0), MATCH(F_interface!$D177,'Forecast drivers'!$C$4:$P$4, 0)),0)</f>
        <v>1928.4145723898973</v>
      </c>
      <c r="I177" s="47">
        <f xml:space="preserve"> _xlfn.IFNA(INDEX('Forecast drivers'!$C$4:$P$111, MATCH(F_interface!$A177&amp;RIGHT(F_interface!I$2, 2),'Forecast drivers'!$C$4:$C$111, 0), MATCH(F_interface!$D177,'Forecast drivers'!$C$4:$P$4, 0)),0)</f>
        <v>1944.4171875257127</v>
      </c>
      <c r="J177" s="47">
        <f xml:space="preserve"> _xlfn.IFNA(INDEX('Forecast drivers'!$C$4:$P$111, MATCH(F_interface!$A177&amp;RIGHT(F_interface!J$2, 2),'Forecast drivers'!$C$4:$C$111, 0), MATCH(F_interface!$D177,'Forecast drivers'!$C$4:$P$4, 0)),0)</f>
        <v>1960.050085295321</v>
      </c>
      <c r="K177" s="47">
        <f xml:space="preserve"> _xlfn.IFNA(INDEX('Forecast drivers'!$C$4:$P$111, MATCH(F_interface!$A177&amp;RIGHT(F_interface!K$2, 2),'Forecast drivers'!$C$4:$C$111, 0), MATCH(F_interface!$D177,'Forecast drivers'!$C$4:$P$4, 0)),0)</f>
        <v>1975.5446464915258</v>
      </c>
      <c r="L177" s="47">
        <f xml:space="preserve"> _xlfn.IFNA(INDEX('Forecast drivers'!$C$4:$P$111, MATCH(F_interface!$A177&amp;RIGHT(F_interface!L$2, 2),'Forecast drivers'!$C$4:$C$111, 0), MATCH(F_interface!$D177,'Forecast drivers'!$C$4:$P$4, 0)),0)</f>
        <v>1991.1695843731068</v>
      </c>
    </row>
    <row r="178" spans="1:12" x14ac:dyDescent="0.25">
      <c r="A178" s="13" t="s">
        <v>14</v>
      </c>
      <c r="B178" s="13" t="s">
        <v>133</v>
      </c>
      <c r="C178" s="12" t="str">
        <f t="shared" si="2"/>
        <v>DVWC_WAD_W_PR19CA004</v>
      </c>
      <c r="D178" s="13" t="s">
        <v>43</v>
      </c>
      <c r="E178" s="13" t="s">
        <v>46</v>
      </c>
      <c r="F178" s="76" t="s">
        <v>32</v>
      </c>
      <c r="G178" s="13" t="s">
        <v>59</v>
      </c>
      <c r="H178" s="47">
        <f xml:space="preserve"> _xlfn.IFNA(INDEX('Forecast drivers'!$C$4:$P$111, MATCH(F_interface!$A178&amp;RIGHT(F_interface!H$2, 2),'Forecast drivers'!$C$4:$C$111, 0), MATCH(F_interface!$D178,'Forecast drivers'!$C$4:$P$4, 0)),0)</f>
        <v>319.87524027724618</v>
      </c>
      <c r="I178" s="47">
        <f xml:space="preserve"> _xlfn.IFNA(INDEX('Forecast drivers'!$C$4:$P$111, MATCH(F_interface!$A178&amp;RIGHT(F_interface!I$2, 2),'Forecast drivers'!$C$4:$C$111, 0), MATCH(F_interface!$D178,'Forecast drivers'!$C$4:$P$4, 0)),0)</f>
        <v>320.9720880517396</v>
      </c>
      <c r="J178" s="47">
        <f xml:space="preserve"> _xlfn.IFNA(INDEX('Forecast drivers'!$C$4:$P$111, MATCH(F_interface!$A178&amp;RIGHT(F_interface!J$2, 2),'Forecast drivers'!$C$4:$C$111, 0), MATCH(F_interface!$D178,'Forecast drivers'!$C$4:$P$4, 0)),0)</f>
        <v>322.02303471270892</v>
      </c>
      <c r="K178" s="47">
        <f xml:space="preserve"> _xlfn.IFNA(INDEX('Forecast drivers'!$C$4:$P$111, MATCH(F_interface!$A178&amp;RIGHT(F_interface!K$2, 2),'Forecast drivers'!$C$4:$C$111, 0), MATCH(F_interface!$D178,'Forecast drivers'!$C$4:$P$4, 0)),0)</f>
        <v>323.06354527983081</v>
      </c>
      <c r="L178" s="47">
        <f xml:space="preserve"> _xlfn.IFNA(INDEX('Forecast drivers'!$C$4:$P$111, MATCH(F_interface!$A178&amp;RIGHT(F_interface!L$2, 2),'Forecast drivers'!$C$4:$C$111, 0), MATCH(F_interface!$D178,'Forecast drivers'!$C$4:$P$4, 0)),0)</f>
        <v>324.08344250438199</v>
      </c>
    </row>
    <row r="179" spans="1:12" x14ac:dyDescent="0.25">
      <c r="A179" s="13" t="s">
        <v>15</v>
      </c>
      <c r="B179" s="13" t="s">
        <v>133</v>
      </c>
      <c r="C179" s="12" t="str">
        <f t="shared" si="2"/>
        <v>PRTC_WAD_W_PR19CA004</v>
      </c>
      <c r="D179" s="13" t="s">
        <v>43</v>
      </c>
      <c r="E179" s="13" t="s">
        <v>46</v>
      </c>
      <c r="F179" s="76" t="s">
        <v>32</v>
      </c>
      <c r="G179" s="13" t="s">
        <v>59</v>
      </c>
      <c r="H179" s="47">
        <f xml:space="preserve"> _xlfn.IFNA(INDEX('Forecast drivers'!$C$4:$P$111, MATCH(F_interface!$A179&amp;RIGHT(F_interface!H$2, 2),'Forecast drivers'!$C$4:$C$111, 0), MATCH(F_interface!$D179,'Forecast drivers'!$C$4:$P$4, 0)),0)</f>
        <v>2896.9291541456678</v>
      </c>
      <c r="I179" s="47">
        <f xml:space="preserve"> _xlfn.IFNA(INDEX('Forecast drivers'!$C$4:$P$111, MATCH(F_interface!$A179&amp;RIGHT(F_interface!I$2, 2),'Forecast drivers'!$C$4:$C$111, 0), MATCH(F_interface!$D179,'Forecast drivers'!$C$4:$P$4, 0)),0)</f>
        <v>2907.4302093149845</v>
      </c>
      <c r="J179" s="47">
        <f xml:space="preserve"> _xlfn.IFNA(INDEX('Forecast drivers'!$C$4:$P$111, MATCH(F_interface!$A179&amp;RIGHT(F_interface!J$2, 2),'Forecast drivers'!$C$4:$C$111, 0), MATCH(F_interface!$D179,'Forecast drivers'!$C$4:$P$4, 0)),0)</f>
        <v>2915.9867882077074</v>
      </c>
      <c r="K179" s="47">
        <f xml:space="preserve"> _xlfn.IFNA(INDEX('Forecast drivers'!$C$4:$P$111, MATCH(F_interface!$A179&amp;RIGHT(F_interface!K$2, 2),'Forecast drivers'!$C$4:$C$111, 0), MATCH(F_interface!$D179,'Forecast drivers'!$C$4:$P$4, 0)),0)</f>
        <v>2927.4435347827584</v>
      </c>
      <c r="L179" s="47">
        <f xml:space="preserve"> _xlfn.IFNA(INDEX('Forecast drivers'!$C$4:$P$111, MATCH(F_interface!$A179&amp;RIGHT(F_interface!L$2, 2),'Forecast drivers'!$C$4:$C$111, 0), MATCH(F_interface!$D179,'Forecast drivers'!$C$4:$P$4, 0)),0)</f>
        <v>2938.2783081149473</v>
      </c>
    </row>
    <row r="180" spans="1:12" x14ac:dyDescent="0.25">
      <c r="A180" s="13" t="s">
        <v>16</v>
      </c>
      <c r="B180" s="13" t="s">
        <v>133</v>
      </c>
      <c r="C180" s="12" t="str">
        <f t="shared" si="2"/>
        <v>SESC_WAD_W_PR19CA004</v>
      </c>
      <c r="D180" s="13" t="s">
        <v>43</v>
      </c>
      <c r="E180" s="13" t="s">
        <v>46</v>
      </c>
      <c r="F180" s="76" t="s">
        <v>32</v>
      </c>
      <c r="G180" s="13" t="s">
        <v>59</v>
      </c>
      <c r="H180" s="47">
        <f xml:space="preserve"> _xlfn.IFNA(INDEX('Forecast drivers'!$C$4:$P$111, MATCH(F_interface!$A180&amp;RIGHT(F_interface!H$2, 2),'Forecast drivers'!$C$4:$C$111, 0), MATCH(F_interface!$D180,'Forecast drivers'!$C$4:$P$4, 0)),0)</f>
        <v>2731.607343628019</v>
      </c>
      <c r="I180" s="47">
        <f xml:space="preserve"> _xlfn.IFNA(INDEX('Forecast drivers'!$C$4:$P$111, MATCH(F_interface!$A180&amp;RIGHT(F_interface!I$2, 2),'Forecast drivers'!$C$4:$C$111, 0), MATCH(F_interface!$D180,'Forecast drivers'!$C$4:$P$4, 0)),0)</f>
        <v>2757.1539747161469</v>
      </c>
      <c r="J180" s="47">
        <f xml:space="preserve"> _xlfn.IFNA(INDEX('Forecast drivers'!$C$4:$P$111, MATCH(F_interface!$A180&amp;RIGHT(F_interface!J$2, 2),'Forecast drivers'!$C$4:$C$111, 0), MATCH(F_interface!$D180,'Forecast drivers'!$C$4:$P$4, 0)),0)</f>
        <v>2781.0497706377655</v>
      </c>
      <c r="K180" s="47">
        <f xml:space="preserve"> _xlfn.IFNA(INDEX('Forecast drivers'!$C$4:$P$111, MATCH(F_interface!$A180&amp;RIGHT(F_interface!K$2, 2),'Forecast drivers'!$C$4:$C$111, 0), MATCH(F_interface!$D180,'Forecast drivers'!$C$4:$P$4, 0)),0)</f>
        <v>2803.9872389923125</v>
      </c>
      <c r="L180" s="47">
        <f xml:space="preserve"> _xlfn.IFNA(INDEX('Forecast drivers'!$C$4:$P$111, MATCH(F_interface!$A180&amp;RIGHT(F_interface!L$2, 2),'Forecast drivers'!$C$4:$C$111, 0), MATCH(F_interface!$D180,'Forecast drivers'!$C$4:$P$4, 0)),0)</f>
        <v>2825.4641939259736</v>
      </c>
    </row>
    <row r="181" spans="1:12" x14ac:dyDescent="0.25">
      <c r="A181" s="13" t="s">
        <v>17</v>
      </c>
      <c r="B181" s="13" t="s">
        <v>133</v>
      </c>
      <c r="C181" s="12" t="str">
        <f t="shared" si="2"/>
        <v>SEWC_WAD_W_PR19CA004</v>
      </c>
      <c r="D181" s="13" t="s">
        <v>43</v>
      </c>
      <c r="E181" s="13" t="s">
        <v>46</v>
      </c>
      <c r="F181" s="76" t="s">
        <v>32</v>
      </c>
      <c r="G181" s="13" t="s">
        <v>59</v>
      </c>
      <c r="H181" s="47">
        <f xml:space="preserve"> _xlfn.IFNA(INDEX('Forecast drivers'!$C$4:$P$111, MATCH(F_interface!$A181&amp;RIGHT(F_interface!H$2, 2),'Forecast drivers'!$C$4:$C$111, 0), MATCH(F_interface!$D181,'Forecast drivers'!$C$4:$P$4, 0)),0)</f>
        <v>711.80468381000549</v>
      </c>
      <c r="I181" s="47">
        <f xml:space="preserve"> _xlfn.IFNA(INDEX('Forecast drivers'!$C$4:$P$111, MATCH(F_interface!$A181&amp;RIGHT(F_interface!I$2, 2),'Forecast drivers'!$C$4:$C$111, 0), MATCH(F_interface!$D181,'Forecast drivers'!$C$4:$P$4, 0)),0)</f>
        <v>715.39142421849851</v>
      </c>
      <c r="J181" s="47">
        <f xml:space="preserve"> _xlfn.IFNA(INDEX('Forecast drivers'!$C$4:$P$111, MATCH(F_interface!$A181&amp;RIGHT(F_interface!J$2, 2),'Forecast drivers'!$C$4:$C$111, 0), MATCH(F_interface!$D181,'Forecast drivers'!$C$4:$P$4, 0)),0)</f>
        <v>719.11335381448532</v>
      </c>
      <c r="K181" s="47">
        <f xml:space="preserve"> _xlfn.IFNA(INDEX('Forecast drivers'!$C$4:$P$111, MATCH(F_interface!$A181&amp;RIGHT(F_interface!K$2, 2),'Forecast drivers'!$C$4:$C$111, 0), MATCH(F_interface!$D181,'Forecast drivers'!$C$4:$P$4, 0)),0)</f>
        <v>722.45070433870251</v>
      </c>
      <c r="L181" s="47">
        <f xml:space="preserve"> _xlfn.IFNA(INDEX('Forecast drivers'!$C$4:$P$111, MATCH(F_interface!$A181&amp;RIGHT(F_interface!L$2, 2),'Forecast drivers'!$C$4:$C$111, 0), MATCH(F_interface!$D181,'Forecast drivers'!$C$4:$P$4, 0)),0)</f>
        <v>725.887461053224</v>
      </c>
    </row>
    <row r="182" spans="1:12" x14ac:dyDescent="0.25">
      <c r="A182" s="13" t="s">
        <v>18</v>
      </c>
      <c r="B182" s="13" t="s">
        <v>133</v>
      </c>
      <c r="C182" s="12" t="str">
        <f t="shared" si="2"/>
        <v>SSCC_WAD_W_PR19CA004</v>
      </c>
      <c r="D182" s="13" t="s">
        <v>43</v>
      </c>
      <c r="E182" s="13" t="s">
        <v>46</v>
      </c>
      <c r="F182" s="76" t="s">
        <v>32</v>
      </c>
      <c r="G182" s="13" t="s">
        <v>59</v>
      </c>
      <c r="H182" s="47">
        <f xml:space="preserve"> _xlfn.IFNA(INDEX('Forecast drivers'!$C$4:$P$111, MATCH(F_interface!$A182&amp;RIGHT(F_interface!H$2, 2),'Forecast drivers'!$C$4:$C$111, 0), MATCH(F_interface!$D182,'Forecast drivers'!$C$4:$P$4, 0)),0)</f>
        <v>2281.9075600402284</v>
      </c>
      <c r="I182" s="47">
        <f xml:space="preserve"> _xlfn.IFNA(INDEX('Forecast drivers'!$C$4:$P$111, MATCH(F_interface!$A182&amp;RIGHT(F_interface!I$2, 2),'Forecast drivers'!$C$4:$C$111, 0), MATCH(F_interface!$D182,'Forecast drivers'!$C$4:$P$4, 0)),0)</f>
        <v>2292.6293126645219</v>
      </c>
      <c r="J182" s="47">
        <f xml:space="preserve"> _xlfn.IFNA(INDEX('Forecast drivers'!$C$4:$P$111, MATCH(F_interface!$A182&amp;RIGHT(F_interface!J$2, 2),'Forecast drivers'!$C$4:$C$111, 0), MATCH(F_interface!$D182,'Forecast drivers'!$C$4:$P$4, 0)),0)</f>
        <v>2303.0129683304613</v>
      </c>
      <c r="K182" s="47">
        <f xml:space="preserve"> _xlfn.IFNA(INDEX('Forecast drivers'!$C$4:$P$111, MATCH(F_interface!$A182&amp;RIGHT(F_interface!K$2, 2),'Forecast drivers'!$C$4:$C$111, 0), MATCH(F_interface!$D182,'Forecast drivers'!$C$4:$P$4, 0)),0)</f>
        <v>2313.0073118244295</v>
      </c>
      <c r="L182" s="47">
        <f xml:space="preserve"> _xlfn.IFNA(INDEX('Forecast drivers'!$C$4:$P$111, MATCH(F_interface!$A182&amp;RIGHT(F_interface!L$2, 2),'Forecast drivers'!$C$4:$C$111, 0), MATCH(F_interface!$D182,'Forecast drivers'!$C$4:$P$4, 0)),0)</f>
        <v>2323.2453117147784</v>
      </c>
    </row>
    <row r="183" spans="1:12" x14ac:dyDescent="0.25">
      <c r="A183" s="13" t="s">
        <v>4</v>
      </c>
      <c r="B183" s="13" t="s">
        <v>134</v>
      </c>
      <c r="C183" s="12" t="str">
        <f t="shared" si="2"/>
        <v>ANHC_5YEFFICIENCY_PR19CA004</v>
      </c>
      <c r="D183" s="12" t="s">
        <v>114</v>
      </c>
      <c r="E183" s="12" t="s">
        <v>121</v>
      </c>
      <c r="F183" s="78" t="s">
        <v>3</v>
      </c>
      <c r="G183" s="12" t="s">
        <v>59</v>
      </c>
      <c r="H183" s="48">
        <v>0.95834601119011198</v>
      </c>
      <c r="I183" s="48">
        <v>0.95834601119011198</v>
      </c>
      <c r="J183" s="48">
        <v>0.95834601119011198</v>
      </c>
      <c r="K183" s="48">
        <v>0.95834601119011198</v>
      </c>
      <c r="L183" s="48">
        <v>0.95834601119011198</v>
      </c>
    </row>
    <row r="184" spans="1:12" x14ac:dyDescent="0.25">
      <c r="A184" s="13" t="s">
        <v>90</v>
      </c>
      <c r="B184" s="13" t="s">
        <v>134</v>
      </c>
      <c r="C184" s="12" t="str">
        <f t="shared" si="2"/>
        <v>HDDC_5YEFFICIENCY_PR19CA004</v>
      </c>
      <c r="D184" s="12" t="s">
        <v>114</v>
      </c>
      <c r="E184" s="12" t="s">
        <v>121</v>
      </c>
      <c r="F184" s="78" t="s">
        <v>3</v>
      </c>
      <c r="G184" s="12" t="s">
        <v>59</v>
      </c>
      <c r="H184" s="48">
        <v>0.95834601119011198</v>
      </c>
      <c r="I184" s="48">
        <v>0.95834601119011198</v>
      </c>
      <c r="J184" s="48">
        <v>0.95834601119011198</v>
      </c>
      <c r="K184" s="48">
        <v>0.95834601119011198</v>
      </c>
      <c r="L184" s="48">
        <v>0.95834601119011198</v>
      </c>
    </row>
    <row r="185" spans="1:12" x14ac:dyDescent="0.25">
      <c r="A185" s="13" t="s">
        <v>5</v>
      </c>
      <c r="B185" s="13" t="s">
        <v>134</v>
      </c>
      <c r="C185" s="12" t="str">
        <f t="shared" si="2"/>
        <v>NESC_5YEFFICIENCY_PR19CA004</v>
      </c>
      <c r="D185" s="12" t="s">
        <v>114</v>
      </c>
      <c r="E185" s="12" t="s">
        <v>121</v>
      </c>
      <c r="F185" s="78" t="s">
        <v>3</v>
      </c>
      <c r="G185" s="12" t="s">
        <v>59</v>
      </c>
      <c r="H185" s="48">
        <v>0.95834601119011198</v>
      </c>
      <c r="I185" s="48">
        <v>0.95834601119011198</v>
      </c>
      <c r="J185" s="48">
        <v>0.95834601119011198</v>
      </c>
      <c r="K185" s="48">
        <v>0.95834601119011198</v>
      </c>
      <c r="L185" s="48">
        <v>0.95834601119011198</v>
      </c>
    </row>
    <row r="186" spans="1:12" x14ac:dyDescent="0.25">
      <c r="A186" s="13" t="s">
        <v>6</v>
      </c>
      <c r="B186" s="13" t="s">
        <v>134</v>
      </c>
      <c r="C186" s="12" t="str">
        <f t="shared" si="2"/>
        <v>NWTC_5YEFFICIENCY_PR19CA004</v>
      </c>
      <c r="D186" s="12" t="s">
        <v>114</v>
      </c>
      <c r="E186" s="12" t="s">
        <v>121</v>
      </c>
      <c r="F186" s="78" t="s">
        <v>3</v>
      </c>
      <c r="G186" s="12" t="s">
        <v>59</v>
      </c>
      <c r="H186" s="48">
        <v>0.95834601119011198</v>
      </c>
      <c r="I186" s="48">
        <v>0.95834601119011198</v>
      </c>
      <c r="J186" s="48">
        <v>0.95834601119011198</v>
      </c>
      <c r="K186" s="48">
        <v>0.95834601119011198</v>
      </c>
      <c r="L186" s="48">
        <v>0.95834601119011198</v>
      </c>
    </row>
    <row r="187" spans="1:12" x14ac:dyDescent="0.25">
      <c r="A187" s="13" t="s">
        <v>7</v>
      </c>
      <c r="B187" s="13" t="s">
        <v>134</v>
      </c>
      <c r="C187" s="12" t="str">
        <f t="shared" si="2"/>
        <v>SRNC_5YEFFICIENCY_PR19CA004</v>
      </c>
      <c r="D187" s="12" t="s">
        <v>114</v>
      </c>
      <c r="E187" s="12" t="s">
        <v>121</v>
      </c>
      <c r="F187" s="78" t="s">
        <v>3</v>
      </c>
      <c r="G187" s="12" t="s">
        <v>59</v>
      </c>
      <c r="H187" s="48">
        <v>0.95834601119011198</v>
      </c>
      <c r="I187" s="48">
        <v>0.95834601119011198</v>
      </c>
      <c r="J187" s="48">
        <v>0.95834601119011198</v>
      </c>
      <c r="K187" s="48">
        <v>0.95834601119011198</v>
      </c>
      <c r="L187" s="48">
        <v>0.95834601119011198</v>
      </c>
    </row>
    <row r="188" spans="1:12" x14ac:dyDescent="0.25">
      <c r="A188" s="13" t="s">
        <v>89</v>
      </c>
      <c r="B188" s="13" t="s">
        <v>134</v>
      </c>
      <c r="C188" s="12" t="str">
        <f t="shared" si="2"/>
        <v>SVEC_5YEFFICIENCY_PR19CA004</v>
      </c>
      <c r="D188" s="12" t="s">
        <v>114</v>
      </c>
      <c r="E188" s="12" t="s">
        <v>121</v>
      </c>
      <c r="F188" s="78" t="s">
        <v>3</v>
      </c>
      <c r="G188" s="12" t="s">
        <v>59</v>
      </c>
      <c r="H188" s="48">
        <v>0.95834601119011198</v>
      </c>
      <c r="I188" s="48">
        <v>0.95834601119011198</v>
      </c>
      <c r="J188" s="48">
        <v>0.95834601119011198</v>
      </c>
      <c r="K188" s="48">
        <v>0.95834601119011198</v>
      </c>
      <c r="L188" s="48">
        <v>0.95834601119011198</v>
      </c>
    </row>
    <row r="189" spans="1:12" x14ac:dyDescent="0.25">
      <c r="A189" s="13" t="s">
        <v>93</v>
      </c>
      <c r="B189" s="13" t="s">
        <v>134</v>
      </c>
      <c r="C189" s="12" t="str">
        <f t="shared" si="2"/>
        <v>SVHC_5YEFFICIENCY_PR19CA004</v>
      </c>
      <c r="D189" s="12" t="s">
        <v>114</v>
      </c>
      <c r="E189" s="12" t="s">
        <v>121</v>
      </c>
      <c r="F189" s="78" t="s">
        <v>3</v>
      </c>
      <c r="G189" s="12" t="s">
        <v>59</v>
      </c>
      <c r="H189" s="48">
        <v>0.95834601119011198</v>
      </c>
      <c r="I189" s="48">
        <v>0.95834601119011198</v>
      </c>
      <c r="J189" s="48">
        <v>0.95834601119011198</v>
      </c>
      <c r="K189" s="48">
        <v>0.95834601119011198</v>
      </c>
      <c r="L189" s="48">
        <v>0.95834601119011198</v>
      </c>
    </row>
    <row r="190" spans="1:12" x14ac:dyDescent="0.25">
      <c r="A190" s="13" t="s">
        <v>8</v>
      </c>
      <c r="B190" s="13" t="s">
        <v>134</v>
      </c>
      <c r="C190" s="12" t="str">
        <f t="shared" si="2"/>
        <v>SVTC_5YEFFICIENCY_PR19CA004</v>
      </c>
      <c r="D190" s="12" t="s">
        <v>114</v>
      </c>
      <c r="E190" s="12" t="s">
        <v>121</v>
      </c>
      <c r="F190" s="78" t="s">
        <v>3</v>
      </c>
      <c r="G190" s="12" t="s">
        <v>59</v>
      </c>
      <c r="H190" s="48">
        <v>0.95834601119011198</v>
      </c>
      <c r="I190" s="48">
        <v>0.95834601119011198</v>
      </c>
      <c r="J190" s="48">
        <v>0.95834601119011198</v>
      </c>
      <c r="K190" s="48">
        <v>0.95834601119011198</v>
      </c>
      <c r="L190" s="48">
        <v>0.95834601119011198</v>
      </c>
    </row>
    <row r="191" spans="1:12" x14ac:dyDescent="0.25">
      <c r="A191" s="13" t="s">
        <v>19</v>
      </c>
      <c r="B191" s="13" t="s">
        <v>134</v>
      </c>
      <c r="C191" s="12" t="str">
        <f t="shared" si="2"/>
        <v>SWBC_5YEFFICIENCY_PR19CA004</v>
      </c>
      <c r="D191" s="12" t="s">
        <v>114</v>
      </c>
      <c r="E191" s="12" t="s">
        <v>121</v>
      </c>
      <c r="F191" s="78" t="s">
        <v>3</v>
      </c>
      <c r="G191" s="12" t="s">
        <v>59</v>
      </c>
      <c r="H191" s="48">
        <v>0.95834601119011198</v>
      </c>
      <c r="I191" s="48">
        <v>0.95834601119011198</v>
      </c>
      <c r="J191" s="48">
        <v>0.95834601119011198</v>
      </c>
      <c r="K191" s="48">
        <v>0.95834601119011198</v>
      </c>
      <c r="L191" s="48">
        <v>0.95834601119011198</v>
      </c>
    </row>
    <row r="192" spans="1:12" x14ac:dyDescent="0.25">
      <c r="A192" s="13" t="s">
        <v>9</v>
      </c>
      <c r="B192" s="13" t="s">
        <v>134</v>
      </c>
      <c r="C192" s="12" t="str">
        <f t="shared" si="2"/>
        <v>TMSC_5YEFFICIENCY_PR19CA004</v>
      </c>
      <c r="D192" s="12" t="s">
        <v>114</v>
      </c>
      <c r="E192" s="12" t="s">
        <v>121</v>
      </c>
      <c r="F192" s="78" t="s">
        <v>3</v>
      </c>
      <c r="G192" s="12" t="s">
        <v>59</v>
      </c>
      <c r="H192" s="48">
        <v>0.95834601119011198</v>
      </c>
      <c r="I192" s="48">
        <v>0.95834601119011198</v>
      </c>
      <c r="J192" s="48">
        <v>0.95834601119011198</v>
      </c>
      <c r="K192" s="48">
        <v>0.95834601119011198</v>
      </c>
      <c r="L192" s="48">
        <v>0.95834601119011198</v>
      </c>
    </row>
    <row r="193" spans="1:12" x14ac:dyDescent="0.25">
      <c r="A193" s="13" t="s">
        <v>23</v>
      </c>
      <c r="B193" s="13" t="s">
        <v>134</v>
      </c>
      <c r="C193" s="12" t="str">
        <f t="shared" si="2"/>
        <v>WSHC_5YEFFICIENCY_PR19CA004</v>
      </c>
      <c r="D193" s="12" t="s">
        <v>114</v>
      </c>
      <c r="E193" s="12" t="s">
        <v>121</v>
      </c>
      <c r="F193" s="78" t="s">
        <v>3</v>
      </c>
      <c r="G193" s="12" t="s">
        <v>59</v>
      </c>
      <c r="H193" s="48">
        <v>0.95834601119011198</v>
      </c>
      <c r="I193" s="48">
        <v>0.95834601119011198</v>
      </c>
      <c r="J193" s="48">
        <v>0.95834601119011198</v>
      </c>
      <c r="K193" s="48">
        <v>0.95834601119011198</v>
      </c>
      <c r="L193" s="48">
        <v>0.95834601119011198</v>
      </c>
    </row>
    <row r="194" spans="1:12" x14ac:dyDescent="0.25">
      <c r="A194" s="13" t="s">
        <v>10</v>
      </c>
      <c r="B194" s="13" t="s">
        <v>134</v>
      </c>
      <c r="C194" s="12" t="str">
        <f t="shared" si="2"/>
        <v>WSXC_5YEFFICIENCY_PR19CA004</v>
      </c>
      <c r="D194" s="12" t="s">
        <v>114</v>
      </c>
      <c r="E194" s="12" t="s">
        <v>121</v>
      </c>
      <c r="F194" s="78" t="s">
        <v>3</v>
      </c>
      <c r="G194" s="12" t="s">
        <v>59</v>
      </c>
      <c r="H194" s="48">
        <v>0.95834601119011198</v>
      </c>
      <c r="I194" s="48">
        <v>0.95834601119011198</v>
      </c>
      <c r="J194" s="48">
        <v>0.95834601119011198</v>
      </c>
      <c r="K194" s="48">
        <v>0.95834601119011198</v>
      </c>
      <c r="L194" s="48">
        <v>0.95834601119011198</v>
      </c>
    </row>
    <row r="195" spans="1:12" x14ac:dyDescent="0.25">
      <c r="A195" s="13" t="s">
        <v>11</v>
      </c>
      <c r="B195" s="13" t="s">
        <v>134</v>
      </c>
      <c r="C195" s="12" t="str">
        <f t="shared" si="2"/>
        <v>YKYC_5YEFFICIENCY_PR19CA004</v>
      </c>
      <c r="D195" s="12" t="s">
        <v>114</v>
      </c>
      <c r="E195" s="12" t="s">
        <v>121</v>
      </c>
      <c r="F195" s="78" t="s">
        <v>3</v>
      </c>
      <c r="G195" s="12" t="s">
        <v>59</v>
      </c>
      <c r="H195" s="48">
        <v>0.95834601119011198</v>
      </c>
      <c r="I195" s="48">
        <v>0.95834601119011198</v>
      </c>
      <c r="J195" s="48">
        <v>0.95834601119011198</v>
      </c>
      <c r="K195" s="48">
        <v>0.95834601119011198</v>
      </c>
      <c r="L195" s="48">
        <v>0.95834601119011198</v>
      </c>
    </row>
    <row r="196" spans="1:12" x14ac:dyDescent="0.25">
      <c r="A196" s="13" t="s">
        <v>12</v>
      </c>
      <c r="B196" s="13" t="s">
        <v>134</v>
      </c>
      <c r="C196" s="12" t="str">
        <f t="shared" si="2"/>
        <v>AFWC_5YEFFICIENCY_PR19CA004</v>
      </c>
      <c r="D196" s="12" t="s">
        <v>114</v>
      </c>
      <c r="E196" s="12" t="s">
        <v>121</v>
      </c>
      <c r="F196" s="78" t="s">
        <v>3</v>
      </c>
      <c r="G196" s="12" t="s">
        <v>59</v>
      </c>
      <c r="H196" s="48">
        <v>0.95834601119011198</v>
      </c>
      <c r="I196" s="48">
        <v>0.95834601119011198</v>
      </c>
      <c r="J196" s="48">
        <v>0.95834601119011198</v>
      </c>
      <c r="K196" s="48">
        <v>0.95834601119011198</v>
      </c>
      <c r="L196" s="48">
        <v>0.95834601119011198</v>
      </c>
    </row>
    <row r="197" spans="1:12" x14ac:dyDescent="0.25">
      <c r="A197" s="13" t="s">
        <v>13</v>
      </c>
      <c r="B197" s="13" t="s">
        <v>134</v>
      </c>
      <c r="C197" s="12" t="str">
        <f t="shared" si="2"/>
        <v>BRLC_5YEFFICIENCY_PR19CA004</v>
      </c>
      <c r="D197" s="12" t="s">
        <v>114</v>
      </c>
      <c r="E197" s="12" t="s">
        <v>121</v>
      </c>
      <c r="F197" s="78" t="s">
        <v>3</v>
      </c>
      <c r="G197" s="12" t="s">
        <v>59</v>
      </c>
      <c r="H197" s="48">
        <v>0.95834601119011198</v>
      </c>
      <c r="I197" s="48">
        <v>0.95834601119011198</v>
      </c>
      <c r="J197" s="48">
        <v>0.95834601119011198</v>
      </c>
      <c r="K197" s="48">
        <v>0.95834601119011198</v>
      </c>
      <c r="L197" s="48">
        <v>0.95834601119011198</v>
      </c>
    </row>
    <row r="198" spans="1:12" x14ac:dyDescent="0.25">
      <c r="A198" s="13" t="s">
        <v>14</v>
      </c>
      <c r="B198" s="13" t="s">
        <v>134</v>
      </c>
      <c r="C198" s="12" t="str">
        <f t="shared" si="2"/>
        <v>DVWC_5YEFFICIENCY_PR19CA004</v>
      </c>
      <c r="D198" s="12" t="s">
        <v>114</v>
      </c>
      <c r="E198" s="12" t="s">
        <v>121</v>
      </c>
      <c r="F198" s="78" t="s">
        <v>3</v>
      </c>
      <c r="G198" s="12" t="s">
        <v>59</v>
      </c>
      <c r="H198" s="48">
        <v>0.95834601119011198</v>
      </c>
      <c r="I198" s="48">
        <v>0.95834601119011198</v>
      </c>
      <c r="J198" s="48">
        <v>0.95834601119011198</v>
      </c>
      <c r="K198" s="48">
        <v>0.95834601119011198</v>
      </c>
      <c r="L198" s="48">
        <v>0.95834601119011198</v>
      </c>
    </row>
    <row r="199" spans="1:12" x14ac:dyDescent="0.25">
      <c r="A199" s="13" t="s">
        <v>15</v>
      </c>
      <c r="B199" s="13" t="s">
        <v>134</v>
      </c>
      <c r="C199" s="12" t="str">
        <f t="shared" si="2"/>
        <v>PRTC_5YEFFICIENCY_PR19CA004</v>
      </c>
      <c r="D199" s="12" t="s">
        <v>114</v>
      </c>
      <c r="E199" s="12" t="s">
        <v>121</v>
      </c>
      <c r="F199" s="78" t="s">
        <v>3</v>
      </c>
      <c r="G199" s="12" t="s">
        <v>59</v>
      </c>
      <c r="H199" s="48">
        <v>0.95834601119011198</v>
      </c>
      <c r="I199" s="48">
        <v>0.95834601119011198</v>
      </c>
      <c r="J199" s="48">
        <v>0.95834601119011198</v>
      </c>
      <c r="K199" s="48">
        <v>0.95834601119011198</v>
      </c>
      <c r="L199" s="48">
        <v>0.95834601119011198</v>
      </c>
    </row>
    <row r="200" spans="1:12" x14ac:dyDescent="0.25">
      <c r="A200" s="13" t="s">
        <v>16</v>
      </c>
      <c r="B200" s="13" t="s">
        <v>134</v>
      </c>
      <c r="C200" s="12" t="str">
        <f t="shared" si="2"/>
        <v>SESC_5YEFFICIENCY_PR19CA004</v>
      </c>
      <c r="D200" s="12" t="s">
        <v>114</v>
      </c>
      <c r="E200" s="12" t="s">
        <v>121</v>
      </c>
      <c r="F200" s="78" t="s">
        <v>3</v>
      </c>
      <c r="G200" s="12" t="s">
        <v>59</v>
      </c>
      <c r="H200" s="48">
        <v>0.95834601119011198</v>
      </c>
      <c r="I200" s="48">
        <v>0.95834601119011198</v>
      </c>
      <c r="J200" s="48">
        <v>0.95834601119011198</v>
      </c>
      <c r="K200" s="48">
        <v>0.95834601119011198</v>
      </c>
      <c r="L200" s="48">
        <v>0.95834601119011198</v>
      </c>
    </row>
    <row r="201" spans="1:12" x14ac:dyDescent="0.25">
      <c r="A201" s="13" t="s">
        <v>17</v>
      </c>
      <c r="B201" s="13" t="s">
        <v>134</v>
      </c>
      <c r="C201" s="12" t="str">
        <f t="shared" si="2"/>
        <v>SEWC_5YEFFICIENCY_PR19CA004</v>
      </c>
      <c r="D201" s="12" t="s">
        <v>114</v>
      </c>
      <c r="E201" s="12" t="s">
        <v>121</v>
      </c>
      <c r="F201" s="78" t="s">
        <v>3</v>
      </c>
      <c r="G201" s="12" t="s">
        <v>59</v>
      </c>
      <c r="H201" s="48">
        <v>0.95834601119011198</v>
      </c>
      <c r="I201" s="48">
        <v>0.95834601119011198</v>
      </c>
      <c r="J201" s="48">
        <v>0.95834601119011198</v>
      </c>
      <c r="K201" s="48">
        <v>0.95834601119011198</v>
      </c>
      <c r="L201" s="48">
        <v>0.95834601119011198</v>
      </c>
    </row>
    <row r="202" spans="1:12" x14ac:dyDescent="0.25">
      <c r="A202" s="13" t="s">
        <v>18</v>
      </c>
      <c r="B202" s="13" t="s">
        <v>134</v>
      </c>
      <c r="C202" s="12" t="str">
        <f t="shared" si="2"/>
        <v>SSCC_5YEFFICIENCY_PR19CA004</v>
      </c>
      <c r="D202" s="12" t="s">
        <v>114</v>
      </c>
      <c r="E202" s="12" t="s">
        <v>121</v>
      </c>
      <c r="F202" s="78" t="s">
        <v>3</v>
      </c>
      <c r="G202" s="12" t="s">
        <v>59</v>
      </c>
      <c r="H202" s="48">
        <v>0.95834601119011198</v>
      </c>
      <c r="I202" s="48">
        <v>0.95834601119011198</v>
      </c>
      <c r="J202" s="48">
        <v>0.95834601119011198</v>
      </c>
      <c r="K202" s="48">
        <v>0.95834601119011198</v>
      </c>
      <c r="L202" s="48">
        <v>0.95834601119011198</v>
      </c>
    </row>
    <row r="203" spans="1:12" x14ac:dyDescent="0.25">
      <c r="A203" s="13" t="s">
        <v>4</v>
      </c>
      <c r="B203" s="13" t="s">
        <v>135</v>
      </c>
      <c r="C203" s="12" t="str">
        <f t="shared" si="2"/>
        <v>ANHC_WRP_WEIGHT_PR19CA004</v>
      </c>
      <c r="D203" s="12" t="s">
        <v>69</v>
      </c>
      <c r="E203" s="12" t="s">
        <v>72</v>
      </c>
      <c r="F203" s="78" t="s">
        <v>0</v>
      </c>
      <c r="G203" s="12" t="s">
        <v>59</v>
      </c>
      <c r="H203" s="49">
        <f xml:space="preserve"> 'Modelled costs'!$D$4</f>
        <v>0.5</v>
      </c>
      <c r="I203" s="49">
        <f xml:space="preserve"> 'Modelled costs'!$D$4</f>
        <v>0.5</v>
      </c>
      <c r="J203" s="49">
        <f xml:space="preserve"> 'Modelled costs'!$D$4</f>
        <v>0.5</v>
      </c>
      <c r="K203" s="49">
        <f xml:space="preserve"> 'Modelled costs'!$D$4</f>
        <v>0.5</v>
      </c>
      <c r="L203" s="49">
        <f xml:space="preserve"> 'Modelled costs'!$D$4</f>
        <v>0.5</v>
      </c>
    </row>
    <row r="204" spans="1:12" x14ac:dyDescent="0.25">
      <c r="A204" s="13" t="s">
        <v>90</v>
      </c>
      <c r="B204" s="13" t="s">
        <v>135</v>
      </c>
      <c r="C204" s="12" t="str">
        <f t="shared" si="2"/>
        <v>HDDC_WRP_WEIGHT_PR19CA004</v>
      </c>
      <c r="D204" s="12" t="s">
        <v>69</v>
      </c>
      <c r="E204" s="12" t="s">
        <v>72</v>
      </c>
      <c r="F204" s="78" t="s">
        <v>0</v>
      </c>
      <c r="G204" s="12" t="s">
        <v>59</v>
      </c>
      <c r="H204" s="49">
        <f xml:space="preserve"> 'Modelled costs'!$D$4</f>
        <v>0.5</v>
      </c>
      <c r="I204" s="49">
        <f xml:space="preserve"> 'Modelled costs'!$D$4</f>
        <v>0.5</v>
      </c>
      <c r="J204" s="49">
        <f xml:space="preserve"> 'Modelled costs'!$D$4</f>
        <v>0.5</v>
      </c>
      <c r="K204" s="49">
        <f xml:space="preserve"> 'Modelled costs'!$D$4</f>
        <v>0.5</v>
      </c>
      <c r="L204" s="49">
        <f xml:space="preserve"> 'Modelled costs'!$D$4</f>
        <v>0.5</v>
      </c>
    </row>
    <row r="205" spans="1:12" x14ac:dyDescent="0.25">
      <c r="A205" s="13" t="s">
        <v>5</v>
      </c>
      <c r="B205" s="13" t="s">
        <v>135</v>
      </c>
      <c r="C205" s="12" t="str">
        <f t="shared" si="2"/>
        <v>NESC_WRP_WEIGHT_PR19CA004</v>
      </c>
      <c r="D205" s="12" t="s">
        <v>69</v>
      </c>
      <c r="E205" s="12" t="s">
        <v>72</v>
      </c>
      <c r="F205" s="78" t="s">
        <v>0</v>
      </c>
      <c r="G205" s="12" t="s">
        <v>59</v>
      </c>
      <c r="H205" s="49">
        <f xml:space="preserve"> 'Modelled costs'!$D$4</f>
        <v>0.5</v>
      </c>
      <c r="I205" s="49">
        <f xml:space="preserve"> 'Modelled costs'!$D$4</f>
        <v>0.5</v>
      </c>
      <c r="J205" s="49">
        <f xml:space="preserve"> 'Modelled costs'!$D$4</f>
        <v>0.5</v>
      </c>
      <c r="K205" s="49">
        <f xml:space="preserve"> 'Modelled costs'!$D$4</f>
        <v>0.5</v>
      </c>
      <c r="L205" s="49">
        <f xml:space="preserve"> 'Modelled costs'!$D$4</f>
        <v>0.5</v>
      </c>
    </row>
    <row r="206" spans="1:12" x14ac:dyDescent="0.25">
      <c r="A206" s="13" t="s">
        <v>6</v>
      </c>
      <c r="B206" s="13" t="s">
        <v>135</v>
      </c>
      <c r="C206" s="12" t="str">
        <f t="shared" si="2"/>
        <v>NWTC_WRP_WEIGHT_PR19CA004</v>
      </c>
      <c r="D206" s="12" t="s">
        <v>69</v>
      </c>
      <c r="E206" s="12" t="s">
        <v>72</v>
      </c>
      <c r="F206" s="78" t="s">
        <v>0</v>
      </c>
      <c r="G206" s="12" t="s">
        <v>59</v>
      </c>
      <c r="H206" s="49">
        <f xml:space="preserve"> 'Modelled costs'!$D$4</f>
        <v>0.5</v>
      </c>
      <c r="I206" s="49">
        <f xml:space="preserve"> 'Modelled costs'!$D$4</f>
        <v>0.5</v>
      </c>
      <c r="J206" s="49">
        <f xml:space="preserve"> 'Modelled costs'!$D$4</f>
        <v>0.5</v>
      </c>
      <c r="K206" s="49">
        <f xml:space="preserve"> 'Modelled costs'!$D$4</f>
        <v>0.5</v>
      </c>
      <c r="L206" s="49">
        <f xml:space="preserve"> 'Modelled costs'!$D$4</f>
        <v>0.5</v>
      </c>
    </row>
    <row r="207" spans="1:12" x14ac:dyDescent="0.25">
      <c r="A207" s="13" t="s">
        <v>7</v>
      </c>
      <c r="B207" s="13" t="s">
        <v>135</v>
      </c>
      <c r="C207" s="12" t="str">
        <f t="shared" si="2"/>
        <v>SRNC_WRP_WEIGHT_PR19CA004</v>
      </c>
      <c r="D207" s="12" t="s">
        <v>69</v>
      </c>
      <c r="E207" s="12" t="s">
        <v>72</v>
      </c>
      <c r="F207" s="78" t="s">
        <v>0</v>
      </c>
      <c r="G207" s="12" t="s">
        <v>59</v>
      </c>
      <c r="H207" s="49">
        <f xml:space="preserve"> 'Modelled costs'!$D$4</f>
        <v>0.5</v>
      </c>
      <c r="I207" s="49">
        <f xml:space="preserve"> 'Modelled costs'!$D$4</f>
        <v>0.5</v>
      </c>
      <c r="J207" s="49">
        <f xml:space="preserve"> 'Modelled costs'!$D$4</f>
        <v>0.5</v>
      </c>
      <c r="K207" s="49">
        <f xml:space="preserve"> 'Modelled costs'!$D$4</f>
        <v>0.5</v>
      </c>
      <c r="L207" s="49">
        <f xml:space="preserve"> 'Modelled costs'!$D$4</f>
        <v>0.5</v>
      </c>
    </row>
    <row r="208" spans="1:12" x14ac:dyDescent="0.25">
      <c r="A208" s="13" t="s">
        <v>89</v>
      </c>
      <c r="B208" s="13" t="s">
        <v>135</v>
      </c>
      <c r="C208" s="12" t="str">
        <f t="shared" si="2"/>
        <v>SVEC_WRP_WEIGHT_PR19CA004</v>
      </c>
      <c r="D208" s="12" t="s">
        <v>69</v>
      </c>
      <c r="E208" s="12" t="s">
        <v>72</v>
      </c>
      <c r="F208" s="78" t="s">
        <v>0</v>
      </c>
      <c r="G208" s="12" t="s">
        <v>59</v>
      </c>
      <c r="H208" s="49">
        <f xml:space="preserve"> 'Modelled costs'!$D$4</f>
        <v>0.5</v>
      </c>
      <c r="I208" s="49">
        <f xml:space="preserve"> 'Modelled costs'!$D$4</f>
        <v>0.5</v>
      </c>
      <c r="J208" s="49">
        <f xml:space="preserve"> 'Modelled costs'!$D$4</f>
        <v>0.5</v>
      </c>
      <c r="K208" s="49">
        <f xml:space="preserve"> 'Modelled costs'!$D$4</f>
        <v>0.5</v>
      </c>
      <c r="L208" s="49">
        <f xml:space="preserve"> 'Modelled costs'!$D$4</f>
        <v>0.5</v>
      </c>
    </row>
    <row r="209" spans="1:12" x14ac:dyDescent="0.25">
      <c r="A209" s="13" t="s">
        <v>93</v>
      </c>
      <c r="B209" s="13" t="s">
        <v>135</v>
      </c>
      <c r="C209" s="12" t="str">
        <f t="shared" si="2"/>
        <v>SVHC_WRP_WEIGHT_PR19CA004</v>
      </c>
      <c r="D209" s="12" t="s">
        <v>69</v>
      </c>
      <c r="E209" s="12" t="s">
        <v>72</v>
      </c>
      <c r="F209" s="78" t="s">
        <v>0</v>
      </c>
      <c r="G209" s="12" t="s">
        <v>59</v>
      </c>
      <c r="H209" s="49">
        <f xml:space="preserve"> 'Modelled costs'!$D$4</f>
        <v>0.5</v>
      </c>
      <c r="I209" s="49">
        <f xml:space="preserve"> 'Modelled costs'!$D$4</f>
        <v>0.5</v>
      </c>
      <c r="J209" s="49">
        <f xml:space="preserve"> 'Modelled costs'!$D$4</f>
        <v>0.5</v>
      </c>
      <c r="K209" s="49">
        <f xml:space="preserve"> 'Modelled costs'!$D$4</f>
        <v>0.5</v>
      </c>
      <c r="L209" s="49">
        <f xml:space="preserve"> 'Modelled costs'!$D$4</f>
        <v>0.5</v>
      </c>
    </row>
    <row r="210" spans="1:12" x14ac:dyDescent="0.25">
      <c r="A210" s="13" t="s">
        <v>8</v>
      </c>
      <c r="B210" s="13" t="s">
        <v>135</v>
      </c>
      <c r="C210" s="12" t="str">
        <f t="shared" si="2"/>
        <v>SVTC_WRP_WEIGHT_PR19CA004</v>
      </c>
      <c r="D210" s="12" t="s">
        <v>69</v>
      </c>
      <c r="E210" s="12" t="s">
        <v>72</v>
      </c>
      <c r="F210" s="78" t="s">
        <v>0</v>
      </c>
      <c r="G210" s="12" t="s">
        <v>59</v>
      </c>
      <c r="H210" s="49">
        <f xml:space="preserve"> 'Modelled costs'!$D$4</f>
        <v>0.5</v>
      </c>
      <c r="I210" s="49">
        <f xml:space="preserve"> 'Modelled costs'!$D$4</f>
        <v>0.5</v>
      </c>
      <c r="J210" s="49">
        <f xml:space="preserve"> 'Modelled costs'!$D$4</f>
        <v>0.5</v>
      </c>
      <c r="K210" s="49">
        <f xml:space="preserve"> 'Modelled costs'!$D$4</f>
        <v>0.5</v>
      </c>
      <c r="L210" s="49">
        <f xml:space="preserve"> 'Modelled costs'!$D$4</f>
        <v>0.5</v>
      </c>
    </row>
    <row r="211" spans="1:12" x14ac:dyDescent="0.25">
      <c r="A211" s="13" t="s">
        <v>19</v>
      </c>
      <c r="B211" s="13" t="s">
        <v>135</v>
      </c>
      <c r="C211" s="12" t="str">
        <f t="shared" si="2"/>
        <v>SWBC_WRP_WEIGHT_PR19CA004</v>
      </c>
      <c r="D211" s="12" t="s">
        <v>69</v>
      </c>
      <c r="E211" s="12" t="s">
        <v>72</v>
      </c>
      <c r="F211" s="78" t="s">
        <v>0</v>
      </c>
      <c r="G211" s="12" t="s">
        <v>59</v>
      </c>
      <c r="H211" s="49">
        <f xml:space="preserve"> 'Modelled costs'!$D$4</f>
        <v>0.5</v>
      </c>
      <c r="I211" s="49">
        <f xml:space="preserve"> 'Modelled costs'!$D$4</f>
        <v>0.5</v>
      </c>
      <c r="J211" s="49">
        <f xml:space="preserve"> 'Modelled costs'!$D$4</f>
        <v>0.5</v>
      </c>
      <c r="K211" s="49">
        <f xml:space="preserve"> 'Modelled costs'!$D$4</f>
        <v>0.5</v>
      </c>
      <c r="L211" s="49">
        <f xml:space="preserve"> 'Modelled costs'!$D$4</f>
        <v>0.5</v>
      </c>
    </row>
    <row r="212" spans="1:12" x14ac:dyDescent="0.25">
      <c r="A212" s="13" t="s">
        <v>9</v>
      </c>
      <c r="B212" s="13" t="s">
        <v>135</v>
      </c>
      <c r="C212" s="12" t="str">
        <f t="shared" si="2"/>
        <v>TMSC_WRP_WEIGHT_PR19CA004</v>
      </c>
      <c r="D212" s="12" t="s">
        <v>69</v>
      </c>
      <c r="E212" s="12" t="s">
        <v>72</v>
      </c>
      <c r="F212" s="78" t="s">
        <v>0</v>
      </c>
      <c r="G212" s="12" t="s">
        <v>59</v>
      </c>
      <c r="H212" s="49">
        <f xml:space="preserve"> 'Modelled costs'!$D$4</f>
        <v>0.5</v>
      </c>
      <c r="I212" s="49">
        <f xml:space="preserve"> 'Modelled costs'!$D$4</f>
        <v>0.5</v>
      </c>
      <c r="J212" s="49">
        <f xml:space="preserve"> 'Modelled costs'!$D$4</f>
        <v>0.5</v>
      </c>
      <c r="K212" s="49">
        <f xml:space="preserve"> 'Modelled costs'!$D$4</f>
        <v>0.5</v>
      </c>
      <c r="L212" s="49">
        <f xml:space="preserve"> 'Modelled costs'!$D$4</f>
        <v>0.5</v>
      </c>
    </row>
    <row r="213" spans="1:12" x14ac:dyDescent="0.25">
      <c r="A213" s="13" t="s">
        <v>23</v>
      </c>
      <c r="B213" s="13" t="s">
        <v>135</v>
      </c>
      <c r="C213" s="12" t="str">
        <f t="shared" si="2"/>
        <v>WSHC_WRP_WEIGHT_PR19CA004</v>
      </c>
      <c r="D213" s="12" t="s">
        <v>69</v>
      </c>
      <c r="E213" s="12" t="s">
        <v>72</v>
      </c>
      <c r="F213" s="78" t="s">
        <v>0</v>
      </c>
      <c r="G213" s="12" t="s">
        <v>59</v>
      </c>
      <c r="H213" s="49">
        <f xml:space="preserve"> 'Modelled costs'!$D$4</f>
        <v>0.5</v>
      </c>
      <c r="I213" s="49">
        <f xml:space="preserve"> 'Modelled costs'!$D$4</f>
        <v>0.5</v>
      </c>
      <c r="J213" s="49">
        <f xml:space="preserve"> 'Modelled costs'!$D$4</f>
        <v>0.5</v>
      </c>
      <c r="K213" s="49">
        <f xml:space="preserve"> 'Modelled costs'!$D$4</f>
        <v>0.5</v>
      </c>
      <c r="L213" s="49">
        <f xml:space="preserve"> 'Modelled costs'!$D$4</f>
        <v>0.5</v>
      </c>
    </row>
    <row r="214" spans="1:12" x14ac:dyDescent="0.25">
      <c r="A214" s="13" t="s">
        <v>10</v>
      </c>
      <c r="B214" s="13" t="s">
        <v>135</v>
      </c>
      <c r="C214" s="12" t="str">
        <f t="shared" si="2"/>
        <v>WSXC_WRP_WEIGHT_PR19CA004</v>
      </c>
      <c r="D214" s="12" t="s">
        <v>69</v>
      </c>
      <c r="E214" s="12" t="s">
        <v>72</v>
      </c>
      <c r="F214" s="78" t="s">
        <v>0</v>
      </c>
      <c r="G214" s="12" t="s">
        <v>59</v>
      </c>
      <c r="H214" s="49">
        <f xml:space="preserve"> 'Modelled costs'!$D$4</f>
        <v>0.5</v>
      </c>
      <c r="I214" s="49">
        <f xml:space="preserve"> 'Modelled costs'!$D$4</f>
        <v>0.5</v>
      </c>
      <c r="J214" s="49">
        <f xml:space="preserve"> 'Modelled costs'!$D$4</f>
        <v>0.5</v>
      </c>
      <c r="K214" s="49">
        <f xml:space="preserve"> 'Modelled costs'!$D$4</f>
        <v>0.5</v>
      </c>
      <c r="L214" s="49">
        <f xml:space="preserve"> 'Modelled costs'!$D$4</f>
        <v>0.5</v>
      </c>
    </row>
    <row r="215" spans="1:12" x14ac:dyDescent="0.25">
      <c r="A215" s="13" t="s">
        <v>11</v>
      </c>
      <c r="B215" s="13" t="s">
        <v>135</v>
      </c>
      <c r="C215" s="12" t="str">
        <f t="shared" si="2"/>
        <v>YKYC_WRP_WEIGHT_PR19CA004</v>
      </c>
      <c r="D215" s="12" t="s">
        <v>69</v>
      </c>
      <c r="E215" s="12" t="s">
        <v>72</v>
      </c>
      <c r="F215" s="78" t="s">
        <v>0</v>
      </c>
      <c r="G215" s="12" t="s">
        <v>59</v>
      </c>
      <c r="H215" s="49">
        <f xml:space="preserve"> 'Modelled costs'!$D$4</f>
        <v>0.5</v>
      </c>
      <c r="I215" s="49">
        <f xml:space="preserve"> 'Modelled costs'!$D$4</f>
        <v>0.5</v>
      </c>
      <c r="J215" s="49">
        <f xml:space="preserve"> 'Modelled costs'!$D$4</f>
        <v>0.5</v>
      </c>
      <c r="K215" s="49">
        <f xml:space="preserve"> 'Modelled costs'!$D$4</f>
        <v>0.5</v>
      </c>
      <c r="L215" s="49">
        <f xml:space="preserve"> 'Modelled costs'!$D$4</f>
        <v>0.5</v>
      </c>
    </row>
    <row r="216" spans="1:12" x14ac:dyDescent="0.25">
      <c r="A216" s="13" t="s">
        <v>12</v>
      </c>
      <c r="B216" s="13" t="s">
        <v>135</v>
      </c>
      <c r="C216" s="12" t="str">
        <f t="shared" si="2"/>
        <v>AFWC_WRP_WEIGHT_PR19CA004</v>
      </c>
      <c r="D216" s="12" t="s">
        <v>69</v>
      </c>
      <c r="E216" s="12" t="s">
        <v>72</v>
      </c>
      <c r="F216" s="78" t="s">
        <v>0</v>
      </c>
      <c r="G216" s="12" t="s">
        <v>59</v>
      </c>
      <c r="H216" s="49">
        <f xml:space="preserve"> 'Modelled costs'!$D$4</f>
        <v>0.5</v>
      </c>
      <c r="I216" s="49">
        <f xml:space="preserve"> 'Modelled costs'!$D$4</f>
        <v>0.5</v>
      </c>
      <c r="J216" s="49">
        <f xml:space="preserve"> 'Modelled costs'!$D$4</f>
        <v>0.5</v>
      </c>
      <c r="K216" s="49">
        <f xml:space="preserve"> 'Modelled costs'!$D$4</f>
        <v>0.5</v>
      </c>
      <c r="L216" s="49">
        <f xml:space="preserve"> 'Modelled costs'!$D$4</f>
        <v>0.5</v>
      </c>
    </row>
    <row r="217" spans="1:12" x14ac:dyDescent="0.25">
      <c r="A217" s="13" t="s">
        <v>13</v>
      </c>
      <c r="B217" s="13" t="s">
        <v>135</v>
      </c>
      <c r="C217" s="12" t="str">
        <f t="shared" si="2"/>
        <v>BRLC_WRP_WEIGHT_PR19CA004</v>
      </c>
      <c r="D217" s="12" t="s">
        <v>69</v>
      </c>
      <c r="E217" s="12" t="s">
        <v>72</v>
      </c>
      <c r="F217" s="78" t="s">
        <v>0</v>
      </c>
      <c r="G217" s="12" t="s">
        <v>59</v>
      </c>
      <c r="H217" s="49">
        <f xml:space="preserve"> 'Modelled costs'!$D$4</f>
        <v>0.5</v>
      </c>
      <c r="I217" s="49">
        <f xml:space="preserve"> 'Modelled costs'!$D$4</f>
        <v>0.5</v>
      </c>
      <c r="J217" s="49">
        <f xml:space="preserve"> 'Modelled costs'!$D$4</f>
        <v>0.5</v>
      </c>
      <c r="K217" s="49">
        <f xml:space="preserve"> 'Modelled costs'!$D$4</f>
        <v>0.5</v>
      </c>
      <c r="L217" s="49">
        <f xml:space="preserve"> 'Modelled costs'!$D$4</f>
        <v>0.5</v>
      </c>
    </row>
    <row r="218" spans="1:12" x14ac:dyDescent="0.25">
      <c r="A218" s="13" t="s">
        <v>14</v>
      </c>
      <c r="B218" s="13" t="s">
        <v>135</v>
      </c>
      <c r="C218" s="12" t="str">
        <f t="shared" si="2"/>
        <v>DVWC_WRP_WEIGHT_PR19CA004</v>
      </c>
      <c r="D218" s="12" t="s">
        <v>69</v>
      </c>
      <c r="E218" s="12" t="s">
        <v>72</v>
      </c>
      <c r="F218" s="78" t="s">
        <v>0</v>
      </c>
      <c r="G218" s="12" t="s">
        <v>59</v>
      </c>
      <c r="H218" s="49">
        <f xml:space="preserve"> 'Modelled costs'!$D$4</f>
        <v>0.5</v>
      </c>
      <c r="I218" s="49">
        <f xml:space="preserve"> 'Modelled costs'!$D$4</f>
        <v>0.5</v>
      </c>
      <c r="J218" s="49">
        <f xml:space="preserve"> 'Modelled costs'!$D$4</f>
        <v>0.5</v>
      </c>
      <c r="K218" s="49">
        <f xml:space="preserve"> 'Modelled costs'!$D$4</f>
        <v>0.5</v>
      </c>
      <c r="L218" s="49">
        <f xml:space="preserve"> 'Modelled costs'!$D$4</f>
        <v>0.5</v>
      </c>
    </row>
    <row r="219" spans="1:12" x14ac:dyDescent="0.25">
      <c r="A219" s="13" t="s">
        <v>15</v>
      </c>
      <c r="B219" s="13" t="s">
        <v>135</v>
      </c>
      <c r="C219" s="12" t="str">
        <f t="shared" si="2"/>
        <v>PRTC_WRP_WEIGHT_PR19CA004</v>
      </c>
      <c r="D219" s="12" t="s">
        <v>69</v>
      </c>
      <c r="E219" s="12" t="s">
        <v>72</v>
      </c>
      <c r="F219" s="78" t="s">
        <v>0</v>
      </c>
      <c r="G219" s="12" t="s">
        <v>59</v>
      </c>
      <c r="H219" s="49">
        <f xml:space="preserve"> 'Modelled costs'!$D$4</f>
        <v>0.5</v>
      </c>
      <c r="I219" s="49">
        <f xml:space="preserve"> 'Modelled costs'!$D$4</f>
        <v>0.5</v>
      </c>
      <c r="J219" s="49">
        <f xml:space="preserve"> 'Modelled costs'!$D$4</f>
        <v>0.5</v>
      </c>
      <c r="K219" s="49">
        <f xml:space="preserve"> 'Modelled costs'!$D$4</f>
        <v>0.5</v>
      </c>
      <c r="L219" s="49">
        <f xml:space="preserve"> 'Modelled costs'!$D$4</f>
        <v>0.5</v>
      </c>
    </row>
    <row r="220" spans="1:12" x14ac:dyDescent="0.25">
      <c r="A220" s="13" t="s">
        <v>16</v>
      </c>
      <c r="B220" s="13" t="s">
        <v>135</v>
      </c>
      <c r="C220" s="12" t="str">
        <f t="shared" si="2"/>
        <v>SESC_WRP_WEIGHT_PR19CA004</v>
      </c>
      <c r="D220" s="12" t="s">
        <v>69</v>
      </c>
      <c r="E220" s="12" t="s">
        <v>72</v>
      </c>
      <c r="F220" s="78" t="s">
        <v>0</v>
      </c>
      <c r="G220" s="12" t="s">
        <v>59</v>
      </c>
      <c r="H220" s="49">
        <f xml:space="preserve"> 'Modelled costs'!$D$4</f>
        <v>0.5</v>
      </c>
      <c r="I220" s="49">
        <f xml:space="preserve"> 'Modelled costs'!$D$4</f>
        <v>0.5</v>
      </c>
      <c r="J220" s="49">
        <f xml:space="preserve"> 'Modelled costs'!$D$4</f>
        <v>0.5</v>
      </c>
      <c r="K220" s="49">
        <f xml:space="preserve"> 'Modelled costs'!$D$4</f>
        <v>0.5</v>
      </c>
      <c r="L220" s="49">
        <f xml:space="preserve"> 'Modelled costs'!$D$4</f>
        <v>0.5</v>
      </c>
    </row>
    <row r="221" spans="1:12" x14ac:dyDescent="0.25">
      <c r="A221" s="13" t="s">
        <v>17</v>
      </c>
      <c r="B221" s="13" t="s">
        <v>135</v>
      </c>
      <c r="C221" s="12" t="str">
        <f t="shared" si="2"/>
        <v>SEWC_WRP_WEIGHT_PR19CA004</v>
      </c>
      <c r="D221" s="12" t="s">
        <v>69</v>
      </c>
      <c r="E221" s="12" t="s">
        <v>72</v>
      </c>
      <c r="F221" s="78" t="s">
        <v>0</v>
      </c>
      <c r="G221" s="12" t="s">
        <v>59</v>
      </c>
      <c r="H221" s="49">
        <f xml:space="preserve"> 'Modelled costs'!$D$4</f>
        <v>0.5</v>
      </c>
      <c r="I221" s="49">
        <f xml:space="preserve"> 'Modelled costs'!$D$4</f>
        <v>0.5</v>
      </c>
      <c r="J221" s="49">
        <f xml:space="preserve"> 'Modelled costs'!$D$4</f>
        <v>0.5</v>
      </c>
      <c r="K221" s="49">
        <f xml:space="preserve"> 'Modelled costs'!$D$4</f>
        <v>0.5</v>
      </c>
      <c r="L221" s="49">
        <f xml:space="preserve"> 'Modelled costs'!$D$4</f>
        <v>0.5</v>
      </c>
    </row>
    <row r="222" spans="1:12" x14ac:dyDescent="0.25">
      <c r="A222" s="13" t="s">
        <v>18</v>
      </c>
      <c r="B222" s="13" t="s">
        <v>135</v>
      </c>
      <c r="C222" s="12" t="str">
        <f t="shared" si="2"/>
        <v>SSCC_WRP_WEIGHT_PR19CA004</v>
      </c>
      <c r="D222" s="12" t="s">
        <v>69</v>
      </c>
      <c r="E222" s="12" t="s">
        <v>72</v>
      </c>
      <c r="F222" s="78" t="s">
        <v>0</v>
      </c>
      <c r="G222" s="12" t="s">
        <v>59</v>
      </c>
      <c r="H222" s="49">
        <f xml:space="preserve"> 'Modelled costs'!$D$4</f>
        <v>0.5</v>
      </c>
      <c r="I222" s="49">
        <f xml:space="preserve"> 'Modelled costs'!$D$4</f>
        <v>0.5</v>
      </c>
      <c r="J222" s="49">
        <f xml:space="preserve"> 'Modelled costs'!$D$4</f>
        <v>0.5</v>
      </c>
      <c r="K222" s="49">
        <f xml:space="preserve"> 'Modelled costs'!$D$4</f>
        <v>0.5</v>
      </c>
      <c r="L222" s="49">
        <f xml:space="preserve"> 'Modelled costs'!$D$4</f>
        <v>0.5</v>
      </c>
    </row>
    <row r="223" spans="1:12" x14ac:dyDescent="0.25">
      <c r="A223" s="13" t="s">
        <v>4</v>
      </c>
      <c r="B223" s="13" t="s">
        <v>136</v>
      </c>
      <c r="C223" s="12" t="str">
        <f t="shared" si="2"/>
        <v>ANHC_TWD_WEIGHT_PR19CA004</v>
      </c>
      <c r="D223" s="12" t="s">
        <v>70</v>
      </c>
      <c r="E223" s="12" t="s">
        <v>73</v>
      </c>
      <c r="F223" s="78" t="s">
        <v>0</v>
      </c>
      <c r="G223" s="12" t="s">
        <v>59</v>
      </c>
      <c r="H223" s="49">
        <f xml:space="preserve"> 'Modelled costs'!$F$4</f>
        <v>1</v>
      </c>
      <c r="I223" s="49">
        <f xml:space="preserve"> 'Modelled costs'!$F$4</f>
        <v>1</v>
      </c>
      <c r="J223" s="49">
        <f xml:space="preserve"> 'Modelled costs'!$F$4</f>
        <v>1</v>
      </c>
      <c r="K223" s="49">
        <f xml:space="preserve"> 'Modelled costs'!$F$4</f>
        <v>1</v>
      </c>
      <c r="L223" s="49">
        <f xml:space="preserve"> 'Modelled costs'!$F$4</f>
        <v>1</v>
      </c>
    </row>
    <row r="224" spans="1:12" x14ac:dyDescent="0.25">
      <c r="A224" s="13" t="s">
        <v>90</v>
      </c>
      <c r="B224" s="13" t="s">
        <v>136</v>
      </c>
      <c r="C224" s="12" t="str">
        <f t="shared" si="2"/>
        <v>HDDC_TWD_WEIGHT_PR19CA004</v>
      </c>
      <c r="D224" s="12" t="s">
        <v>70</v>
      </c>
      <c r="E224" s="12" t="s">
        <v>73</v>
      </c>
      <c r="F224" s="78" t="s">
        <v>0</v>
      </c>
      <c r="G224" s="12" t="s">
        <v>59</v>
      </c>
      <c r="H224" s="49">
        <f xml:space="preserve"> 'Modelled costs'!$F$4</f>
        <v>1</v>
      </c>
      <c r="I224" s="49">
        <f xml:space="preserve"> 'Modelled costs'!$F$4</f>
        <v>1</v>
      </c>
      <c r="J224" s="49">
        <f xml:space="preserve"> 'Modelled costs'!$F$4</f>
        <v>1</v>
      </c>
      <c r="K224" s="49">
        <f xml:space="preserve"> 'Modelled costs'!$F$4</f>
        <v>1</v>
      </c>
      <c r="L224" s="49">
        <f xml:space="preserve"> 'Modelled costs'!$F$4</f>
        <v>1</v>
      </c>
    </row>
    <row r="225" spans="1:12" x14ac:dyDescent="0.25">
      <c r="A225" s="13" t="s">
        <v>5</v>
      </c>
      <c r="B225" s="13" t="s">
        <v>136</v>
      </c>
      <c r="C225" s="12" t="str">
        <f t="shared" ref="C225:C289" si="3">A225&amp;B225</f>
        <v>NESC_TWD_WEIGHT_PR19CA004</v>
      </c>
      <c r="D225" s="12" t="s">
        <v>70</v>
      </c>
      <c r="E225" s="12" t="s">
        <v>73</v>
      </c>
      <c r="F225" s="78" t="s">
        <v>0</v>
      </c>
      <c r="G225" s="12" t="s">
        <v>59</v>
      </c>
      <c r="H225" s="49">
        <f xml:space="preserve"> 'Modelled costs'!$F$4</f>
        <v>1</v>
      </c>
      <c r="I225" s="49">
        <f xml:space="preserve"> 'Modelled costs'!$F$4</f>
        <v>1</v>
      </c>
      <c r="J225" s="49">
        <f xml:space="preserve"> 'Modelled costs'!$F$4</f>
        <v>1</v>
      </c>
      <c r="K225" s="49">
        <f xml:space="preserve"> 'Modelled costs'!$F$4</f>
        <v>1</v>
      </c>
      <c r="L225" s="49">
        <f xml:space="preserve"> 'Modelled costs'!$F$4</f>
        <v>1</v>
      </c>
    </row>
    <row r="226" spans="1:12" x14ac:dyDescent="0.25">
      <c r="A226" s="13" t="s">
        <v>6</v>
      </c>
      <c r="B226" s="13" t="s">
        <v>136</v>
      </c>
      <c r="C226" s="12" t="str">
        <f t="shared" si="3"/>
        <v>NWTC_TWD_WEIGHT_PR19CA004</v>
      </c>
      <c r="D226" s="12" t="s">
        <v>70</v>
      </c>
      <c r="E226" s="12" t="s">
        <v>73</v>
      </c>
      <c r="F226" s="78" t="s">
        <v>0</v>
      </c>
      <c r="G226" s="12" t="s">
        <v>59</v>
      </c>
      <c r="H226" s="49">
        <f xml:space="preserve"> 'Modelled costs'!$F$4</f>
        <v>1</v>
      </c>
      <c r="I226" s="49">
        <f xml:space="preserve"> 'Modelled costs'!$F$4</f>
        <v>1</v>
      </c>
      <c r="J226" s="49">
        <f xml:space="preserve"> 'Modelled costs'!$F$4</f>
        <v>1</v>
      </c>
      <c r="K226" s="49">
        <f xml:space="preserve"> 'Modelled costs'!$F$4</f>
        <v>1</v>
      </c>
      <c r="L226" s="49">
        <f xml:space="preserve"> 'Modelled costs'!$F$4</f>
        <v>1</v>
      </c>
    </row>
    <row r="227" spans="1:12" x14ac:dyDescent="0.25">
      <c r="A227" s="13" t="s">
        <v>7</v>
      </c>
      <c r="B227" s="13" t="s">
        <v>136</v>
      </c>
      <c r="C227" s="12" t="str">
        <f t="shared" si="3"/>
        <v>SRNC_TWD_WEIGHT_PR19CA004</v>
      </c>
      <c r="D227" s="12" t="s">
        <v>70</v>
      </c>
      <c r="E227" s="12" t="s">
        <v>73</v>
      </c>
      <c r="F227" s="78" t="s">
        <v>0</v>
      </c>
      <c r="G227" s="12" t="s">
        <v>59</v>
      </c>
      <c r="H227" s="49">
        <f xml:space="preserve"> 'Modelled costs'!$F$4</f>
        <v>1</v>
      </c>
      <c r="I227" s="49">
        <f xml:space="preserve"> 'Modelled costs'!$F$4</f>
        <v>1</v>
      </c>
      <c r="J227" s="49">
        <f xml:space="preserve"> 'Modelled costs'!$F$4</f>
        <v>1</v>
      </c>
      <c r="K227" s="49">
        <f xml:space="preserve"> 'Modelled costs'!$F$4</f>
        <v>1</v>
      </c>
      <c r="L227" s="49">
        <f xml:space="preserve"> 'Modelled costs'!$F$4</f>
        <v>1</v>
      </c>
    </row>
    <row r="228" spans="1:12" x14ac:dyDescent="0.25">
      <c r="A228" s="13" t="s">
        <v>89</v>
      </c>
      <c r="B228" s="13" t="s">
        <v>136</v>
      </c>
      <c r="C228" s="12" t="str">
        <f t="shared" si="3"/>
        <v>SVEC_TWD_WEIGHT_PR19CA004</v>
      </c>
      <c r="D228" s="12" t="s">
        <v>70</v>
      </c>
      <c r="E228" s="12" t="s">
        <v>73</v>
      </c>
      <c r="F228" s="78" t="s">
        <v>0</v>
      </c>
      <c r="G228" s="12" t="s">
        <v>59</v>
      </c>
      <c r="H228" s="49">
        <f xml:space="preserve"> 'Modelled costs'!$F$4</f>
        <v>1</v>
      </c>
      <c r="I228" s="49">
        <f xml:space="preserve"> 'Modelled costs'!$F$4</f>
        <v>1</v>
      </c>
      <c r="J228" s="49">
        <f xml:space="preserve"> 'Modelled costs'!$F$4</f>
        <v>1</v>
      </c>
      <c r="K228" s="49">
        <f xml:space="preserve"> 'Modelled costs'!$F$4</f>
        <v>1</v>
      </c>
      <c r="L228" s="49">
        <f xml:space="preserve"> 'Modelled costs'!$F$4</f>
        <v>1</v>
      </c>
    </row>
    <row r="229" spans="1:12" x14ac:dyDescent="0.25">
      <c r="A229" s="13" t="s">
        <v>93</v>
      </c>
      <c r="B229" s="13" t="s">
        <v>136</v>
      </c>
      <c r="C229" s="12" t="str">
        <f t="shared" si="3"/>
        <v>SVHC_TWD_WEIGHT_PR19CA004</v>
      </c>
      <c r="D229" s="12" t="s">
        <v>70</v>
      </c>
      <c r="E229" s="12" t="s">
        <v>73</v>
      </c>
      <c r="F229" s="78" t="s">
        <v>0</v>
      </c>
      <c r="G229" s="12" t="s">
        <v>59</v>
      </c>
      <c r="H229" s="49">
        <f xml:space="preserve"> 'Modelled costs'!$F$4</f>
        <v>1</v>
      </c>
      <c r="I229" s="49">
        <f xml:space="preserve"> 'Modelled costs'!$F$4</f>
        <v>1</v>
      </c>
      <c r="J229" s="49">
        <f xml:space="preserve"> 'Modelled costs'!$F$4</f>
        <v>1</v>
      </c>
      <c r="K229" s="49">
        <f xml:space="preserve"> 'Modelled costs'!$F$4</f>
        <v>1</v>
      </c>
      <c r="L229" s="49">
        <f xml:space="preserve"> 'Modelled costs'!$F$4</f>
        <v>1</v>
      </c>
    </row>
    <row r="230" spans="1:12" x14ac:dyDescent="0.25">
      <c r="A230" s="13" t="s">
        <v>8</v>
      </c>
      <c r="B230" s="13" t="s">
        <v>136</v>
      </c>
      <c r="C230" s="12" t="str">
        <f t="shared" si="3"/>
        <v>SVTC_TWD_WEIGHT_PR19CA004</v>
      </c>
      <c r="D230" s="12" t="s">
        <v>70</v>
      </c>
      <c r="E230" s="12" t="s">
        <v>73</v>
      </c>
      <c r="F230" s="78" t="s">
        <v>0</v>
      </c>
      <c r="G230" s="12" t="s">
        <v>59</v>
      </c>
      <c r="H230" s="49">
        <f xml:space="preserve"> 'Modelled costs'!$F$4</f>
        <v>1</v>
      </c>
      <c r="I230" s="49">
        <f xml:space="preserve"> 'Modelled costs'!$F$4</f>
        <v>1</v>
      </c>
      <c r="J230" s="49">
        <f xml:space="preserve"> 'Modelled costs'!$F$4</f>
        <v>1</v>
      </c>
      <c r="K230" s="49">
        <f xml:space="preserve"> 'Modelled costs'!$F$4</f>
        <v>1</v>
      </c>
      <c r="L230" s="49">
        <f xml:space="preserve"> 'Modelled costs'!$F$4</f>
        <v>1</v>
      </c>
    </row>
    <row r="231" spans="1:12" x14ac:dyDescent="0.25">
      <c r="A231" s="13" t="s">
        <v>19</v>
      </c>
      <c r="B231" s="13" t="s">
        <v>136</v>
      </c>
      <c r="C231" s="12" t="str">
        <f t="shared" si="3"/>
        <v>SWBC_TWD_WEIGHT_PR19CA004</v>
      </c>
      <c r="D231" s="12" t="s">
        <v>70</v>
      </c>
      <c r="E231" s="12" t="s">
        <v>73</v>
      </c>
      <c r="F231" s="78" t="s">
        <v>0</v>
      </c>
      <c r="G231" s="12" t="s">
        <v>59</v>
      </c>
      <c r="H231" s="49">
        <f xml:space="preserve"> 'Modelled costs'!$F$4</f>
        <v>1</v>
      </c>
      <c r="I231" s="49">
        <f xml:space="preserve"> 'Modelled costs'!$F$4</f>
        <v>1</v>
      </c>
      <c r="J231" s="49">
        <f xml:space="preserve"> 'Modelled costs'!$F$4</f>
        <v>1</v>
      </c>
      <c r="K231" s="49">
        <f xml:space="preserve"> 'Modelled costs'!$F$4</f>
        <v>1</v>
      </c>
      <c r="L231" s="49">
        <f xml:space="preserve"> 'Modelled costs'!$F$4</f>
        <v>1</v>
      </c>
    </row>
    <row r="232" spans="1:12" x14ac:dyDescent="0.25">
      <c r="A232" s="13" t="s">
        <v>9</v>
      </c>
      <c r="B232" s="13" t="s">
        <v>136</v>
      </c>
      <c r="C232" s="12" t="str">
        <f t="shared" si="3"/>
        <v>TMSC_TWD_WEIGHT_PR19CA004</v>
      </c>
      <c r="D232" s="12" t="s">
        <v>70</v>
      </c>
      <c r="E232" s="12" t="s">
        <v>73</v>
      </c>
      <c r="F232" s="78" t="s">
        <v>0</v>
      </c>
      <c r="G232" s="12" t="s">
        <v>59</v>
      </c>
      <c r="H232" s="49">
        <f xml:space="preserve"> 'Modelled costs'!$F$4</f>
        <v>1</v>
      </c>
      <c r="I232" s="49">
        <f xml:space="preserve"> 'Modelled costs'!$F$4</f>
        <v>1</v>
      </c>
      <c r="J232" s="49">
        <f xml:space="preserve"> 'Modelled costs'!$F$4</f>
        <v>1</v>
      </c>
      <c r="K232" s="49">
        <f xml:space="preserve"> 'Modelled costs'!$F$4</f>
        <v>1</v>
      </c>
      <c r="L232" s="49">
        <f xml:space="preserve"> 'Modelled costs'!$F$4</f>
        <v>1</v>
      </c>
    </row>
    <row r="233" spans="1:12" x14ac:dyDescent="0.25">
      <c r="A233" s="13" t="s">
        <v>23</v>
      </c>
      <c r="B233" s="13" t="s">
        <v>136</v>
      </c>
      <c r="C233" s="12" t="str">
        <f t="shared" si="3"/>
        <v>WSHC_TWD_WEIGHT_PR19CA004</v>
      </c>
      <c r="D233" s="12" t="s">
        <v>70</v>
      </c>
      <c r="E233" s="12" t="s">
        <v>73</v>
      </c>
      <c r="F233" s="78" t="s">
        <v>0</v>
      </c>
      <c r="G233" s="12" t="s">
        <v>59</v>
      </c>
      <c r="H233" s="49">
        <f xml:space="preserve"> 'Modelled costs'!$F$4</f>
        <v>1</v>
      </c>
      <c r="I233" s="49">
        <f xml:space="preserve"> 'Modelled costs'!$F$4</f>
        <v>1</v>
      </c>
      <c r="J233" s="49">
        <f xml:space="preserve"> 'Modelled costs'!$F$4</f>
        <v>1</v>
      </c>
      <c r="K233" s="49">
        <f xml:space="preserve"> 'Modelled costs'!$F$4</f>
        <v>1</v>
      </c>
      <c r="L233" s="49">
        <f xml:space="preserve"> 'Modelled costs'!$F$4</f>
        <v>1</v>
      </c>
    </row>
    <row r="234" spans="1:12" x14ac:dyDescent="0.25">
      <c r="A234" s="13" t="s">
        <v>10</v>
      </c>
      <c r="B234" s="13" t="s">
        <v>136</v>
      </c>
      <c r="C234" s="12" t="str">
        <f t="shared" si="3"/>
        <v>WSXC_TWD_WEIGHT_PR19CA004</v>
      </c>
      <c r="D234" s="12" t="s">
        <v>70</v>
      </c>
      <c r="E234" s="12" t="s">
        <v>73</v>
      </c>
      <c r="F234" s="78" t="s">
        <v>0</v>
      </c>
      <c r="G234" s="12" t="s">
        <v>59</v>
      </c>
      <c r="H234" s="49">
        <f xml:space="preserve"> 'Modelled costs'!$F$4</f>
        <v>1</v>
      </c>
      <c r="I234" s="49">
        <f xml:space="preserve"> 'Modelled costs'!$F$4</f>
        <v>1</v>
      </c>
      <c r="J234" s="49">
        <f xml:space="preserve"> 'Modelled costs'!$F$4</f>
        <v>1</v>
      </c>
      <c r="K234" s="49">
        <f xml:space="preserve"> 'Modelled costs'!$F$4</f>
        <v>1</v>
      </c>
      <c r="L234" s="49">
        <f xml:space="preserve"> 'Modelled costs'!$F$4</f>
        <v>1</v>
      </c>
    </row>
    <row r="235" spans="1:12" x14ac:dyDescent="0.25">
      <c r="A235" s="13" t="s">
        <v>11</v>
      </c>
      <c r="B235" s="13" t="s">
        <v>136</v>
      </c>
      <c r="C235" s="12" t="str">
        <f t="shared" si="3"/>
        <v>YKYC_TWD_WEIGHT_PR19CA004</v>
      </c>
      <c r="D235" s="12" t="s">
        <v>70</v>
      </c>
      <c r="E235" s="12" t="s">
        <v>73</v>
      </c>
      <c r="F235" s="78" t="s">
        <v>0</v>
      </c>
      <c r="G235" s="12" t="s">
        <v>59</v>
      </c>
      <c r="H235" s="49">
        <f xml:space="preserve"> 'Modelled costs'!$F$4</f>
        <v>1</v>
      </c>
      <c r="I235" s="49">
        <f xml:space="preserve"> 'Modelled costs'!$F$4</f>
        <v>1</v>
      </c>
      <c r="J235" s="49">
        <f xml:space="preserve"> 'Modelled costs'!$F$4</f>
        <v>1</v>
      </c>
      <c r="K235" s="49">
        <f xml:space="preserve"> 'Modelled costs'!$F$4</f>
        <v>1</v>
      </c>
      <c r="L235" s="49">
        <f xml:space="preserve"> 'Modelled costs'!$F$4</f>
        <v>1</v>
      </c>
    </row>
    <row r="236" spans="1:12" x14ac:dyDescent="0.25">
      <c r="A236" s="13" t="s">
        <v>12</v>
      </c>
      <c r="B236" s="13" t="s">
        <v>136</v>
      </c>
      <c r="C236" s="12" t="str">
        <f t="shared" si="3"/>
        <v>AFWC_TWD_WEIGHT_PR19CA004</v>
      </c>
      <c r="D236" s="12" t="s">
        <v>70</v>
      </c>
      <c r="E236" s="12" t="s">
        <v>73</v>
      </c>
      <c r="F236" s="78" t="s">
        <v>0</v>
      </c>
      <c r="G236" s="12" t="s">
        <v>59</v>
      </c>
      <c r="H236" s="49">
        <f xml:space="preserve"> 'Modelled costs'!$F$4</f>
        <v>1</v>
      </c>
      <c r="I236" s="49">
        <f xml:space="preserve"> 'Modelled costs'!$F$4</f>
        <v>1</v>
      </c>
      <c r="J236" s="49">
        <f xml:space="preserve"> 'Modelled costs'!$F$4</f>
        <v>1</v>
      </c>
      <c r="K236" s="49">
        <f xml:space="preserve"> 'Modelled costs'!$F$4</f>
        <v>1</v>
      </c>
      <c r="L236" s="49">
        <f xml:space="preserve"> 'Modelled costs'!$F$4</f>
        <v>1</v>
      </c>
    </row>
    <row r="237" spans="1:12" x14ac:dyDescent="0.25">
      <c r="A237" s="13" t="s">
        <v>13</v>
      </c>
      <c r="B237" s="13" t="s">
        <v>136</v>
      </c>
      <c r="C237" s="12" t="str">
        <f t="shared" si="3"/>
        <v>BRLC_TWD_WEIGHT_PR19CA004</v>
      </c>
      <c r="D237" s="12" t="s">
        <v>70</v>
      </c>
      <c r="E237" s="12" t="s">
        <v>73</v>
      </c>
      <c r="F237" s="78" t="s">
        <v>0</v>
      </c>
      <c r="G237" s="12" t="s">
        <v>59</v>
      </c>
      <c r="H237" s="49">
        <f xml:space="preserve"> 'Modelled costs'!$F$4</f>
        <v>1</v>
      </c>
      <c r="I237" s="49">
        <f xml:space="preserve"> 'Modelled costs'!$F$4</f>
        <v>1</v>
      </c>
      <c r="J237" s="49">
        <f xml:space="preserve"> 'Modelled costs'!$F$4</f>
        <v>1</v>
      </c>
      <c r="K237" s="49">
        <f xml:space="preserve"> 'Modelled costs'!$F$4</f>
        <v>1</v>
      </c>
      <c r="L237" s="49">
        <f xml:space="preserve"> 'Modelled costs'!$F$4</f>
        <v>1</v>
      </c>
    </row>
    <row r="238" spans="1:12" x14ac:dyDescent="0.25">
      <c r="A238" s="13" t="s">
        <v>14</v>
      </c>
      <c r="B238" s="13" t="s">
        <v>136</v>
      </c>
      <c r="C238" s="12" t="str">
        <f t="shared" si="3"/>
        <v>DVWC_TWD_WEIGHT_PR19CA004</v>
      </c>
      <c r="D238" s="12" t="s">
        <v>70</v>
      </c>
      <c r="E238" s="12" t="s">
        <v>73</v>
      </c>
      <c r="F238" s="78" t="s">
        <v>0</v>
      </c>
      <c r="G238" s="12" t="s">
        <v>59</v>
      </c>
      <c r="H238" s="49">
        <f xml:space="preserve"> 'Modelled costs'!$F$4</f>
        <v>1</v>
      </c>
      <c r="I238" s="49">
        <f xml:space="preserve"> 'Modelled costs'!$F$4</f>
        <v>1</v>
      </c>
      <c r="J238" s="49">
        <f xml:space="preserve"> 'Modelled costs'!$F$4</f>
        <v>1</v>
      </c>
      <c r="K238" s="49">
        <f xml:space="preserve"> 'Modelled costs'!$F$4</f>
        <v>1</v>
      </c>
      <c r="L238" s="49">
        <f xml:space="preserve"> 'Modelled costs'!$F$4</f>
        <v>1</v>
      </c>
    </row>
    <row r="239" spans="1:12" x14ac:dyDescent="0.25">
      <c r="A239" s="13" t="s">
        <v>15</v>
      </c>
      <c r="B239" s="13" t="s">
        <v>136</v>
      </c>
      <c r="C239" s="12" t="str">
        <f t="shared" si="3"/>
        <v>PRTC_TWD_WEIGHT_PR19CA004</v>
      </c>
      <c r="D239" s="12" t="s">
        <v>70</v>
      </c>
      <c r="E239" s="12" t="s">
        <v>73</v>
      </c>
      <c r="F239" s="78" t="s">
        <v>0</v>
      </c>
      <c r="G239" s="12" t="s">
        <v>59</v>
      </c>
      <c r="H239" s="49">
        <f xml:space="preserve"> 'Modelled costs'!$F$4</f>
        <v>1</v>
      </c>
      <c r="I239" s="49">
        <f xml:space="preserve"> 'Modelled costs'!$F$4</f>
        <v>1</v>
      </c>
      <c r="J239" s="49">
        <f xml:space="preserve"> 'Modelled costs'!$F$4</f>
        <v>1</v>
      </c>
      <c r="K239" s="49">
        <f xml:space="preserve"> 'Modelled costs'!$F$4</f>
        <v>1</v>
      </c>
      <c r="L239" s="49">
        <f xml:space="preserve"> 'Modelled costs'!$F$4</f>
        <v>1</v>
      </c>
    </row>
    <row r="240" spans="1:12" x14ac:dyDescent="0.25">
      <c r="A240" s="13" t="s">
        <v>16</v>
      </c>
      <c r="B240" s="13" t="s">
        <v>136</v>
      </c>
      <c r="C240" s="12" t="str">
        <f t="shared" si="3"/>
        <v>SESC_TWD_WEIGHT_PR19CA004</v>
      </c>
      <c r="D240" s="12" t="s">
        <v>70</v>
      </c>
      <c r="E240" s="12" t="s">
        <v>73</v>
      </c>
      <c r="F240" s="78" t="s">
        <v>0</v>
      </c>
      <c r="G240" s="12" t="s">
        <v>59</v>
      </c>
      <c r="H240" s="49">
        <f xml:space="preserve"> 'Modelled costs'!$F$4</f>
        <v>1</v>
      </c>
      <c r="I240" s="49">
        <f xml:space="preserve"> 'Modelled costs'!$F$4</f>
        <v>1</v>
      </c>
      <c r="J240" s="49">
        <f xml:space="preserve"> 'Modelled costs'!$F$4</f>
        <v>1</v>
      </c>
      <c r="K240" s="49">
        <f xml:space="preserve"> 'Modelled costs'!$F$4</f>
        <v>1</v>
      </c>
      <c r="L240" s="49">
        <f xml:space="preserve"> 'Modelled costs'!$F$4</f>
        <v>1</v>
      </c>
    </row>
    <row r="241" spans="1:12" x14ac:dyDescent="0.25">
      <c r="A241" s="13" t="s">
        <v>17</v>
      </c>
      <c r="B241" s="13" t="s">
        <v>136</v>
      </c>
      <c r="C241" s="12" t="str">
        <f t="shared" si="3"/>
        <v>SEWC_TWD_WEIGHT_PR19CA004</v>
      </c>
      <c r="D241" s="12" t="s">
        <v>70</v>
      </c>
      <c r="E241" s="12" t="s">
        <v>73</v>
      </c>
      <c r="F241" s="78" t="s">
        <v>0</v>
      </c>
      <c r="G241" s="12" t="s">
        <v>59</v>
      </c>
      <c r="H241" s="49">
        <f xml:space="preserve"> 'Modelled costs'!$F$4</f>
        <v>1</v>
      </c>
      <c r="I241" s="49">
        <f xml:space="preserve"> 'Modelled costs'!$F$4</f>
        <v>1</v>
      </c>
      <c r="J241" s="49">
        <f xml:space="preserve"> 'Modelled costs'!$F$4</f>
        <v>1</v>
      </c>
      <c r="K241" s="49">
        <f xml:space="preserve"> 'Modelled costs'!$F$4</f>
        <v>1</v>
      </c>
      <c r="L241" s="49">
        <f xml:space="preserve"> 'Modelled costs'!$F$4</f>
        <v>1</v>
      </c>
    </row>
    <row r="242" spans="1:12" x14ac:dyDescent="0.25">
      <c r="A242" s="13" t="s">
        <v>18</v>
      </c>
      <c r="B242" s="13" t="s">
        <v>136</v>
      </c>
      <c r="C242" s="12" t="str">
        <f t="shared" si="3"/>
        <v>SSCC_TWD_WEIGHT_PR19CA004</v>
      </c>
      <c r="D242" s="12" t="s">
        <v>70</v>
      </c>
      <c r="E242" s="12" t="s">
        <v>73</v>
      </c>
      <c r="F242" s="78" t="s">
        <v>0</v>
      </c>
      <c r="G242" s="12" t="s">
        <v>59</v>
      </c>
      <c r="H242" s="49">
        <f xml:space="preserve"> 'Modelled costs'!$F$4</f>
        <v>1</v>
      </c>
      <c r="I242" s="49">
        <f xml:space="preserve"> 'Modelled costs'!$F$4</f>
        <v>1</v>
      </c>
      <c r="J242" s="49">
        <f xml:space="preserve"> 'Modelled costs'!$F$4</f>
        <v>1</v>
      </c>
      <c r="K242" s="49">
        <f xml:space="preserve"> 'Modelled costs'!$F$4</f>
        <v>1</v>
      </c>
      <c r="L242" s="49">
        <f xml:space="preserve"> 'Modelled costs'!$F$4</f>
        <v>1</v>
      </c>
    </row>
    <row r="243" spans="1:12" x14ac:dyDescent="0.25">
      <c r="A243" s="13" t="s">
        <v>4</v>
      </c>
      <c r="B243" s="13" t="s">
        <v>137</v>
      </c>
      <c r="C243" s="12" t="str">
        <f t="shared" si="3"/>
        <v>ANHC_WW_WEIGHT_PR19CA004</v>
      </c>
      <c r="D243" s="12" t="s">
        <v>71</v>
      </c>
      <c r="E243" s="12" t="s">
        <v>74</v>
      </c>
      <c r="F243" s="78" t="s">
        <v>0</v>
      </c>
      <c r="G243" s="12" t="s">
        <v>59</v>
      </c>
      <c r="H243" s="49">
        <f xml:space="preserve"> 'Modelled costs'!$G$4</f>
        <v>0.5</v>
      </c>
      <c r="I243" s="49">
        <f xml:space="preserve"> 'Modelled costs'!$G$4</f>
        <v>0.5</v>
      </c>
      <c r="J243" s="49">
        <f xml:space="preserve"> 'Modelled costs'!$G$4</f>
        <v>0.5</v>
      </c>
      <c r="K243" s="49">
        <f xml:space="preserve"> 'Modelled costs'!$G$4</f>
        <v>0.5</v>
      </c>
      <c r="L243" s="49">
        <f xml:space="preserve"> 'Modelled costs'!$G$4</f>
        <v>0.5</v>
      </c>
    </row>
    <row r="244" spans="1:12" x14ac:dyDescent="0.25">
      <c r="A244" s="13" t="s">
        <v>90</v>
      </c>
      <c r="B244" s="13" t="s">
        <v>137</v>
      </c>
      <c r="C244" s="12" t="str">
        <f t="shared" si="3"/>
        <v>HDDC_WW_WEIGHT_PR19CA004</v>
      </c>
      <c r="D244" s="12" t="s">
        <v>71</v>
      </c>
      <c r="E244" s="12" t="s">
        <v>74</v>
      </c>
      <c r="F244" s="78" t="s">
        <v>0</v>
      </c>
      <c r="G244" s="12" t="s">
        <v>59</v>
      </c>
      <c r="H244" s="49">
        <f xml:space="preserve"> 'Modelled costs'!$G$4</f>
        <v>0.5</v>
      </c>
      <c r="I244" s="49">
        <f xml:space="preserve"> 'Modelled costs'!$G$4</f>
        <v>0.5</v>
      </c>
      <c r="J244" s="49">
        <f xml:space="preserve"> 'Modelled costs'!$G$4</f>
        <v>0.5</v>
      </c>
      <c r="K244" s="49">
        <f xml:space="preserve"> 'Modelled costs'!$G$4</f>
        <v>0.5</v>
      </c>
      <c r="L244" s="49">
        <f xml:space="preserve"> 'Modelled costs'!$G$4</f>
        <v>0.5</v>
      </c>
    </row>
    <row r="245" spans="1:12" x14ac:dyDescent="0.25">
      <c r="A245" s="13" t="s">
        <v>5</v>
      </c>
      <c r="B245" s="13" t="s">
        <v>137</v>
      </c>
      <c r="C245" s="12" t="str">
        <f t="shared" si="3"/>
        <v>NESC_WW_WEIGHT_PR19CA004</v>
      </c>
      <c r="D245" s="12" t="s">
        <v>71</v>
      </c>
      <c r="E245" s="12" t="s">
        <v>74</v>
      </c>
      <c r="F245" s="78" t="s">
        <v>0</v>
      </c>
      <c r="G245" s="12" t="s">
        <v>59</v>
      </c>
      <c r="H245" s="49">
        <f xml:space="preserve"> 'Modelled costs'!$G$4</f>
        <v>0.5</v>
      </c>
      <c r="I245" s="49">
        <f xml:space="preserve"> 'Modelled costs'!$G$4</f>
        <v>0.5</v>
      </c>
      <c r="J245" s="49">
        <f xml:space="preserve"> 'Modelled costs'!$G$4</f>
        <v>0.5</v>
      </c>
      <c r="K245" s="49">
        <f xml:space="preserve"> 'Modelled costs'!$G$4</f>
        <v>0.5</v>
      </c>
      <c r="L245" s="49">
        <f xml:space="preserve"> 'Modelled costs'!$G$4</f>
        <v>0.5</v>
      </c>
    </row>
    <row r="246" spans="1:12" x14ac:dyDescent="0.25">
      <c r="A246" s="13" t="s">
        <v>6</v>
      </c>
      <c r="B246" s="13" t="s">
        <v>137</v>
      </c>
      <c r="C246" s="12" t="str">
        <f t="shared" si="3"/>
        <v>NWTC_WW_WEIGHT_PR19CA004</v>
      </c>
      <c r="D246" s="12" t="s">
        <v>71</v>
      </c>
      <c r="E246" s="12" t="s">
        <v>74</v>
      </c>
      <c r="F246" s="78" t="s">
        <v>0</v>
      </c>
      <c r="G246" s="12" t="s">
        <v>59</v>
      </c>
      <c r="H246" s="49">
        <f xml:space="preserve"> 'Modelled costs'!$G$4</f>
        <v>0.5</v>
      </c>
      <c r="I246" s="49">
        <f xml:space="preserve"> 'Modelled costs'!$G$4</f>
        <v>0.5</v>
      </c>
      <c r="J246" s="49">
        <f xml:space="preserve"> 'Modelled costs'!$G$4</f>
        <v>0.5</v>
      </c>
      <c r="K246" s="49">
        <f xml:space="preserve"> 'Modelled costs'!$G$4</f>
        <v>0.5</v>
      </c>
      <c r="L246" s="49">
        <f xml:space="preserve"> 'Modelled costs'!$G$4</f>
        <v>0.5</v>
      </c>
    </row>
    <row r="247" spans="1:12" x14ac:dyDescent="0.25">
      <c r="A247" s="13" t="s">
        <v>7</v>
      </c>
      <c r="B247" s="13" t="s">
        <v>137</v>
      </c>
      <c r="C247" s="12" t="str">
        <f t="shared" si="3"/>
        <v>SRNC_WW_WEIGHT_PR19CA004</v>
      </c>
      <c r="D247" s="12" t="s">
        <v>71</v>
      </c>
      <c r="E247" s="12" t="s">
        <v>74</v>
      </c>
      <c r="F247" s="78" t="s">
        <v>0</v>
      </c>
      <c r="G247" s="12" t="s">
        <v>59</v>
      </c>
      <c r="H247" s="49">
        <f xml:space="preserve"> 'Modelled costs'!$G$4</f>
        <v>0.5</v>
      </c>
      <c r="I247" s="49">
        <f xml:space="preserve"> 'Modelled costs'!$G$4</f>
        <v>0.5</v>
      </c>
      <c r="J247" s="49">
        <f xml:space="preserve"> 'Modelled costs'!$G$4</f>
        <v>0.5</v>
      </c>
      <c r="K247" s="49">
        <f xml:space="preserve"> 'Modelled costs'!$G$4</f>
        <v>0.5</v>
      </c>
      <c r="L247" s="49">
        <f xml:space="preserve"> 'Modelled costs'!$G$4</f>
        <v>0.5</v>
      </c>
    </row>
    <row r="248" spans="1:12" x14ac:dyDescent="0.25">
      <c r="A248" s="13" t="s">
        <v>89</v>
      </c>
      <c r="B248" s="13" t="s">
        <v>137</v>
      </c>
      <c r="C248" s="12" t="str">
        <f t="shared" si="3"/>
        <v>SVEC_WW_WEIGHT_PR19CA004</v>
      </c>
      <c r="D248" s="12" t="s">
        <v>71</v>
      </c>
      <c r="E248" s="12" t="s">
        <v>74</v>
      </c>
      <c r="F248" s="78" t="s">
        <v>0</v>
      </c>
      <c r="G248" s="12" t="s">
        <v>59</v>
      </c>
      <c r="H248" s="49">
        <f xml:space="preserve"> 'Modelled costs'!$G$4</f>
        <v>0.5</v>
      </c>
      <c r="I248" s="49">
        <f xml:space="preserve"> 'Modelled costs'!$G$4</f>
        <v>0.5</v>
      </c>
      <c r="J248" s="49">
        <f xml:space="preserve"> 'Modelled costs'!$G$4</f>
        <v>0.5</v>
      </c>
      <c r="K248" s="49">
        <f xml:space="preserve"> 'Modelled costs'!$G$4</f>
        <v>0.5</v>
      </c>
      <c r="L248" s="49">
        <f xml:space="preserve"> 'Modelled costs'!$G$4</f>
        <v>0.5</v>
      </c>
    </row>
    <row r="249" spans="1:12" x14ac:dyDescent="0.25">
      <c r="A249" s="13" t="s">
        <v>93</v>
      </c>
      <c r="B249" s="13" t="s">
        <v>137</v>
      </c>
      <c r="C249" s="12" t="str">
        <f t="shared" si="3"/>
        <v>SVHC_WW_WEIGHT_PR19CA004</v>
      </c>
      <c r="D249" s="12" t="s">
        <v>71</v>
      </c>
      <c r="E249" s="12" t="s">
        <v>74</v>
      </c>
      <c r="F249" s="78" t="s">
        <v>0</v>
      </c>
      <c r="G249" s="12" t="s">
        <v>59</v>
      </c>
      <c r="H249" s="49">
        <f xml:space="preserve"> 'Modelled costs'!$G$4</f>
        <v>0.5</v>
      </c>
      <c r="I249" s="49">
        <f xml:space="preserve"> 'Modelled costs'!$G$4</f>
        <v>0.5</v>
      </c>
      <c r="J249" s="49">
        <f xml:space="preserve"> 'Modelled costs'!$G$4</f>
        <v>0.5</v>
      </c>
      <c r="K249" s="49">
        <f xml:space="preserve"> 'Modelled costs'!$G$4</f>
        <v>0.5</v>
      </c>
      <c r="L249" s="49">
        <f xml:space="preserve"> 'Modelled costs'!$G$4</f>
        <v>0.5</v>
      </c>
    </row>
    <row r="250" spans="1:12" x14ac:dyDescent="0.25">
      <c r="A250" s="13" t="s">
        <v>8</v>
      </c>
      <c r="B250" s="13" t="s">
        <v>137</v>
      </c>
      <c r="C250" s="12" t="str">
        <f t="shared" si="3"/>
        <v>SVTC_WW_WEIGHT_PR19CA004</v>
      </c>
      <c r="D250" s="12" t="s">
        <v>71</v>
      </c>
      <c r="E250" s="12" t="s">
        <v>74</v>
      </c>
      <c r="F250" s="78" t="s">
        <v>0</v>
      </c>
      <c r="G250" s="12" t="s">
        <v>59</v>
      </c>
      <c r="H250" s="49">
        <f xml:space="preserve"> 'Modelled costs'!$G$4</f>
        <v>0.5</v>
      </c>
      <c r="I250" s="49">
        <f xml:space="preserve"> 'Modelled costs'!$G$4</f>
        <v>0.5</v>
      </c>
      <c r="J250" s="49">
        <f xml:space="preserve"> 'Modelled costs'!$G$4</f>
        <v>0.5</v>
      </c>
      <c r="K250" s="49">
        <f xml:space="preserve"> 'Modelled costs'!$G$4</f>
        <v>0.5</v>
      </c>
      <c r="L250" s="49">
        <f xml:space="preserve"> 'Modelled costs'!$G$4</f>
        <v>0.5</v>
      </c>
    </row>
    <row r="251" spans="1:12" x14ac:dyDescent="0.25">
      <c r="A251" s="13" t="s">
        <v>19</v>
      </c>
      <c r="B251" s="13" t="s">
        <v>137</v>
      </c>
      <c r="C251" s="12" t="str">
        <f t="shared" si="3"/>
        <v>SWBC_WW_WEIGHT_PR19CA004</v>
      </c>
      <c r="D251" s="12" t="s">
        <v>71</v>
      </c>
      <c r="E251" s="12" t="s">
        <v>74</v>
      </c>
      <c r="F251" s="78" t="s">
        <v>0</v>
      </c>
      <c r="G251" s="12" t="s">
        <v>59</v>
      </c>
      <c r="H251" s="49">
        <f xml:space="preserve"> 'Modelled costs'!$G$4</f>
        <v>0.5</v>
      </c>
      <c r="I251" s="49">
        <f xml:space="preserve"> 'Modelled costs'!$G$4</f>
        <v>0.5</v>
      </c>
      <c r="J251" s="49">
        <f xml:space="preserve"> 'Modelled costs'!$G$4</f>
        <v>0.5</v>
      </c>
      <c r="K251" s="49">
        <f xml:space="preserve"> 'Modelled costs'!$G$4</f>
        <v>0.5</v>
      </c>
      <c r="L251" s="49">
        <f xml:space="preserve"> 'Modelled costs'!$G$4</f>
        <v>0.5</v>
      </c>
    </row>
    <row r="252" spans="1:12" x14ac:dyDescent="0.25">
      <c r="A252" s="13" t="s">
        <v>9</v>
      </c>
      <c r="B252" s="13" t="s">
        <v>137</v>
      </c>
      <c r="C252" s="12" t="str">
        <f t="shared" si="3"/>
        <v>TMSC_WW_WEIGHT_PR19CA004</v>
      </c>
      <c r="D252" s="12" t="s">
        <v>71</v>
      </c>
      <c r="E252" s="12" t="s">
        <v>74</v>
      </c>
      <c r="F252" s="78" t="s">
        <v>0</v>
      </c>
      <c r="G252" s="12" t="s">
        <v>59</v>
      </c>
      <c r="H252" s="49">
        <f xml:space="preserve"> 'Modelled costs'!$G$4</f>
        <v>0.5</v>
      </c>
      <c r="I252" s="49">
        <f xml:space="preserve"> 'Modelled costs'!$G$4</f>
        <v>0.5</v>
      </c>
      <c r="J252" s="49">
        <f xml:space="preserve"> 'Modelled costs'!$G$4</f>
        <v>0.5</v>
      </c>
      <c r="K252" s="49">
        <f xml:space="preserve"> 'Modelled costs'!$G$4</f>
        <v>0.5</v>
      </c>
      <c r="L252" s="49">
        <f xml:space="preserve"> 'Modelled costs'!$G$4</f>
        <v>0.5</v>
      </c>
    </row>
    <row r="253" spans="1:12" x14ac:dyDescent="0.25">
      <c r="A253" s="13" t="s">
        <v>23</v>
      </c>
      <c r="B253" s="13" t="s">
        <v>137</v>
      </c>
      <c r="C253" s="12" t="str">
        <f t="shared" si="3"/>
        <v>WSHC_WW_WEIGHT_PR19CA004</v>
      </c>
      <c r="D253" s="12" t="s">
        <v>71</v>
      </c>
      <c r="E253" s="12" t="s">
        <v>74</v>
      </c>
      <c r="F253" s="78" t="s">
        <v>0</v>
      </c>
      <c r="G253" s="12" t="s">
        <v>59</v>
      </c>
      <c r="H253" s="49">
        <f xml:space="preserve"> 'Modelled costs'!$G$4</f>
        <v>0.5</v>
      </c>
      <c r="I253" s="49">
        <f xml:space="preserve"> 'Modelled costs'!$G$4</f>
        <v>0.5</v>
      </c>
      <c r="J253" s="49">
        <f xml:space="preserve"> 'Modelled costs'!$G$4</f>
        <v>0.5</v>
      </c>
      <c r="K253" s="49">
        <f xml:space="preserve"> 'Modelled costs'!$G$4</f>
        <v>0.5</v>
      </c>
      <c r="L253" s="49">
        <f xml:space="preserve"> 'Modelled costs'!$G$4</f>
        <v>0.5</v>
      </c>
    </row>
    <row r="254" spans="1:12" x14ac:dyDescent="0.25">
      <c r="A254" s="13" t="s">
        <v>10</v>
      </c>
      <c r="B254" s="13" t="s">
        <v>137</v>
      </c>
      <c r="C254" s="12" t="str">
        <f t="shared" si="3"/>
        <v>WSXC_WW_WEIGHT_PR19CA004</v>
      </c>
      <c r="D254" s="12" t="s">
        <v>71</v>
      </c>
      <c r="E254" s="12" t="s">
        <v>74</v>
      </c>
      <c r="F254" s="78" t="s">
        <v>0</v>
      </c>
      <c r="G254" s="12" t="s">
        <v>59</v>
      </c>
      <c r="H254" s="49">
        <f xml:space="preserve"> 'Modelled costs'!$G$4</f>
        <v>0.5</v>
      </c>
      <c r="I254" s="49">
        <f xml:space="preserve"> 'Modelled costs'!$G$4</f>
        <v>0.5</v>
      </c>
      <c r="J254" s="49">
        <f xml:space="preserve"> 'Modelled costs'!$G$4</f>
        <v>0.5</v>
      </c>
      <c r="K254" s="49">
        <f xml:space="preserve"> 'Modelled costs'!$G$4</f>
        <v>0.5</v>
      </c>
      <c r="L254" s="49">
        <f xml:space="preserve"> 'Modelled costs'!$G$4</f>
        <v>0.5</v>
      </c>
    </row>
    <row r="255" spans="1:12" x14ac:dyDescent="0.25">
      <c r="A255" s="13" t="s">
        <v>11</v>
      </c>
      <c r="B255" s="13" t="s">
        <v>137</v>
      </c>
      <c r="C255" s="12" t="str">
        <f t="shared" si="3"/>
        <v>YKYC_WW_WEIGHT_PR19CA004</v>
      </c>
      <c r="D255" s="12" t="s">
        <v>71</v>
      </c>
      <c r="E255" s="12" t="s">
        <v>74</v>
      </c>
      <c r="F255" s="78" t="s">
        <v>0</v>
      </c>
      <c r="G255" s="12" t="s">
        <v>59</v>
      </c>
      <c r="H255" s="49">
        <f xml:space="preserve"> 'Modelled costs'!$G$4</f>
        <v>0.5</v>
      </c>
      <c r="I255" s="49">
        <f xml:space="preserve"> 'Modelled costs'!$G$4</f>
        <v>0.5</v>
      </c>
      <c r="J255" s="49">
        <f xml:space="preserve"> 'Modelled costs'!$G$4</f>
        <v>0.5</v>
      </c>
      <c r="K255" s="49">
        <f xml:space="preserve"> 'Modelled costs'!$G$4</f>
        <v>0.5</v>
      </c>
      <c r="L255" s="49">
        <f xml:space="preserve"> 'Modelled costs'!$G$4</f>
        <v>0.5</v>
      </c>
    </row>
    <row r="256" spans="1:12" x14ac:dyDescent="0.25">
      <c r="A256" s="13" t="s">
        <v>12</v>
      </c>
      <c r="B256" s="13" t="s">
        <v>137</v>
      </c>
      <c r="C256" s="12" t="str">
        <f t="shared" si="3"/>
        <v>AFWC_WW_WEIGHT_PR19CA004</v>
      </c>
      <c r="D256" s="12" t="s">
        <v>71</v>
      </c>
      <c r="E256" s="12" t="s">
        <v>74</v>
      </c>
      <c r="F256" s="78" t="s">
        <v>0</v>
      </c>
      <c r="G256" s="12" t="s">
        <v>59</v>
      </c>
      <c r="H256" s="49">
        <f xml:space="preserve"> 'Modelled costs'!$G$4</f>
        <v>0.5</v>
      </c>
      <c r="I256" s="49">
        <f xml:space="preserve"> 'Modelled costs'!$G$4</f>
        <v>0.5</v>
      </c>
      <c r="J256" s="49">
        <f xml:space="preserve"> 'Modelled costs'!$G$4</f>
        <v>0.5</v>
      </c>
      <c r="K256" s="49">
        <f xml:space="preserve"> 'Modelled costs'!$G$4</f>
        <v>0.5</v>
      </c>
      <c r="L256" s="49">
        <f xml:space="preserve"> 'Modelled costs'!$G$4</f>
        <v>0.5</v>
      </c>
    </row>
    <row r="257" spans="1:12" x14ac:dyDescent="0.25">
      <c r="A257" s="13" t="s">
        <v>13</v>
      </c>
      <c r="B257" s="13" t="s">
        <v>137</v>
      </c>
      <c r="C257" s="12" t="str">
        <f t="shared" si="3"/>
        <v>BRLC_WW_WEIGHT_PR19CA004</v>
      </c>
      <c r="D257" s="12" t="s">
        <v>71</v>
      </c>
      <c r="E257" s="12" t="s">
        <v>74</v>
      </c>
      <c r="F257" s="78" t="s">
        <v>0</v>
      </c>
      <c r="G257" s="12" t="s">
        <v>59</v>
      </c>
      <c r="H257" s="49">
        <f xml:space="preserve"> 'Modelled costs'!$G$4</f>
        <v>0.5</v>
      </c>
      <c r="I257" s="49">
        <f xml:space="preserve"> 'Modelled costs'!$G$4</f>
        <v>0.5</v>
      </c>
      <c r="J257" s="49">
        <f xml:space="preserve"> 'Modelled costs'!$G$4</f>
        <v>0.5</v>
      </c>
      <c r="K257" s="49">
        <f xml:space="preserve"> 'Modelled costs'!$G$4</f>
        <v>0.5</v>
      </c>
      <c r="L257" s="49">
        <f xml:space="preserve"> 'Modelled costs'!$G$4</f>
        <v>0.5</v>
      </c>
    </row>
    <row r="258" spans="1:12" x14ac:dyDescent="0.25">
      <c r="A258" s="13" t="s">
        <v>14</v>
      </c>
      <c r="B258" s="13" t="s">
        <v>137</v>
      </c>
      <c r="C258" s="12" t="str">
        <f t="shared" si="3"/>
        <v>DVWC_WW_WEIGHT_PR19CA004</v>
      </c>
      <c r="D258" s="12" t="s">
        <v>71</v>
      </c>
      <c r="E258" s="12" t="s">
        <v>74</v>
      </c>
      <c r="F258" s="78" t="s">
        <v>0</v>
      </c>
      <c r="G258" s="12" t="s">
        <v>59</v>
      </c>
      <c r="H258" s="49">
        <f xml:space="preserve"> 'Modelled costs'!$G$4</f>
        <v>0.5</v>
      </c>
      <c r="I258" s="49">
        <f xml:space="preserve"> 'Modelled costs'!$G$4</f>
        <v>0.5</v>
      </c>
      <c r="J258" s="49">
        <f xml:space="preserve"> 'Modelled costs'!$G$4</f>
        <v>0.5</v>
      </c>
      <c r="K258" s="49">
        <f xml:space="preserve"> 'Modelled costs'!$G$4</f>
        <v>0.5</v>
      </c>
      <c r="L258" s="49">
        <f xml:space="preserve"> 'Modelled costs'!$G$4</f>
        <v>0.5</v>
      </c>
    </row>
    <row r="259" spans="1:12" x14ac:dyDescent="0.25">
      <c r="A259" s="13" t="s">
        <v>15</v>
      </c>
      <c r="B259" s="13" t="s">
        <v>137</v>
      </c>
      <c r="C259" s="12" t="str">
        <f t="shared" si="3"/>
        <v>PRTC_WW_WEIGHT_PR19CA004</v>
      </c>
      <c r="D259" s="12" t="s">
        <v>71</v>
      </c>
      <c r="E259" s="12" t="s">
        <v>74</v>
      </c>
      <c r="F259" s="78" t="s">
        <v>0</v>
      </c>
      <c r="G259" s="12" t="s">
        <v>59</v>
      </c>
      <c r="H259" s="49">
        <f xml:space="preserve"> 'Modelled costs'!$G$4</f>
        <v>0.5</v>
      </c>
      <c r="I259" s="49">
        <f xml:space="preserve"> 'Modelled costs'!$G$4</f>
        <v>0.5</v>
      </c>
      <c r="J259" s="49">
        <f xml:space="preserve"> 'Modelled costs'!$G$4</f>
        <v>0.5</v>
      </c>
      <c r="K259" s="49">
        <f xml:space="preserve"> 'Modelled costs'!$G$4</f>
        <v>0.5</v>
      </c>
      <c r="L259" s="49">
        <f xml:space="preserve"> 'Modelled costs'!$G$4</f>
        <v>0.5</v>
      </c>
    </row>
    <row r="260" spans="1:12" x14ac:dyDescent="0.25">
      <c r="A260" s="13" t="s">
        <v>16</v>
      </c>
      <c r="B260" s="13" t="s">
        <v>137</v>
      </c>
      <c r="C260" s="12" t="str">
        <f t="shared" si="3"/>
        <v>SESC_WW_WEIGHT_PR19CA004</v>
      </c>
      <c r="D260" s="12" t="s">
        <v>71</v>
      </c>
      <c r="E260" s="12" t="s">
        <v>74</v>
      </c>
      <c r="F260" s="78" t="s">
        <v>0</v>
      </c>
      <c r="G260" s="12" t="s">
        <v>59</v>
      </c>
      <c r="H260" s="49">
        <f xml:space="preserve"> 'Modelled costs'!$G$4</f>
        <v>0.5</v>
      </c>
      <c r="I260" s="49">
        <f xml:space="preserve"> 'Modelled costs'!$G$4</f>
        <v>0.5</v>
      </c>
      <c r="J260" s="49">
        <f xml:space="preserve"> 'Modelled costs'!$G$4</f>
        <v>0.5</v>
      </c>
      <c r="K260" s="49">
        <f xml:space="preserve"> 'Modelled costs'!$G$4</f>
        <v>0.5</v>
      </c>
      <c r="L260" s="49">
        <f xml:space="preserve"> 'Modelled costs'!$G$4</f>
        <v>0.5</v>
      </c>
    </row>
    <row r="261" spans="1:12" x14ac:dyDescent="0.25">
      <c r="A261" s="13" t="s">
        <v>17</v>
      </c>
      <c r="B261" s="13" t="s">
        <v>137</v>
      </c>
      <c r="C261" s="12" t="str">
        <f t="shared" si="3"/>
        <v>SEWC_WW_WEIGHT_PR19CA004</v>
      </c>
      <c r="D261" s="12" t="s">
        <v>71</v>
      </c>
      <c r="E261" s="12" t="s">
        <v>74</v>
      </c>
      <c r="F261" s="78" t="s">
        <v>0</v>
      </c>
      <c r="G261" s="12" t="s">
        <v>59</v>
      </c>
      <c r="H261" s="49">
        <f xml:space="preserve"> 'Modelled costs'!$G$4</f>
        <v>0.5</v>
      </c>
      <c r="I261" s="49">
        <f xml:space="preserve"> 'Modelled costs'!$G$4</f>
        <v>0.5</v>
      </c>
      <c r="J261" s="49">
        <f xml:space="preserve"> 'Modelled costs'!$G$4</f>
        <v>0.5</v>
      </c>
      <c r="K261" s="49">
        <f xml:space="preserve"> 'Modelled costs'!$G$4</f>
        <v>0.5</v>
      </c>
      <c r="L261" s="49">
        <f xml:space="preserve"> 'Modelled costs'!$G$4</f>
        <v>0.5</v>
      </c>
    </row>
    <row r="262" spans="1:12" x14ac:dyDescent="0.25">
      <c r="A262" s="13" t="s">
        <v>18</v>
      </c>
      <c r="B262" s="13" t="s">
        <v>137</v>
      </c>
      <c r="C262" s="12" t="str">
        <f t="shared" si="3"/>
        <v>SSCC_WW_WEIGHT_PR19CA004</v>
      </c>
      <c r="D262" s="12" t="s">
        <v>71</v>
      </c>
      <c r="E262" s="12" t="s">
        <v>74</v>
      </c>
      <c r="F262" s="78" t="s">
        <v>0</v>
      </c>
      <c r="G262" s="12" t="s">
        <v>59</v>
      </c>
      <c r="H262" s="49">
        <f xml:space="preserve"> 'Modelled costs'!$G$4</f>
        <v>0.5</v>
      </c>
      <c r="I262" s="49">
        <f xml:space="preserve"> 'Modelled costs'!$G$4</f>
        <v>0.5</v>
      </c>
      <c r="J262" s="49">
        <f xml:space="preserve"> 'Modelled costs'!$G$4</f>
        <v>0.5</v>
      </c>
      <c r="K262" s="49">
        <f xml:space="preserve"> 'Modelled costs'!$G$4</f>
        <v>0.5</v>
      </c>
      <c r="L262" s="49">
        <f xml:space="preserve"> 'Modelled costs'!$G$4</f>
        <v>0.5</v>
      </c>
    </row>
    <row r="263" spans="1:12" x14ac:dyDescent="0.25">
      <c r="A263" s="13" t="s">
        <v>4</v>
      </c>
      <c r="B263" s="13" t="s">
        <v>138</v>
      </c>
      <c r="C263" s="12" t="str">
        <f t="shared" si="3"/>
        <v>ANHC_FINAL_WEIGHT_PR19CA004</v>
      </c>
      <c r="D263" s="12" t="s">
        <v>68</v>
      </c>
      <c r="E263" s="12" t="s">
        <v>75</v>
      </c>
      <c r="F263" s="78" t="s">
        <v>0</v>
      </c>
      <c r="G263" s="12" t="s">
        <v>59</v>
      </c>
      <c r="H263" s="49">
        <f xml:space="preserve"> 'Modelled costs'!$M$4</f>
        <v>0.5</v>
      </c>
      <c r="I263" s="49">
        <f xml:space="preserve"> 'Modelled costs'!$M$4</f>
        <v>0.5</v>
      </c>
      <c r="J263" s="49">
        <f xml:space="preserve"> 'Modelled costs'!$M$4</f>
        <v>0.5</v>
      </c>
      <c r="K263" s="49">
        <f xml:space="preserve"> 'Modelled costs'!$M$4</f>
        <v>0.5</v>
      </c>
      <c r="L263" s="49">
        <f xml:space="preserve"> 'Modelled costs'!$M$4</f>
        <v>0.5</v>
      </c>
    </row>
    <row r="264" spans="1:12" x14ac:dyDescent="0.25">
      <c r="A264" s="13" t="s">
        <v>90</v>
      </c>
      <c r="B264" s="13" t="s">
        <v>138</v>
      </c>
      <c r="C264" s="12" t="str">
        <f t="shared" si="3"/>
        <v>HDDC_FINAL_WEIGHT_PR19CA004</v>
      </c>
      <c r="D264" s="12" t="s">
        <v>68</v>
      </c>
      <c r="E264" s="12" t="s">
        <v>75</v>
      </c>
      <c r="F264" s="78" t="s">
        <v>0</v>
      </c>
      <c r="G264" s="12" t="s">
        <v>59</v>
      </c>
      <c r="H264" s="49">
        <f xml:space="preserve"> 'Modelled costs'!$M$4</f>
        <v>0.5</v>
      </c>
      <c r="I264" s="49">
        <f xml:space="preserve"> 'Modelled costs'!$M$4</f>
        <v>0.5</v>
      </c>
      <c r="J264" s="49">
        <f xml:space="preserve"> 'Modelled costs'!$M$4</f>
        <v>0.5</v>
      </c>
      <c r="K264" s="49">
        <f xml:space="preserve"> 'Modelled costs'!$M$4</f>
        <v>0.5</v>
      </c>
      <c r="L264" s="49">
        <f xml:space="preserve"> 'Modelled costs'!$M$4</f>
        <v>0.5</v>
      </c>
    </row>
    <row r="265" spans="1:12" x14ac:dyDescent="0.25">
      <c r="A265" s="13" t="s">
        <v>5</v>
      </c>
      <c r="B265" s="13" t="s">
        <v>138</v>
      </c>
      <c r="C265" s="12" t="str">
        <f t="shared" si="3"/>
        <v>NESC_FINAL_WEIGHT_PR19CA004</v>
      </c>
      <c r="D265" s="12" t="s">
        <v>68</v>
      </c>
      <c r="E265" s="12" t="s">
        <v>75</v>
      </c>
      <c r="F265" s="78" t="s">
        <v>0</v>
      </c>
      <c r="G265" s="12" t="s">
        <v>59</v>
      </c>
      <c r="H265" s="49">
        <f xml:space="preserve"> 'Modelled costs'!$M$4</f>
        <v>0.5</v>
      </c>
      <c r="I265" s="49">
        <f xml:space="preserve"> 'Modelled costs'!$M$4</f>
        <v>0.5</v>
      </c>
      <c r="J265" s="49">
        <f xml:space="preserve"> 'Modelled costs'!$M$4</f>
        <v>0.5</v>
      </c>
      <c r="K265" s="49">
        <f xml:space="preserve"> 'Modelled costs'!$M$4</f>
        <v>0.5</v>
      </c>
      <c r="L265" s="49">
        <f xml:space="preserve"> 'Modelled costs'!$M$4</f>
        <v>0.5</v>
      </c>
    </row>
    <row r="266" spans="1:12" x14ac:dyDescent="0.25">
      <c r="A266" s="13" t="s">
        <v>6</v>
      </c>
      <c r="B266" s="13" t="s">
        <v>138</v>
      </c>
      <c r="C266" s="12" t="str">
        <f t="shared" si="3"/>
        <v>NWTC_FINAL_WEIGHT_PR19CA004</v>
      </c>
      <c r="D266" s="12" t="s">
        <v>68</v>
      </c>
      <c r="E266" s="12" t="s">
        <v>75</v>
      </c>
      <c r="F266" s="78" t="s">
        <v>0</v>
      </c>
      <c r="G266" s="12" t="s">
        <v>59</v>
      </c>
      <c r="H266" s="49">
        <f xml:space="preserve"> 'Modelled costs'!$M$4</f>
        <v>0.5</v>
      </c>
      <c r="I266" s="49">
        <f xml:space="preserve"> 'Modelled costs'!$M$4</f>
        <v>0.5</v>
      </c>
      <c r="J266" s="49">
        <f xml:space="preserve"> 'Modelled costs'!$M$4</f>
        <v>0.5</v>
      </c>
      <c r="K266" s="49">
        <f xml:space="preserve"> 'Modelled costs'!$M$4</f>
        <v>0.5</v>
      </c>
      <c r="L266" s="49">
        <f xml:space="preserve"> 'Modelled costs'!$M$4</f>
        <v>0.5</v>
      </c>
    </row>
    <row r="267" spans="1:12" x14ac:dyDescent="0.25">
      <c r="A267" s="13" t="s">
        <v>7</v>
      </c>
      <c r="B267" s="13" t="s">
        <v>138</v>
      </c>
      <c r="C267" s="12" t="str">
        <f t="shared" si="3"/>
        <v>SRNC_FINAL_WEIGHT_PR19CA004</v>
      </c>
      <c r="D267" s="12" t="s">
        <v>68</v>
      </c>
      <c r="E267" s="12" t="s">
        <v>75</v>
      </c>
      <c r="F267" s="78" t="s">
        <v>0</v>
      </c>
      <c r="G267" s="12" t="s">
        <v>59</v>
      </c>
      <c r="H267" s="49">
        <f xml:space="preserve"> 'Modelled costs'!$M$4</f>
        <v>0.5</v>
      </c>
      <c r="I267" s="49">
        <f xml:space="preserve"> 'Modelled costs'!$M$4</f>
        <v>0.5</v>
      </c>
      <c r="J267" s="49">
        <f xml:space="preserve"> 'Modelled costs'!$M$4</f>
        <v>0.5</v>
      </c>
      <c r="K267" s="49">
        <f xml:space="preserve"> 'Modelled costs'!$M$4</f>
        <v>0.5</v>
      </c>
      <c r="L267" s="49">
        <f xml:space="preserve"> 'Modelled costs'!$M$4</f>
        <v>0.5</v>
      </c>
    </row>
    <row r="268" spans="1:12" x14ac:dyDescent="0.25">
      <c r="A268" s="13" t="s">
        <v>89</v>
      </c>
      <c r="B268" s="13" t="s">
        <v>138</v>
      </c>
      <c r="C268" s="12" t="str">
        <f t="shared" si="3"/>
        <v>SVEC_FINAL_WEIGHT_PR19CA004</v>
      </c>
      <c r="D268" s="12" t="s">
        <v>68</v>
      </c>
      <c r="E268" s="12" t="s">
        <v>75</v>
      </c>
      <c r="F268" s="78" t="s">
        <v>0</v>
      </c>
      <c r="G268" s="12" t="s">
        <v>59</v>
      </c>
      <c r="H268" s="49">
        <f xml:space="preserve"> 'Modelled costs'!$M$4</f>
        <v>0.5</v>
      </c>
      <c r="I268" s="49">
        <f xml:space="preserve"> 'Modelled costs'!$M$4</f>
        <v>0.5</v>
      </c>
      <c r="J268" s="49">
        <f xml:space="preserve"> 'Modelled costs'!$M$4</f>
        <v>0.5</v>
      </c>
      <c r="K268" s="49">
        <f xml:space="preserve"> 'Modelled costs'!$M$4</f>
        <v>0.5</v>
      </c>
      <c r="L268" s="49">
        <f xml:space="preserve"> 'Modelled costs'!$M$4</f>
        <v>0.5</v>
      </c>
    </row>
    <row r="269" spans="1:12" x14ac:dyDescent="0.25">
      <c r="A269" s="13" t="s">
        <v>93</v>
      </c>
      <c r="B269" s="13" t="s">
        <v>138</v>
      </c>
      <c r="C269" s="12" t="str">
        <f t="shared" si="3"/>
        <v>SVHC_FINAL_WEIGHT_PR19CA004</v>
      </c>
      <c r="D269" s="12" t="s">
        <v>68</v>
      </c>
      <c r="E269" s="12" t="s">
        <v>75</v>
      </c>
      <c r="F269" s="78" t="s">
        <v>0</v>
      </c>
      <c r="G269" s="12" t="s">
        <v>59</v>
      </c>
      <c r="H269" s="49">
        <f xml:space="preserve"> 'Modelled costs'!$M$4</f>
        <v>0.5</v>
      </c>
      <c r="I269" s="49">
        <f xml:space="preserve"> 'Modelled costs'!$M$4</f>
        <v>0.5</v>
      </c>
      <c r="J269" s="49">
        <f xml:space="preserve"> 'Modelled costs'!$M$4</f>
        <v>0.5</v>
      </c>
      <c r="K269" s="49">
        <f xml:space="preserve"> 'Modelled costs'!$M$4</f>
        <v>0.5</v>
      </c>
      <c r="L269" s="49">
        <f xml:space="preserve"> 'Modelled costs'!$M$4</f>
        <v>0.5</v>
      </c>
    </row>
    <row r="270" spans="1:12" x14ac:dyDescent="0.25">
      <c r="A270" s="13" t="s">
        <v>8</v>
      </c>
      <c r="B270" s="13" t="s">
        <v>138</v>
      </c>
      <c r="C270" s="12" t="str">
        <f t="shared" si="3"/>
        <v>SVTC_FINAL_WEIGHT_PR19CA004</v>
      </c>
      <c r="D270" s="12" t="s">
        <v>68</v>
      </c>
      <c r="E270" s="12" t="s">
        <v>75</v>
      </c>
      <c r="F270" s="78" t="s">
        <v>0</v>
      </c>
      <c r="G270" s="12" t="s">
        <v>59</v>
      </c>
      <c r="H270" s="49">
        <f xml:space="preserve"> 'Modelled costs'!$M$4</f>
        <v>0.5</v>
      </c>
      <c r="I270" s="49">
        <f xml:space="preserve"> 'Modelled costs'!$M$4</f>
        <v>0.5</v>
      </c>
      <c r="J270" s="49">
        <f xml:space="preserve"> 'Modelled costs'!$M$4</f>
        <v>0.5</v>
      </c>
      <c r="K270" s="49">
        <f xml:space="preserve"> 'Modelled costs'!$M$4</f>
        <v>0.5</v>
      </c>
      <c r="L270" s="49">
        <f xml:space="preserve"> 'Modelled costs'!$M$4</f>
        <v>0.5</v>
      </c>
    </row>
    <row r="271" spans="1:12" x14ac:dyDescent="0.25">
      <c r="A271" s="13" t="s">
        <v>19</v>
      </c>
      <c r="B271" s="13" t="s">
        <v>138</v>
      </c>
      <c r="C271" s="12" t="str">
        <f t="shared" si="3"/>
        <v>SWBC_FINAL_WEIGHT_PR19CA004</v>
      </c>
      <c r="D271" s="12" t="s">
        <v>68</v>
      </c>
      <c r="E271" s="12" t="s">
        <v>75</v>
      </c>
      <c r="F271" s="78" t="s">
        <v>0</v>
      </c>
      <c r="G271" s="12" t="s">
        <v>59</v>
      </c>
      <c r="H271" s="49">
        <f xml:space="preserve"> 'Modelled costs'!$M$4</f>
        <v>0.5</v>
      </c>
      <c r="I271" s="49">
        <f xml:space="preserve"> 'Modelled costs'!$M$4</f>
        <v>0.5</v>
      </c>
      <c r="J271" s="49">
        <f xml:space="preserve"> 'Modelled costs'!$M$4</f>
        <v>0.5</v>
      </c>
      <c r="K271" s="49">
        <f xml:space="preserve"> 'Modelled costs'!$M$4</f>
        <v>0.5</v>
      </c>
      <c r="L271" s="49">
        <f xml:space="preserve"> 'Modelled costs'!$M$4</f>
        <v>0.5</v>
      </c>
    </row>
    <row r="272" spans="1:12" x14ac:dyDescent="0.25">
      <c r="A272" s="13" t="s">
        <v>9</v>
      </c>
      <c r="B272" s="13" t="s">
        <v>138</v>
      </c>
      <c r="C272" s="12" t="str">
        <f t="shared" si="3"/>
        <v>TMSC_FINAL_WEIGHT_PR19CA004</v>
      </c>
      <c r="D272" s="12" t="s">
        <v>68</v>
      </c>
      <c r="E272" s="12" t="s">
        <v>75</v>
      </c>
      <c r="F272" s="78" t="s">
        <v>0</v>
      </c>
      <c r="G272" s="12" t="s">
        <v>59</v>
      </c>
      <c r="H272" s="49">
        <f xml:space="preserve"> 'Modelled costs'!$M$4</f>
        <v>0.5</v>
      </c>
      <c r="I272" s="49">
        <f xml:space="preserve"> 'Modelled costs'!$M$4</f>
        <v>0.5</v>
      </c>
      <c r="J272" s="49">
        <f xml:space="preserve"> 'Modelled costs'!$M$4</f>
        <v>0.5</v>
      </c>
      <c r="K272" s="49">
        <f xml:space="preserve"> 'Modelled costs'!$M$4</f>
        <v>0.5</v>
      </c>
      <c r="L272" s="49">
        <f xml:space="preserve"> 'Modelled costs'!$M$4</f>
        <v>0.5</v>
      </c>
    </row>
    <row r="273" spans="1:12" x14ac:dyDescent="0.25">
      <c r="A273" s="13" t="s">
        <v>23</v>
      </c>
      <c r="B273" s="13" t="s">
        <v>138</v>
      </c>
      <c r="C273" s="12" t="str">
        <f t="shared" si="3"/>
        <v>WSHC_FINAL_WEIGHT_PR19CA004</v>
      </c>
      <c r="D273" s="12" t="s">
        <v>68</v>
      </c>
      <c r="E273" s="12" t="s">
        <v>75</v>
      </c>
      <c r="F273" s="78" t="s">
        <v>0</v>
      </c>
      <c r="G273" s="12" t="s">
        <v>59</v>
      </c>
      <c r="H273" s="49">
        <f xml:space="preserve"> 'Modelled costs'!$M$4</f>
        <v>0.5</v>
      </c>
      <c r="I273" s="49">
        <f xml:space="preserve"> 'Modelled costs'!$M$4</f>
        <v>0.5</v>
      </c>
      <c r="J273" s="49">
        <f xml:space="preserve"> 'Modelled costs'!$M$4</f>
        <v>0.5</v>
      </c>
      <c r="K273" s="49">
        <f xml:space="preserve"> 'Modelled costs'!$M$4</f>
        <v>0.5</v>
      </c>
      <c r="L273" s="49">
        <f xml:space="preserve"> 'Modelled costs'!$M$4</f>
        <v>0.5</v>
      </c>
    </row>
    <row r="274" spans="1:12" x14ac:dyDescent="0.25">
      <c r="A274" s="13" t="s">
        <v>10</v>
      </c>
      <c r="B274" s="13" t="s">
        <v>138</v>
      </c>
      <c r="C274" s="12" t="str">
        <f t="shared" si="3"/>
        <v>WSXC_FINAL_WEIGHT_PR19CA004</v>
      </c>
      <c r="D274" s="12" t="s">
        <v>68</v>
      </c>
      <c r="E274" s="12" t="s">
        <v>75</v>
      </c>
      <c r="F274" s="78" t="s">
        <v>0</v>
      </c>
      <c r="G274" s="12" t="s">
        <v>59</v>
      </c>
      <c r="H274" s="49">
        <f xml:space="preserve"> 'Modelled costs'!$M$4</f>
        <v>0.5</v>
      </c>
      <c r="I274" s="49">
        <f xml:space="preserve"> 'Modelled costs'!$M$4</f>
        <v>0.5</v>
      </c>
      <c r="J274" s="49">
        <f xml:space="preserve"> 'Modelled costs'!$M$4</f>
        <v>0.5</v>
      </c>
      <c r="K274" s="49">
        <f xml:space="preserve"> 'Modelled costs'!$M$4</f>
        <v>0.5</v>
      </c>
      <c r="L274" s="49">
        <f xml:space="preserve"> 'Modelled costs'!$M$4</f>
        <v>0.5</v>
      </c>
    </row>
    <row r="275" spans="1:12" x14ac:dyDescent="0.25">
      <c r="A275" s="13" t="s">
        <v>11</v>
      </c>
      <c r="B275" s="13" t="s">
        <v>138</v>
      </c>
      <c r="C275" s="12" t="str">
        <f t="shared" si="3"/>
        <v>YKYC_FINAL_WEIGHT_PR19CA004</v>
      </c>
      <c r="D275" s="12" t="s">
        <v>68</v>
      </c>
      <c r="E275" s="12" t="s">
        <v>75</v>
      </c>
      <c r="F275" s="78" t="s">
        <v>0</v>
      </c>
      <c r="G275" s="12" t="s">
        <v>59</v>
      </c>
      <c r="H275" s="49">
        <f xml:space="preserve"> 'Modelled costs'!$M$4</f>
        <v>0.5</v>
      </c>
      <c r="I275" s="49">
        <f xml:space="preserve"> 'Modelled costs'!$M$4</f>
        <v>0.5</v>
      </c>
      <c r="J275" s="49">
        <f xml:space="preserve"> 'Modelled costs'!$M$4</f>
        <v>0.5</v>
      </c>
      <c r="K275" s="49">
        <f xml:space="preserve"> 'Modelled costs'!$M$4</f>
        <v>0.5</v>
      </c>
      <c r="L275" s="49">
        <f xml:space="preserve"> 'Modelled costs'!$M$4</f>
        <v>0.5</v>
      </c>
    </row>
    <row r="276" spans="1:12" x14ac:dyDescent="0.25">
      <c r="A276" s="13" t="s">
        <v>12</v>
      </c>
      <c r="B276" s="13" t="s">
        <v>138</v>
      </c>
      <c r="C276" s="12" t="str">
        <f t="shared" si="3"/>
        <v>AFWC_FINAL_WEIGHT_PR19CA004</v>
      </c>
      <c r="D276" s="12" t="s">
        <v>68</v>
      </c>
      <c r="E276" s="12" t="s">
        <v>75</v>
      </c>
      <c r="F276" s="78" t="s">
        <v>0</v>
      </c>
      <c r="G276" s="12" t="s">
        <v>59</v>
      </c>
      <c r="H276" s="49">
        <f xml:space="preserve"> 'Modelled costs'!$M$4</f>
        <v>0.5</v>
      </c>
      <c r="I276" s="49">
        <f xml:space="preserve"> 'Modelled costs'!$M$4</f>
        <v>0.5</v>
      </c>
      <c r="J276" s="49">
        <f xml:space="preserve"> 'Modelled costs'!$M$4</f>
        <v>0.5</v>
      </c>
      <c r="K276" s="49">
        <f xml:space="preserve"> 'Modelled costs'!$M$4</f>
        <v>0.5</v>
      </c>
      <c r="L276" s="49">
        <f xml:space="preserve"> 'Modelled costs'!$M$4</f>
        <v>0.5</v>
      </c>
    </row>
    <row r="277" spans="1:12" x14ac:dyDescent="0.25">
      <c r="A277" s="13" t="s">
        <v>13</v>
      </c>
      <c r="B277" s="13" t="s">
        <v>138</v>
      </c>
      <c r="C277" s="12" t="str">
        <f t="shared" si="3"/>
        <v>BRLC_FINAL_WEIGHT_PR19CA004</v>
      </c>
      <c r="D277" s="12" t="s">
        <v>68</v>
      </c>
      <c r="E277" s="12" t="s">
        <v>75</v>
      </c>
      <c r="F277" s="78" t="s">
        <v>0</v>
      </c>
      <c r="G277" s="12" t="s">
        <v>59</v>
      </c>
      <c r="H277" s="49">
        <f xml:space="preserve"> 'Modelled costs'!$M$4</f>
        <v>0.5</v>
      </c>
      <c r="I277" s="49">
        <f xml:space="preserve"> 'Modelled costs'!$M$4</f>
        <v>0.5</v>
      </c>
      <c r="J277" s="49">
        <f xml:space="preserve"> 'Modelled costs'!$M$4</f>
        <v>0.5</v>
      </c>
      <c r="K277" s="49">
        <f xml:space="preserve"> 'Modelled costs'!$M$4</f>
        <v>0.5</v>
      </c>
      <c r="L277" s="49">
        <f xml:space="preserve"> 'Modelled costs'!$M$4</f>
        <v>0.5</v>
      </c>
    </row>
    <row r="278" spans="1:12" x14ac:dyDescent="0.25">
      <c r="A278" s="13" t="s">
        <v>14</v>
      </c>
      <c r="B278" s="13" t="s">
        <v>138</v>
      </c>
      <c r="C278" s="12" t="str">
        <f t="shared" ref="C278" si="4">A278&amp;B278</f>
        <v>DVWC_FINAL_WEIGHT_PR19CA004</v>
      </c>
      <c r="D278" s="12" t="s">
        <v>68</v>
      </c>
      <c r="E278" s="12" t="s">
        <v>75</v>
      </c>
      <c r="F278" s="78" t="s">
        <v>0</v>
      </c>
      <c r="G278" s="12" t="s">
        <v>59</v>
      </c>
      <c r="H278" s="49">
        <f xml:space="preserve"> 'Modelled costs'!$M$4</f>
        <v>0.5</v>
      </c>
      <c r="I278" s="49">
        <f xml:space="preserve"> 'Modelled costs'!$M$4</f>
        <v>0.5</v>
      </c>
      <c r="J278" s="49">
        <f xml:space="preserve"> 'Modelled costs'!$M$4</f>
        <v>0.5</v>
      </c>
      <c r="K278" s="49">
        <f xml:space="preserve"> 'Modelled costs'!$M$4</f>
        <v>0.5</v>
      </c>
      <c r="L278" s="49">
        <f xml:space="preserve"> 'Modelled costs'!$M$4</f>
        <v>0.5</v>
      </c>
    </row>
    <row r="279" spans="1:12" x14ac:dyDescent="0.25">
      <c r="A279" s="13" t="s">
        <v>15</v>
      </c>
      <c r="B279" s="13" t="s">
        <v>138</v>
      </c>
      <c r="C279" s="12" t="str">
        <f t="shared" si="3"/>
        <v>PRTC_FINAL_WEIGHT_PR19CA004</v>
      </c>
      <c r="D279" s="12" t="s">
        <v>68</v>
      </c>
      <c r="E279" s="12" t="s">
        <v>75</v>
      </c>
      <c r="F279" s="78" t="s">
        <v>0</v>
      </c>
      <c r="G279" s="12" t="s">
        <v>59</v>
      </c>
      <c r="H279" s="49">
        <f xml:space="preserve"> 'Modelled costs'!$M$4</f>
        <v>0.5</v>
      </c>
      <c r="I279" s="49">
        <f xml:space="preserve"> 'Modelled costs'!$M$4</f>
        <v>0.5</v>
      </c>
      <c r="J279" s="49">
        <f xml:space="preserve"> 'Modelled costs'!$M$4</f>
        <v>0.5</v>
      </c>
      <c r="K279" s="49">
        <f xml:space="preserve"> 'Modelled costs'!$M$4</f>
        <v>0.5</v>
      </c>
      <c r="L279" s="49">
        <f xml:space="preserve"> 'Modelled costs'!$M$4</f>
        <v>0.5</v>
      </c>
    </row>
    <row r="280" spans="1:12" x14ac:dyDescent="0.25">
      <c r="A280" s="13" t="s">
        <v>16</v>
      </c>
      <c r="B280" s="13" t="s">
        <v>138</v>
      </c>
      <c r="C280" s="12" t="str">
        <f t="shared" si="3"/>
        <v>SESC_FINAL_WEIGHT_PR19CA004</v>
      </c>
      <c r="D280" s="12" t="s">
        <v>68</v>
      </c>
      <c r="E280" s="12" t="s">
        <v>75</v>
      </c>
      <c r="F280" s="78" t="s">
        <v>0</v>
      </c>
      <c r="G280" s="12" t="s">
        <v>59</v>
      </c>
      <c r="H280" s="49">
        <f xml:space="preserve"> 'Modelled costs'!$M$4</f>
        <v>0.5</v>
      </c>
      <c r="I280" s="49">
        <f xml:space="preserve"> 'Modelled costs'!$M$4</f>
        <v>0.5</v>
      </c>
      <c r="J280" s="49">
        <f xml:space="preserve"> 'Modelled costs'!$M$4</f>
        <v>0.5</v>
      </c>
      <c r="K280" s="49">
        <f xml:space="preserve"> 'Modelled costs'!$M$4</f>
        <v>0.5</v>
      </c>
      <c r="L280" s="49">
        <f xml:space="preserve"> 'Modelled costs'!$M$4</f>
        <v>0.5</v>
      </c>
    </row>
    <row r="281" spans="1:12" x14ac:dyDescent="0.25">
      <c r="A281" s="13" t="s">
        <v>17</v>
      </c>
      <c r="B281" s="13" t="s">
        <v>138</v>
      </c>
      <c r="C281" s="12" t="str">
        <f t="shared" si="3"/>
        <v>SEWC_FINAL_WEIGHT_PR19CA004</v>
      </c>
      <c r="D281" s="12" t="s">
        <v>68</v>
      </c>
      <c r="E281" s="12" t="s">
        <v>75</v>
      </c>
      <c r="F281" s="78" t="s">
        <v>0</v>
      </c>
      <c r="G281" s="12" t="s">
        <v>59</v>
      </c>
      <c r="H281" s="49">
        <f xml:space="preserve"> 'Modelled costs'!$M$4</f>
        <v>0.5</v>
      </c>
      <c r="I281" s="49">
        <f xml:space="preserve"> 'Modelled costs'!$M$4</f>
        <v>0.5</v>
      </c>
      <c r="J281" s="49">
        <f xml:space="preserve"> 'Modelled costs'!$M$4</f>
        <v>0.5</v>
      </c>
      <c r="K281" s="49">
        <f xml:space="preserve"> 'Modelled costs'!$M$4</f>
        <v>0.5</v>
      </c>
      <c r="L281" s="49">
        <f xml:space="preserve"> 'Modelled costs'!$M$4</f>
        <v>0.5</v>
      </c>
    </row>
    <row r="282" spans="1:12" x14ac:dyDescent="0.25">
      <c r="A282" s="13" t="s">
        <v>18</v>
      </c>
      <c r="B282" s="13" t="s">
        <v>138</v>
      </c>
      <c r="C282" s="12" t="str">
        <f t="shared" si="3"/>
        <v>SSCC_FINAL_WEIGHT_PR19CA004</v>
      </c>
      <c r="D282" s="12" t="s">
        <v>68</v>
      </c>
      <c r="E282" s="12" t="s">
        <v>75</v>
      </c>
      <c r="F282" s="78" t="s">
        <v>0</v>
      </c>
      <c r="G282" s="12" t="s">
        <v>59</v>
      </c>
      <c r="H282" s="49">
        <f xml:space="preserve"> 'Modelled costs'!$M$4</f>
        <v>0.5</v>
      </c>
      <c r="I282" s="49">
        <f xml:space="preserve"> 'Modelled costs'!$M$4</f>
        <v>0.5</v>
      </c>
      <c r="J282" s="49">
        <f xml:space="preserve"> 'Modelled costs'!$M$4</f>
        <v>0.5</v>
      </c>
      <c r="K282" s="49">
        <f xml:space="preserve"> 'Modelled costs'!$M$4</f>
        <v>0.5</v>
      </c>
      <c r="L282" s="49">
        <f xml:space="preserve"> 'Modelled costs'!$M$4</f>
        <v>0.5</v>
      </c>
    </row>
    <row r="283" spans="1:12" x14ac:dyDescent="0.25">
      <c r="A283" s="13" t="s">
        <v>4</v>
      </c>
      <c r="B283" s="4" t="str">
        <f>D283</f>
        <v>C_WROPEX_PR19CA004</v>
      </c>
      <c r="C283" s="12" t="str">
        <f t="shared" si="3"/>
        <v>ANHC_WROPEX_PR19CA004</v>
      </c>
      <c r="D283" s="12" t="s">
        <v>247</v>
      </c>
      <c r="E283" s="12" t="s">
        <v>243</v>
      </c>
      <c r="F283" s="12" t="s">
        <v>2</v>
      </c>
      <c r="G283" s="12" t="s">
        <v>59</v>
      </c>
      <c r="H283" s="155">
        <f>_xlfn.IFNA(INDEX('Financial model inputs'!$A$3:$AJ$89,MATCH(F_interface!$A283&amp;RIGHT(F_interface!H$2,2),'Financial model inputs'!$A$3:$A$89,0),MATCH(F_interface!$D283,'Financial model inputs'!$A$3:$AJ$3,0)),0)</f>
        <v>31.716607472249805</v>
      </c>
      <c r="I283" s="155">
        <f>_xlfn.IFNA(INDEX('Financial model inputs'!$A$3:$AJ$89,MATCH(F_interface!$A283&amp;RIGHT(F_interface!I$2,2),'Financial model inputs'!$A$3:$A$89,0),MATCH(F_interface!$D283,'Financial model inputs'!$A$3:$AJ$3,0)),0)</f>
        <v>36.496516556285513</v>
      </c>
      <c r="J283" s="155">
        <f>_xlfn.IFNA(INDEX('Financial model inputs'!$A$3:$AJ$89,MATCH(F_interface!$A283&amp;RIGHT(F_interface!J$2,2),'Financial model inputs'!$A$3:$A$89,0),MATCH(F_interface!$D283,'Financial model inputs'!$A$3:$AJ$3,0)),0)</f>
        <v>35.606095789725714</v>
      </c>
      <c r="K283" s="155">
        <f>_xlfn.IFNA(INDEX('Financial model inputs'!$A$3:$AJ$89,MATCH(F_interface!$A283&amp;RIGHT(F_interface!K$2,2),'Financial model inputs'!$A$3:$A$89,0),MATCH(F_interface!$D283,'Financial model inputs'!$A$3:$AJ$3,0)),0)</f>
        <v>36.40146996022925</v>
      </c>
      <c r="L283" s="155">
        <f>_xlfn.IFNA(INDEX('Financial model inputs'!$A$3:$AJ$89,MATCH(F_interface!$A283&amp;RIGHT(F_interface!L$2,2),'Financial model inputs'!$A$3:$A$89,0),MATCH(F_interface!$D283,'Financial model inputs'!$A$3:$AJ$3,0)),0)</f>
        <v>36.154489410860414</v>
      </c>
    </row>
    <row r="284" spans="1:12" x14ac:dyDescent="0.25">
      <c r="A284" s="13" t="s">
        <v>90</v>
      </c>
      <c r="B284" s="4" t="str">
        <f t="shared" ref="B284:B347" si="5">D284</f>
        <v>C_WROPEX_PR19CA004</v>
      </c>
      <c r="C284" s="12" t="str">
        <f t="shared" si="3"/>
        <v>HDDC_WROPEX_PR19CA004</v>
      </c>
      <c r="D284" s="12" t="s">
        <v>247</v>
      </c>
      <c r="E284" s="12" t="s">
        <v>243</v>
      </c>
      <c r="F284" s="12" t="s">
        <v>2</v>
      </c>
      <c r="G284" s="12" t="s">
        <v>59</v>
      </c>
      <c r="H284" s="155">
        <f>_xlfn.IFNA(INDEX('Financial model inputs'!$A$3:$AJ$89,MATCH(F_interface!$A284&amp;RIGHT(F_interface!H$2,2),'Financial model inputs'!$A$3:$A$89,0),MATCH(F_interface!$D284,'Financial model inputs'!$A$3:$AJ$3,0)),0)</f>
        <v>2.0686057998899074</v>
      </c>
      <c r="I284" s="155">
        <f>_xlfn.IFNA(INDEX('Financial model inputs'!$A$3:$AJ$89,MATCH(F_interface!$A284&amp;RIGHT(F_interface!I$2,2),'Financial model inputs'!$A$3:$A$89,0),MATCH(F_interface!$D284,'Financial model inputs'!$A$3:$AJ$3,0)),0)</f>
        <v>2.0519488271929101</v>
      </c>
      <c r="J284" s="155">
        <f>_xlfn.IFNA(INDEX('Financial model inputs'!$A$3:$AJ$89,MATCH(F_interface!$A284&amp;RIGHT(F_interface!J$2,2),'Financial model inputs'!$A$3:$A$89,0),MATCH(F_interface!$D284,'Financial model inputs'!$A$3:$AJ$3,0)),0)</f>
        <v>2.0338738254152289</v>
      </c>
      <c r="K284" s="155">
        <f>_xlfn.IFNA(INDEX('Financial model inputs'!$A$3:$AJ$89,MATCH(F_interface!$A284&amp;RIGHT(F_interface!K$2,2),'Financial model inputs'!$A$3:$A$89,0),MATCH(F_interface!$D284,'Financial model inputs'!$A$3:$AJ$3,0)),0)</f>
        <v>2.0304102529818624</v>
      </c>
      <c r="L284" s="155">
        <f>_xlfn.IFNA(INDEX('Financial model inputs'!$A$3:$AJ$89,MATCH(F_interface!$A284&amp;RIGHT(F_interface!L$2,2),'Financial model inputs'!$A$3:$A$89,0),MATCH(F_interface!$D284,'Financial model inputs'!$A$3:$AJ$3,0)),0)</f>
        <v>2.0497968802510633</v>
      </c>
    </row>
    <row r="285" spans="1:12" x14ac:dyDescent="0.25">
      <c r="A285" s="13" t="s">
        <v>5</v>
      </c>
      <c r="B285" s="4" t="str">
        <f t="shared" si="5"/>
        <v>C_WROPEX_PR19CA004</v>
      </c>
      <c r="C285" s="12" t="str">
        <f t="shared" si="3"/>
        <v>NESC_WROPEX_PR19CA004</v>
      </c>
      <c r="D285" s="12" t="s">
        <v>247</v>
      </c>
      <c r="E285" s="12" t="s">
        <v>243</v>
      </c>
      <c r="F285" s="12" t="s">
        <v>2</v>
      </c>
      <c r="G285" s="12" t="s">
        <v>59</v>
      </c>
      <c r="H285" s="155">
        <f>_xlfn.IFNA(INDEX('Financial model inputs'!$A$3:$AJ$89,MATCH(F_interface!$A285&amp;RIGHT(F_interface!H$2,2),'Financial model inputs'!$A$3:$A$89,0),MATCH(F_interface!$D285,'Financial model inputs'!$A$3:$AJ$3,0)),0)</f>
        <v>47.622681689649276</v>
      </c>
      <c r="I285" s="155">
        <f>_xlfn.IFNA(INDEX('Financial model inputs'!$A$3:$AJ$89,MATCH(F_interface!$A285&amp;RIGHT(F_interface!I$2,2),'Financial model inputs'!$A$3:$A$89,0),MATCH(F_interface!$D285,'Financial model inputs'!$A$3:$AJ$3,0)),0)</f>
        <v>47.620996664674124</v>
      </c>
      <c r="J285" s="155">
        <f>_xlfn.IFNA(INDEX('Financial model inputs'!$A$3:$AJ$89,MATCH(F_interface!$A285&amp;RIGHT(F_interface!J$2,2),'Financial model inputs'!$A$3:$A$89,0),MATCH(F_interface!$D285,'Financial model inputs'!$A$3:$AJ$3,0)),0)</f>
        <v>47.619857164455688</v>
      </c>
      <c r="K285" s="155">
        <f>_xlfn.IFNA(INDEX('Financial model inputs'!$A$3:$AJ$89,MATCH(F_interface!$A285&amp;RIGHT(F_interface!K$2,2),'Financial model inputs'!$A$3:$A$89,0),MATCH(F_interface!$D285,'Financial model inputs'!$A$3:$AJ$3,0)),0)</f>
        <v>47.618925028720334</v>
      </c>
      <c r="L285" s="155">
        <f>_xlfn.IFNA(INDEX('Financial model inputs'!$A$3:$AJ$89,MATCH(F_interface!$A285&amp;RIGHT(F_interface!L$2,2),'Financial model inputs'!$A$3:$A$89,0),MATCH(F_interface!$D285,'Financial model inputs'!$A$3:$AJ$3,0)),0)</f>
        <v>47.618419100135064</v>
      </c>
    </row>
    <row r="286" spans="1:12" x14ac:dyDescent="0.25">
      <c r="A286" s="13" t="s">
        <v>6</v>
      </c>
      <c r="B286" s="4" t="str">
        <f t="shared" si="5"/>
        <v>C_WROPEX_PR19CA004</v>
      </c>
      <c r="C286" s="12" t="str">
        <f t="shared" si="3"/>
        <v>NWTC_WROPEX_PR19CA004</v>
      </c>
      <c r="D286" s="12" t="s">
        <v>247</v>
      </c>
      <c r="E286" s="12" t="s">
        <v>243</v>
      </c>
      <c r="F286" s="12" t="s">
        <v>2</v>
      </c>
      <c r="G286" s="12" t="s">
        <v>59</v>
      </c>
      <c r="H286" s="155">
        <f>_xlfn.IFNA(INDEX('Financial model inputs'!$A$3:$AJ$89,MATCH(F_interface!$A286&amp;RIGHT(F_interface!H$2,2),'Financial model inputs'!$A$3:$A$89,0),MATCH(F_interface!$D286,'Financial model inputs'!$A$3:$AJ$3,0)),0)</f>
        <v>64.895975142255722</v>
      </c>
      <c r="I286" s="155">
        <f>_xlfn.IFNA(INDEX('Financial model inputs'!$A$3:$AJ$89,MATCH(F_interface!$A286&amp;RIGHT(F_interface!I$2,2),'Financial model inputs'!$A$3:$A$89,0),MATCH(F_interface!$D286,'Financial model inputs'!$A$3:$AJ$3,0)),0)</f>
        <v>64.507817049248672</v>
      </c>
      <c r="J286" s="155">
        <f>_xlfn.IFNA(INDEX('Financial model inputs'!$A$3:$AJ$89,MATCH(F_interface!$A286&amp;RIGHT(F_interface!J$2,2),'Financial model inputs'!$A$3:$A$89,0),MATCH(F_interface!$D286,'Financial model inputs'!$A$3:$AJ$3,0)),0)</f>
        <v>65.077907866736538</v>
      </c>
      <c r="K286" s="155">
        <f>_xlfn.IFNA(INDEX('Financial model inputs'!$A$3:$AJ$89,MATCH(F_interface!$A286&amp;RIGHT(F_interface!K$2,2),'Financial model inputs'!$A$3:$A$89,0),MATCH(F_interface!$D286,'Financial model inputs'!$A$3:$AJ$3,0)),0)</f>
        <v>65.624082928590397</v>
      </c>
      <c r="L286" s="155">
        <f>_xlfn.IFNA(INDEX('Financial model inputs'!$A$3:$AJ$89,MATCH(F_interface!$A286&amp;RIGHT(F_interface!L$2,2),'Financial model inputs'!$A$3:$A$89,0),MATCH(F_interface!$D286,'Financial model inputs'!$A$3:$AJ$3,0)),0)</f>
        <v>66.216549980429221</v>
      </c>
    </row>
    <row r="287" spans="1:12" x14ac:dyDescent="0.25">
      <c r="A287" s="13" t="s">
        <v>7</v>
      </c>
      <c r="B287" s="4" t="str">
        <f t="shared" si="5"/>
        <v>C_WROPEX_PR19CA004</v>
      </c>
      <c r="C287" s="12" t="str">
        <f t="shared" si="3"/>
        <v>SRNC_WROPEX_PR19CA004</v>
      </c>
      <c r="D287" s="12" t="s">
        <v>247</v>
      </c>
      <c r="E287" s="12" t="s">
        <v>243</v>
      </c>
      <c r="F287" s="12" t="s">
        <v>2</v>
      </c>
      <c r="G287" s="12" t="s">
        <v>59</v>
      </c>
      <c r="H287" s="155">
        <f>_xlfn.IFNA(INDEX('Financial model inputs'!$A$3:$AJ$89,MATCH(F_interface!$A287&amp;RIGHT(F_interface!H$2,2),'Financial model inputs'!$A$3:$A$89,0),MATCH(F_interface!$D287,'Financial model inputs'!$A$3:$AJ$3,0)),0)</f>
        <v>13.277119056480885</v>
      </c>
      <c r="I287" s="155">
        <f>_xlfn.IFNA(INDEX('Financial model inputs'!$A$3:$AJ$89,MATCH(F_interface!$A287&amp;RIGHT(F_interface!I$2,2),'Financial model inputs'!$A$3:$A$89,0),MATCH(F_interface!$D287,'Financial model inputs'!$A$3:$AJ$3,0)),0)</f>
        <v>13.250881102912391</v>
      </c>
      <c r="J287" s="155">
        <f>_xlfn.IFNA(INDEX('Financial model inputs'!$A$3:$AJ$89,MATCH(F_interface!$A287&amp;RIGHT(F_interface!J$2,2),'Financial model inputs'!$A$3:$A$89,0),MATCH(F_interface!$D287,'Financial model inputs'!$A$3:$AJ$3,0)),0)</f>
        <v>13.624522249097696</v>
      </c>
      <c r="K287" s="155">
        <f>_xlfn.IFNA(INDEX('Financial model inputs'!$A$3:$AJ$89,MATCH(F_interface!$A287&amp;RIGHT(F_interface!K$2,2),'Financial model inputs'!$A$3:$A$89,0),MATCH(F_interface!$D287,'Financial model inputs'!$A$3:$AJ$3,0)),0)</f>
        <v>14.042601900736784</v>
      </c>
      <c r="L287" s="155">
        <f>_xlfn.IFNA(INDEX('Financial model inputs'!$A$3:$AJ$89,MATCH(F_interface!$A287&amp;RIGHT(F_interface!L$2,2),'Financial model inputs'!$A$3:$A$89,0),MATCH(F_interface!$D287,'Financial model inputs'!$A$3:$AJ$3,0)),0)</f>
        <v>13.981485116188011</v>
      </c>
    </row>
    <row r="288" spans="1:12" x14ac:dyDescent="0.25">
      <c r="A288" s="13" t="s">
        <v>89</v>
      </c>
      <c r="B288" s="4" t="str">
        <f t="shared" si="5"/>
        <v>C_WROPEX_PR19CA004</v>
      </c>
      <c r="C288" s="12" t="str">
        <f t="shared" si="3"/>
        <v>SVEC_WROPEX_PR19CA004</v>
      </c>
      <c r="D288" s="12" t="s">
        <v>247</v>
      </c>
      <c r="E288" s="12" t="s">
        <v>243</v>
      </c>
      <c r="F288" s="12" t="s">
        <v>2</v>
      </c>
      <c r="G288" s="12" t="s">
        <v>59</v>
      </c>
      <c r="H288" s="155">
        <f>_xlfn.IFNA(INDEX('Financial model inputs'!$A$3:$AJ$89,MATCH(F_interface!$A288&amp;RIGHT(F_interface!H$2,2),'Financial model inputs'!$A$3:$A$89,0),MATCH(F_interface!$D288,'Financial model inputs'!$A$3:$AJ$3,0)),0)</f>
        <v>47.762337960507708</v>
      </c>
      <c r="I288" s="155">
        <f>_xlfn.IFNA(INDEX('Financial model inputs'!$A$3:$AJ$89,MATCH(F_interface!$A288&amp;RIGHT(F_interface!I$2,2),'Financial model inputs'!$A$3:$A$89,0),MATCH(F_interface!$D288,'Financial model inputs'!$A$3:$AJ$3,0)),0)</f>
        <v>47.288082322895356</v>
      </c>
      <c r="J288" s="155">
        <f>_xlfn.IFNA(INDEX('Financial model inputs'!$A$3:$AJ$89,MATCH(F_interface!$A288&amp;RIGHT(F_interface!J$2,2),'Financial model inputs'!$A$3:$A$89,0),MATCH(F_interface!$D288,'Financial model inputs'!$A$3:$AJ$3,0)),0)</f>
        <v>45.294113217332793</v>
      </c>
      <c r="K288" s="155">
        <f>_xlfn.IFNA(INDEX('Financial model inputs'!$A$3:$AJ$89,MATCH(F_interface!$A288&amp;RIGHT(F_interface!K$2,2),'Financial model inputs'!$A$3:$A$89,0),MATCH(F_interface!$D288,'Financial model inputs'!$A$3:$AJ$3,0)),0)</f>
        <v>43.249163459674271</v>
      </c>
      <c r="L288" s="155">
        <f>_xlfn.IFNA(INDEX('Financial model inputs'!$A$3:$AJ$89,MATCH(F_interface!$A288&amp;RIGHT(F_interface!L$2,2),'Financial model inputs'!$A$3:$A$89,0),MATCH(F_interface!$D288,'Financial model inputs'!$A$3:$AJ$3,0)),0)</f>
        <v>43.914415755559212</v>
      </c>
    </row>
    <row r="289" spans="1:12" x14ac:dyDescent="0.25">
      <c r="A289" s="13" t="s">
        <v>93</v>
      </c>
      <c r="B289" s="4" t="str">
        <f t="shared" si="5"/>
        <v>C_WROPEX_PR19CA004</v>
      </c>
      <c r="C289" s="12" t="str">
        <f t="shared" si="3"/>
        <v>SVHC_WROPEX_PR19CA004</v>
      </c>
      <c r="D289" s="12" t="s">
        <v>247</v>
      </c>
      <c r="E289" s="12" t="s">
        <v>243</v>
      </c>
      <c r="F289" s="12" t="s">
        <v>2</v>
      </c>
      <c r="G289" s="12" t="s">
        <v>59</v>
      </c>
      <c r="H289" s="155">
        <f>_xlfn.IFNA(INDEX('Financial model inputs'!$A$3:$AJ$89,MATCH(F_interface!$A289&amp;RIGHT(F_interface!H$2,2),'Financial model inputs'!$A$3:$A$89,0),MATCH(F_interface!$D289,'Financial model inputs'!$A$3:$AJ$3,0)),0)</f>
        <v>0</v>
      </c>
      <c r="I289" s="155">
        <f>_xlfn.IFNA(INDEX('Financial model inputs'!$A$3:$AJ$89,MATCH(F_interface!$A289&amp;RIGHT(F_interface!I$2,2),'Financial model inputs'!$A$3:$A$89,0),MATCH(F_interface!$D289,'Financial model inputs'!$A$3:$AJ$3,0)),0)</f>
        <v>0</v>
      </c>
      <c r="J289" s="155">
        <f>_xlfn.IFNA(INDEX('Financial model inputs'!$A$3:$AJ$89,MATCH(F_interface!$A289&amp;RIGHT(F_interface!J$2,2),'Financial model inputs'!$A$3:$A$89,0),MATCH(F_interface!$D289,'Financial model inputs'!$A$3:$AJ$3,0)),0)</f>
        <v>0</v>
      </c>
      <c r="K289" s="155">
        <f>_xlfn.IFNA(INDEX('Financial model inputs'!$A$3:$AJ$89,MATCH(F_interface!$A289&amp;RIGHT(F_interface!K$2,2),'Financial model inputs'!$A$3:$A$89,0),MATCH(F_interface!$D289,'Financial model inputs'!$A$3:$AJ$3,0)),0)</f>
        <v>0</v>
      </c>
      <c r="L289" s="155">
        <f>_xlfn.IFNA(INDEX('Financial model inputs'!$A$3:$AJ$89,MATCH(F_interface!$A289&amp;RIGHT(F_interface!L$2,2),'Financial model inputs'!$A$3:$A$89,0),MATCH(F_interface!$D289,'Financial model inputs'!$A$3:$AJ$3,0)),0)</f>
        <v>0</v>
      </c>
    </row>
    <row r="290" spans="1:12" x14ac:dyDescent="0.25">
      <c r="A290" s="13" t="s">
        <v>8</v>
      </c>
      <c r="B290" s="4" t="str">
        <f t="shared" si="5"/>
        <v>C_WROPEX_PR19CA004</v>
      </c>
      <c r="C290" s="12" t="str">
        <f t="shared" ref="C290:C353" si="6">A290&amp;B290</f>
        <v>SVTC_WROPEX_PR19CA004</v>
      </c>
      <c r="D290" s="12" t="s">
        <v>247</v>
      </c>
      <c r="E290" s="12" t="s">
        <v>243</v>
      </c>
      <c r="F290" s="12" t="s">
        <v>2</v>
      </c>
      <c r="G290" s="12" t="s">
        <v>59</v>
      </c>
      <c r="H290" s="155">
        <f>_xlfn.IFNA(INDEX('Financial model inputs'!$A$3:$AJ$89,MATCH(F_interface!$A290&amp;RIGHT(F_interface!H$2,2),'Financial model inputs'!$A$3:$A$89,0),MATCH(F_interface!$D290,'Financial model inputs'!$A$3:$AJ$3,0)),0)</f>
        <v>0</v>
      </c>
      <c r="I290" s="155">
        <f>_xlfn.IFNA(INDEX('Financial model inputs'!$A$3:$AJ$89,MATCH(F_interface!$A290&amp;RIGHT(F_interface!I$2,2),'Financial model inputs'!$A$3:$A$89,0),MATCH(F_interface!$D290,'Financial model inputs'!$A$3:$AJ$3,0)),0)</f>
        <v>0</v>
      </c>
      <c r="J290" s="155">
        <f>_xlfn.IFNA(INDEX('Financial model inputs'!$A$3:$AJ$89,MATCH(F_interface!$A290&amp;RIGHT(F_interface!J$2,2),'Financial model inputs'!$A$3:$A$89,0),MATCH(F_interface!$D290,'Financial model inputs'!$A$3:$AJ$3,0)),0)</f>
        <v>0</v>
      </c>
      <c r="K290" s="155">
        <f>_xlfn.IFNA(INDEX('Financial model inputs'!$A$3:$AJ$89,MATCH(F_interface!$A290&amp;RIGHT(F_interface!K$2,2),'Financial model inputs'!$A$3:$A$89,0),MATCH(F_interface!$D290,'Financial model inputs'!$A$3:$AJ$3,0)),0)</f>
        <v>0</v>
      </c>
      <c r="L290" s="155">
        <f>_xlfn.IFNA(INDEX('Financial model inputs'!$A$3:$AJ$89,MATCH(F_interface!$A290&amp;RIGHT(F_interface!L$2,2),'Financial model inputs'!$A$3:$A$89,0),MATCH(F_interface!$D290,'Financial model inputs'!$A$3:$AJ$3,0)),0)</f>
        <v>0</v>
      </c>
    </row>
    <row r="291" spans="1:12" x14ac:dyDescent="0.25">
      <c r="A291" s="13" t="s">
        <v>19</v>
      </c>
      <c r="B291" s="4" t="str">
        <f t="shared" si="5"/>
        <v>C_WROPEX_PR19CA004</v>
      </c>
      <c r="C291" s="12" t="str">
        <f t="shared" si="6"/>
        <v>SWBC_WROPEX_PR19CA004</v>
      </c>
      <c r="D291" s="12" t="s">
        <v>247</v>
      </c>
      <c r="E291" s="12" t="s">
        <v>243</v>
      </c>
      <c r="F291" s="12" t="s">
        <v>2</v>
      </c>
      <c r="G291" s="12" t="s">
        <v>59</v>
      </c>
      <c r="H291" s="155">
        <f>_xlfn.IFNA(INDEX('Financial model inputs'!$A$3:$AJ$89,MATCH(F_interface!$A291&amp;RIGHT(F_interface!H$2,2),'Financial model inputs'!$A$3:$A$89,0),MATCH(F_interface!$D291,'Financial model inputs'!$A$3:$AJ$3,0)),0)</f>
        <v>11.090205439006395</v>
      </c>
      <c r="I291" s="155">
        <f>_xlfn.IFNA(INDEX('Financial model inputs'!$A$3:$AJ$89,MATCH(F_interface!$A291&amp;RIGHT(F_interface!I$2,2),'Financial model inputs'!$A$3:$A$89,0),MATCH(F_interface!$D291,'Financial model inputs'!$A$3:$AJ$3,0)),0)</f>
        <v>10.740613451447949</v>
      </c>
      <c r="J291" s="155">
        <f>_xlfn.IFNA(INDEX('Financial model inputs'!$A$3:$AJ$89,MATCH(F_interface!$A291&amp;RIGHT(F_interface!J$2,2),'Financial model inputs'!$A$3:$A$89,0),MATCH(F_interface!$D291,'Financial model inputs'!$A$3:$AJ$3,0)),0)</f>
        <v>11.44521443934198</v>
      </c>
      <c r="K291" s="155">
        <f>_xlfn.IFNA(INDEX('Financial model inputs'!$A$3:$AJ$89,MATCH(F_interface!$A291&amp;RIGHT(F_interface!K$2,2),'Financial model inputs'!$A$3:$A$89,0),MATCH(F_interface!$D291,'Financial model inputs'!$A$3:$AJ$3,0)),0)</f>
        <v>12.448180977922837</v>
      </c>
      <c r="L291" s="155">
        <f>_xlfn.IFNA(INDEX('Financial model inputs'!$A$3:$AJ$89,MATCH(F_interface!$A291&amp;RIGHT(F_interface!L$2,2),'Financial model inputs'!$A$3:$A$89,0),MATCH(F_interface!$D291,'Financial model inputs'!$A$3:$AJ$3,0)),0)</f>
        <v>12.851576652158467</v>
      </c>
    </row>
    <row r="292" spans="1:12" x14ac:dyDescent="0.25">
      <c r="A292" s="13" t="s">
        <v>9</v>
      </c>
      <c r="B292" s="4" t="str">
        <f t="shared" si="5"/>
        <v>C_WROPEX_PR19CA004</v>
      </c>
      <c r="C292" s="12" t="str">
        <f t="shared" si="6"/>
        <v>TMSC_WROPEX_PR19CA004</v>
      </c>
      <c r="D292" s="12" t="s">
        <v>247</v>
      </c>
      <c r="E292" s="12" t="s">
        <v>243</v>
      </c>
      <c r="F292" s="12" t="s">
        <v>2</v>
      </c>
      <c r="G292" s="12" t="s">
        <v>59</v>
      </c>
      <c r="H292" s="155">
        <f>_xlfn.IFNA(INDEX('Financial model inputs'!$A$3:$AJ$89,MATCH(F_interface!$A292&amp;RIGHT(F_interface!H$2,2),'Financial model inputs'!$A$3:$A$89,0),MATCH(F_interface!$D292,'Financial model inputs'!$A$3:$AJ$3,0)),0)</f>
        <v>49.297088713330602</v>
      </c>
      <c r="I292" s="155">
        <f>_xlfn.IFNA(INDEX('Financial model inputs'!$A$3:$AJ$89,MATCH(F_interface!$A292&amp;RIGHT(F_interface!I$2,2),'Financial model inputs'!$A$3:$A$89,0),MATCH(F_interface!$D292,'Financial model inputs'!$A$3:$AJ$3,0)),0)</f>
        <v>51.615366122714974</v>
      </c>
      <c r="J292" s="155">
        <f>_xlfn.IFNA(INDEX('Financial model inputs'!$A$3:$AJ$89,MATCH(F_interface!$A292&amp;RIGHT(F_interface!J$2,2),'Financial model inputs'!$A$3:$A$89,0),MATCH(F_interface!$D292,'Financial model inputs'!$A$3:$AJ$3,0)),0)</f>
        <v>53.848682781267051</v>
      </c>
      <c r="K292" s="155">
        <f>_xlfn.IFNA(INDEX('Financial model inputs'!$A$3:$AJ$89,MATCH(F_interface!$A292&amp;RIGHT(F_interface!K$2,2),'Financial model inputs'!$A$3:$A$89,0),MATCH(F_interface!$D292,'Financial model inputs'!$A$3:$AJ$3,0)),0)</f>
        <v>60.315491425577335</v>
      </c>
      <c r="L292" s="155">
        <f>_xlfn.IFNA(INDEX('Financial model inputs'!$A$3:$AJ$89,MATCH(F_interface!$A292&amp;RIGHT(F_interface!L$2,2),'Financial model inputs'!$A$3:$A$89,0),MATCH(F_interface!$D292,'Financial model inputs'!$A$3:$AJ$3,0)),0)</f>
        <v>65.118091545742558</v>
      </c>
    </row>
    <row r="293" spans="1:12" x14ac:dyDescent="0.25">
      <c r="A293" s="13" t="s">
        <v>23</v>
      </c>
      <c r="B293" s="4" t="str">
        <f t="shared" si="5"/>
        <v>C_WROPEX_PR19CA004</v>
      </c>
      <c r="C293" s="12" t="str">
        <f t="shared" si="6"/>
        <v>WSHC_WROPEX_PR19CA004</v>
      </c>
      <c r="D293" s="12" t="s">
        <v>247</v>
      </c>
      <c r="E293" s="12" t="s">
        <v>243</v>
      </c>
      <c r="F293" s="12" t="s">
        <v>2</v>
      </c>
      <c r="G293" s="12" t="s">
        <v>59</v>
      </c>
      <c r="H293" s="155">
        <f>_xlfn.IFNA(INDEX('Financial model inputs'!$A$3:$AJ$89,MATCH(F_interface!$A293&amp;RIGHT(F_interface!H$2,2),'Financial model inputs'!$A$3:$A$89,0),MATCH(F_interface!$D293,'Financial model inputs'!$A$3:$AJ$3,0)),0)</f>
        <v>26.609895054948502</v>
      </c>
      <c r="I293" s="155">
        <f>_xlfn.IFNA(INDEX('Financial model inputs'!$A$3:$AJ$89,MATCH(F_interface!$A293&amp;RIGHT(F_interface!I$2,2),'Financial model inputs'!$A$3:$A$89,0),MATCH(F_interface!$D293,'Financial model inputs'!$A$3:$AJ$3,0)),0)</f>
        <v>26.935995765736628</v>
      </c>
      <c r="J293" s="155">
        <f>_xlfn.IFNA(INDEX('Financial model inputs'!$A$3:$AJ$89,MATCH(F_interface!$A293&amp;RIGHT(F_interface!J$2,2),'Financial model inputs'!$A$3:$A$89,0),MATCH(F_interface!$D293,'Financial model inputs'!$A$3:$AJ$3,0)),0)</f>
        <v>26.869776381818365</v>
      </c>
      <c r="K293" s="155">
        <f>_xlfn.IFNA(INDEX('Financial model inputs'!$A$3:$AJ$89,MATCH(F_interface!$A293&amp;RIGHT(F_interface!K$2,2),'Financial model inputs'!$A$3:$A$89,0),MATCH(F_interface!$D293,'Financial model inputs'!$A$3:$AJ$3,0)),0)</f>
        <v>27.266969966625801</v>
      </c>
      <c r="L293" s="155">
        <f>_xlfn.IFNA(INDEX('Financial model inputs'!$A$3:$AJ$89,MATCH(F_interface!$A293&amp;RIGHT(F_interface!L$2,2),'Financial model inputs'!$A$3:$A$89,0),MATCH(F_interface!$D293,'Financial model inputs'!$A$3:$AJ$3,0)),0)</f>
        <v>27.510523495229307</v>
      </c>
    </row>
    <row r="294" spans="1:12" x14ac:dyDescent="0.25">
      <c r="A294" s="13" t="s">
        <v>10</v>
      </c>
      <c r="B294" s="4" t="str">
        <f t="shared" si="5"/>
        <v>C_WROPEX_PR19CA004</v>
      </c>
      <c r="C294" s="12" t="str">
        <f t="shared" si="6"/>
        <v>WSXC_WROPEX_PR19CA004</v>
      </c>
      <c r="D294" s="12" t="s">
        <v>247</v>
      </c>
      <c r="E294" s="12" t="s">
        <v>243</v>
      </c>
      <c r="F294" s="12" t="s">
        <v>2</v>
      </c>
      <c r="G294" s="12" t="s">
        <v>59</v>
      </c>
      <c r="H294" s="155">
        <f>_xlfn.IFNA(INDEX('Financial model inputs'!$A$3:$AJ$89,MATCH(F_interface!$A294&amp;RIGHT(F_interface!H$2,2),'Financial model inputs'!$A$3:$A$89,0),MATCH(F_interface!$D294,'Financial model inputs'!$A$3:$AJ$3,0)),0)</f>
        <v>10.024502612478178</v>
      </c>
      <c r="I294" s="155">
        <f>_xlfn.IFNA(INDEX('Financial model inputs'!$A$3:$AJ$89,MATCH(F_interface!$A294&amp;RIGHT(F_interface!I$2,2),'Financial model inputs'!$A$3:$A$89,0),MATCH(F_interface!$D294,'Financial model inputs'!$A$3:$AJ$3,0)),0)</f>
        <v>9.0944608076477564</v>
      </c>
      <c r="J294" s="155">
        <f>_xlfn.IFNA(INDEX('Financial model inputs'!$A$3:$AJ$89,MATCH(F_interface!$A294&amp;RIGHT(F_interface!J$2,2),'Financial model inputs'!$A$3:$A$89,0),MATCH(F_interface!$D294,'Financial model inputs'!$A$3:$AJ$3,0)),0)</f>
        <v>9.8761204484940279</v>
      </c>
      <c r="K294" s="155">
        <f>_xlfn.IFNA(INDEX('Financial model inputs'!$A$3:$AJ$89,MATCH(F_interface!$A294&amp;RIGHT(F_interface!K$2,2),'Financial model inputs'!$A$3:$A$89,0),MATCH(F_interface!$D294,'Financial model inputs'!$A$3:$AJ$3,0)),0)</f>
        <v>10.663701580652782</v>
      </c>
      <c r="L294" s="155">
        <f>_xlfn.IFNA(INDEX('Financial model inputs'!$A$3:$AJ$89,MATCH(F_interface!$A294&amp;RIGHT(F_interface!L$2,2),'Financial model inputs'!$A$3:$A$89,0),MATCH(F_interface!$D294,'Financial model inputs'!$A$3:$AJ$3,0)),0)</f>
        <v>10.688496845277394</v>
      </c>
    </row>
    <row r="295" spans="1:12" x14ac:dyDescent="0.25">
      <c r="A295" s="13" t="s">
        <v>11</v>
      </c>
      <c r="B295" s="4" t="str">
        <f t="shared" si="5"/>
        <v>C_WROPEX_PR19CA004</v>
      </c>
      <c r="C295" s="12" t="str">
        <f t="shared" si="6"/>
        <v>YKYC_WROPEX_PR19CA004</v>
      </c>
      <c r="D295" s="12" t="s">
        <v>247</v>
      </c>
      <c r="E295" s="12" t="s">
        <v>243</v>
      </c>
      <c r="F295" s="12" t="s">
        <v>2</v>
      </c>
      <c r="G295" s="12" t="s">
        <v>59</v>
      </c>
      <c r="H295" s="155">
        <f>_xlfn.IFNA(INDEX('Financial model inputs'!$A$3:$AJ$89,MATCH(F_interface!$A295&amp;RIGHT(F_interface!H$2,2),'Financial model inputs'!$A$3:$A$89,0),MATCH(F_interface!$D295,'Financial model inputs'!$A$3:$AJ$3,0)),0)</f>
        <v>24.142165947770874</v>
      </c>
      <c r="I295" s="155">
        <f>_xlfn.IFNA(INDEX('Financial model inputs'!$A$3:$AJ$89,MATCH(F_interface!$A295&amp;RIGHT(F_interface!I$2,2),'Financial model inputs'!$A$3:$A$89,0),MATCH(F_interface!$D295,'Financial model inputs'!$A$3:$AJ$3,0)),0)</f>
        <v>25.937936975309626</v>
      </c>
      <c r="J295" s="155">
        <f>_xlfn.IFNA(INDEX('Financial model inputs'!$A$3:$AJ$89,MATCH(F_interface!$A295&amp;RIGHT(F_interface!J$2,2),'Financial model inputs'!$A$3:$A$89,0),MATCH(F_interface!$D295,'Financial model inputs'!$A$3:$AJ$3,0)),0)</f>
        <v>22.917666044434331</v>
      </c>
      <c r="K295" s="155">
        <f>_xlfn.IFNA(INDEX('Financial model inputs'!$A$3:$AJ$89,MATCH(F_interface!$A295&amp;RIGHT(F_interface!K$2,2),'Financial model inputs'!$A$3:$A$89,0),MATCH(F_interface!$D295,'Financial model inputs'!$A$3:$AJ$3,0)),0)</f>
        <v>25.674149050603745</v>
      </c>
      <c r="L295" s="155">
        <f>_xlfn.IFNA(INDEX('Financial model inputs'!$A$3:$AJ$89,MATCH(F_interface!$A295&amp;RIGHT(F_interface!L$2,2),'Financial model inputs'!$A$3:$A$89,0),MATCH(F_interface!$D295,'Financial model inputs'!$A$3:$AJ$3,0)),0)</f>
        <v>32.441949477384867</v>
      </c>
    </row>
    <row r="296" spans="1:12" x14ac:dyDescent="0.25">
      <c r="A296" s="13" t="s">
        <v>12</v>
      </c>
      <c r="B296" s="4" t="str">
        <f t="shared" si="5"/>
        <v>C_WROPEX_PR19CA004</v>
      </c>
      <c r="C296" s="12" t="str">
        <f t="shared" si="6"/>
        <v>AFWC_WROPEX_PR19CA004</v>
      </c>
      <c r="D296" s="12" t="s">
        <v>247</v>
      </c>
      <c r="E296" s="12" t="s">
        <v>243</v>
      </c>
      <c r="F296" s="12" t="s">
        <v>2</v>
      </c>
      <c r="G296" s="12" t="s">
        <v>59</v>
      </c>
      <c r="H296" s="155">
        <f>_xlfn.IFNA(INDEX('Financial model inputs'!$A$3:$AJ$89,MATCH(F_interface!$A296&amp;RIGHT(F_interface!H$2,2),'Financial model inputs'!$A$3:$A$89,0),MATCH(F_interface!$D296,'Financial model inputs'!$A$3:$AJ$3,0)),0)</f>
        <v>14.63467332164546</v>
      </c>
      <c r="I296" s="155">
        <f>_xlfn.IFNA(INDEX('Financial model inputs'!$A$3:$AJ$89,MATCH(F_interface!$A296&amp;RIGHT(F_interface!I$2,2),'Financial model inputs'!$A$3:$A$89,0),MATCH(F_interface!$D296,'Financial model inputs'!$A$3:$AJ$3,0)),0)</f>
        <v>14.778146782551685</v>
      </c>
      <c r="J296" s="155">
        <f>_xlfn.IFNA(INDEX('Financial model inputs'!$A$3:$AJ$89,MATCH(F_interface!$A296&amp;RIGHT(F_interface!J$2,2),'Financial model inputs'!$A$3:$A$89,0),MATCH(F_interface!$D296,'Financial model inputs'!$A$3:$AJ$3,0)),0)</f>
        <v>15.048273743438118</v>
      </c>
      <c r="K296" s="155">
        <f>_xlfn.IFNA(INDEX('Financial model inputs'!$A$3:$AJ$89,MATCH(F_interface!$A296&amp;RIGHT(F_interface!K$2,2),'Financial model inputs'!$A$3:$A$89,0),MATCH(F_interface!$D296,'Financial model inputs'!$A$3:$AJ$3,0)),0)</f>
        <v>15.566689889587389</v>
      </c>
      <c r="L296" s="155">
        <f>_xlfn.IFNA(INDEX('Financial model inputs'!$A$3:$AJ$89,MATCH(F_interface!$A296&amp;RIGHT(F_interface!L$2,2),'Financial model inputs'!$A$3:$A$89,0),MATCH(F_interface!$D296,'Financial model inputs'!$A$3:$AJ$3,0)),0)</f>
        <v>15.627264829999024</v>
      </c>
    </row>
    <row r="297" spans="1:12" x14ac:dyDescent="0.25">
      <c r="A297" s="13" t="s">
        <v>13</v>
      </c>
      <c r="B297" s="4" t="str">
        <f t="shared" si="5"/>
        <v>C_WROPEX_PR19CA004</v>
      </c>
      <c r="C297" s="12" t="str">
        <f t="shared" si="6"/>
        <v>BRLC_WROPEX_PR19CA004</v>
      </c>
      <c r="D297" s="12" t="s">
        <v>247</v>
      </c>
      <c r="E297" s="12" t="s">
        <v>243</v>
      </c>
      <c r="F297" s="12" t="s">
        <v>2</v>
      </c>
      <c r="G297" s="12" t="s">
        <v>59</v>
      </c>
      <c r="H297" s="155">
        <f>_xlfn.IFNA(INDEX('Financial model inputs'!$A$3:$AJ$89,MATCH(F_interface!$A297&amp;RIGHT(F_interface!H$2,2),'Financial model inputs'!$A$3:$A$89,0),MATCH(F_interface!$D297,'Financial model inputs'!$A$3:$AJ$3,0)),0)</f>
        <v>10.644958911778939</v>
      </c>
      <c r="I297" s="155">
        <f>_xlfn.IFNA(INDEX('Financial model inputs'!$A$3:$AJ$89,MATCH(F_interface!$A297&amp;RIGHT(F_interface!I$2,2),'Financial model inputs'!$A$3:$A$89,0),MATCH(F_interface!$D297,'Financial model inputs'!$A$3:$AJ$3,0)),0)</f>
        <v>10.838998125887505</v>
      </c>
      <c r="J297" s="155">
        <f>_xlfn.IFNA(INDEX('Financial model inputs'!$A$3:$AJ$89,MATCH(F_interface!$A297&amp;RIGHT(F_interface!J$2,2),'Financial model inputs'!$A$3:$A$89,0),MATCH(F_interface!$D297,'Financial model inputs'!$A$3:$AJ$3,0)),0)</f>
        <v>8.7717310991940689</v>
      </c>
      <c r="K297" s="155">
        <f>_xlfn.IFNA(INDEX('Financial model inputs'!$A$3:$AJ$89,MATCH(F_interface!$A297&amp;RIGHT(F_interface!K$2,2),'Financial model inputs'!$A$3:$A$89,0),MATCH(F_interface!$D297,'Financial model inputs'!$A$3:$AJ$3,0)),0)</f>
        <v>10.920454231855555</v>
      </c>
      <c r="L297" s="155">
        <f>_xlfn.IFNA(INDEX('Financial model inputs'!$A$3:$AJ$89,MATCH(F_interface!$A297&amp;RIGHT(F_interface!L$2,2),'Financial model inputs'!$A$3:$A$89,0),MATCH(F_interface!$D297,'Financial model inputs'!$A$3:$AJ$3,0)),0)</f>
        <v>10.958231530522106</v>
      </c>
    </row>
    <row r="298" spans="1:12" x14ac:dyDescent="0.25">
      <c r="A298" s="13" t="s">
        <v>14</v>
      </c>
      <c r="B298" s="4" t="str">
        <f t="shared" si="5"/>
        <v>C_WROPEX_PR19CA004</v>
      </c>
      <c r="C298" s="12" t="str">
        <f t="shared" si="6"/>
        <v>DVWC_WROPEX_PR19CA004</v>
      </c>
      <c r="D298" s="12" t="s">
        <v>247</v>
      </c>
      <c r="E298" s="12" t="s">
        <v>243</v>
      </c>
      <c r="F298" s="12" t="s">
        <v>2</v>
      </c>
      <c r="G298" s="12" t="s">
        <v>59</v>
      </c>
      <c r="H298" s="155">
        <f>_xlfn.IFNA(INDEX('Financial model inputs'!$A$3:$AJ$89,MATCH(F_interface!$A298&amp;RIGHT(F_interface!H$2,2),'Financial model inputs'!$A$3:$A$89,0),MATCH(F_interface!$D298,'Financial model inputs'!$A$3:$AJ$3,0)),0)</f>
        <v>0</v>
      </c>
      <c r="I298" s="155">
        <f>_xlfn.IFNA(INDEX('Financial model inputs'!$A$3:$AJ$89,MATCH(F_interface!$A298&amp;RIGHT(F_interface!I$2,2),'Financial model inputs'!$A$3:$A$89,0),MATCH(F_interface!$D298,'Financial model inputs'!$A$3:$AJ$3,0)),0)</f>
        <v>0</v>
      </c>
      <c r="J298" s="155">
        <f>_xlfn.IFNA(INDEX('Financial model inputs'!$A$3:$AJ$89,MATCH(F_interface!$A298&amp;RIGHT(F_interface!J$2,2),'Financial model inputs'!$A$3:$A$89,0),MATCH(F_interface!$D298,'Financial model inputs'!$A$3:$AJ$3,0)),0)</f>
        <v>0</v>
      </c>
      <c r="K298" s="155">
        <f>_xlfn.IFNA(INDEX('Financial model inputs'!$A$3:$AJ$89,MATCH(F_interface!$A298&amp;RIGHT(F_interface!K$2,2),'Financial model inputs'!$A$3:$A$89,0),MATCH(F_interface!$D298,'Financial model inputs'!$A$3:$AJ$3,0)),0)</f>
        <v>0</v>
      </c>
      <c r="L298" s="155">
        <f>_xlfn.IFNA(INDEX('Financial model inputs'!$A$3:$AJ$89,MATCH(F_interface!$A298&amp;RIGHT(F_interface!L$2,2),'Financial model inputs'!$A$3:$A$89,0),MATCH(F_interface!$D298,'Financial model inputs'!$A$3:$AJ$3,0)),0)</f>
        <v>0</v>
      </c>
    </row>
    <row r="299" spans="1:12" x14ac:dyDescent="0.25">
      <c r="A299" s="13" t="s">
        <v>15</v>
      </c>
      <c r="B299" s="4" t="str">
        <f t="shared" si="5"/>
        <v>C_WROPEX_PR19CA004</v>
      </c>
      <c r="C299" s="12" t="str">
        <f t="shared" si="6"/>
        <v>PRTC_WROPEX_PR19CA004</v>
      </c>
      <c r="D299" s="12" t="s">
        <v>247</v>
      </c>
      <c r="E299" s="12" t="s">
        <v>243</v>
      </c>
      <c r="F299" s="12" t="s">
        <v>2</v>
      </c>
      <c r="G299" s="12" t="s">
        <v>59</v>
      </c>
      <c r="H299" s="155">
        <f>_xlfn.IFNA(INDEX('Financial model inputs'!$A$3:$AJ$89,MATCH(F_interface!$A299&amp;RIGHT(F_interface!H$2,2),'Financial model inputs'!$A$3:$A$89,0),MATCH(F_interface!$D299,'Financial model inputs'!$A$3:$AJ$3,0)),0)</f>
        <v>5.1566826136282016</v>
      </c>
      <c r="I299" s="155">
        <f>_xlfn.IFNA(INDEX('Financial model inputs'!$A$3:$AJ$89,MATCH(F_interface!$A299&amp;RIGHT(F_interface!I$2,2),'Financial model inputs'!$A$3:$A$89,0),MATCH(F_interface!$D299,'Financial model inputs'!$A$3:$AJ$3,0)),0)</f>
        <v>4.9466791245401165</v>
      </c>
      <c r="J299" s="155">
        <f>_xlfn.IFNA(INDEX('Financial model inputs'!$A$3:$AJ$89,MATCH(F_interface!$A299&amp;RIGHT(F_interface!J$2,2),'Financial model inputs'!$A$3:$A$89,0),MATCH(F_interface!$D299,'Financial model inputs'!$A$3:$AJ$3,0)),0)</f>
        <v>5.2723804238377703</v>
      </c>
      <c r="K299" s="155">
        <f>_xlfn.IFNA(INDEX('Financial model inputs'!$A$3:$AJ$89,MATCH(F_interface!$A299&amp;RIGHT(F_interface!K$2,2),'Financial model inputs'!$A$3:$A$89,0),MATCH(F_interface!$D299,'Financial model inputs'!$A$3:$AJ$3,0)),0)</f>
        <v>5.0382277454757602</v>
      </c>
      <c r="L299" s="155">
        <f>_xlfn.IFNA(INDEX('Financial model inputs'!$A$3:$AJ$89,MATCH(F_interface!$A299&amp;RIGHT(F_interface!L$2,2),'Financial model inputs'!$A$3:$A$89,0),MATCH(F_interface!$D299,'Financial model inputs'!$A$3:$AJ$3,0)),0)</f>
        <v>5.0208312163900315</v>
      </c>
    </row>
    <row r="300" spans="1:12" x14ac:dyDescent="0.25">
      <c r="A300" s="13" t="s">
        <v>16</v>
      </c>
      <c r="B300" s="4" t="str">
        <f t="shared" si="5"/>
        <v>C_WROPEX_PR19CA004</v>
      </c>
      <c r="C300" s="12" t="str">
        <f t="shared" si="6"/>
        <v>SESC_WROPEX_PR19CA004</v>
      </c>
      <c r="D300" s="12" t="s">
        <v>247</v>
      </c>
      <c r="E300" s="12" t="s">
        <v>243</v>
      </c>
      <c r="F300" s="12" t="s">
        <v>2</v>
      </c>
      <c r="G300" s="12" t="s">
        <v>59</v>
      </c>
      <c r="H300" s="155">
        <f>_xlfn.IFNA(INDEX('Financial model inputs'!$A$3:$AJ$89,MATCH(F_interface!$A300&amp;RIGHT(F_interface!H$2,2),'Financial model inputs'!$A$3:$A$89,0),MATCH(F_interface!$D300,'Financial model inputs'!$A$3:$AJ$3,0)),0)</f>
        <v>3.6525065394281042</v>
      </c>
      <c r="I300" s="155">
        <f>_xlfn.IFNA(INDEX('Financial model inputs'!$A$3:$AJ$89,MATCH(F_interface!$A300&amp;RIGHT(F_interface!I$2,2),'Financial model inputs'!$A$3:$A$89,0),MATCH(F_interface!$D300,'Financial model inputs'!$A$3:$AJ$3,0)),0)</f>
        <v>3.5405933165613872</v>
      </c>
      <c r="J300" s="155">
        <f>_xlfn.IFNA(INDEX('Financial model inputs'!$A$3:$AJ$89,MATCH(F_interface!$A300&amp;RIGHT(F_interface!J$2,2),'Financial model inputs'!$A$3:$A$89,0),MATCH(F_interface!$D300,'Financial model inputs'!$A$3:$AJ$3,0)),0)</f>
        <v>3.661880874102978</v>
      </c>
      <c r="K300" s="155">
        <f>_xlfn.IFNA(INDEX('Financial model inputs'!$A$3:$AJ$89,MATCH(F_interface!$A300&amp;RIGHT(F_interface!K$2,2),'Financial model inputs'!$A$3:$A$89,0),MATCH(F_interface!$D300,'Financial model inputs'!$A$3:$AJ$3,0)),0)</f>
        <v>3.6545440751064149</v>
      </c>
      <c r="L300" s="155">
        <f>_xlfn.IFNA(INDEX('Financial model inputs'!$A$3:$AJ$89,MATCH(F_interface!$A300&amp;RIGHT(F_interface!L$2,2),'Financial model inputs'!$A$3:$A$89,0),MATCH(F_interface!$D300,'Financial model inputs'!$A$3:$AJ$3,0)),0)</f>
        <v>3.6154326844446616</v>
      </c>
    </row>
    <row r="301" spans="1:12" x14ac:dyDescent="0.25">
      <c r="A301" s="13" t="s">
        <v>17</v>
      </c>
      <c r="B301" s="4" t="str">
        <f t="shared" si="5"/>
        <v>C_WROPEX_PR19CA004</v>
      </c>
      <c r="C301" s="12" t="str">
        <f t="shared" si="6"/>
        <v>SEWC_WROPEX_PR19CA004</v>
      </c>
      <c r="D301" s="12" t="s">
        <v>247</v>
      </c>
      <c r="E301" s="12" t="s">
        <v>243</v>
      </c>
      <c r="F301" s="12" t="s">
        <v>2</v>
      </c>
      <c r="G301" s="12" t="s">
        <v>59</v>
      </c>
      <c r="H301" s="155">
        <f>_xlfn.IFNA(INDEX('Financial model inputs'!$A$3:$AJ$89,MATCH(F_interface!$A301&amp;RIGHT(F_interface!H$2,2),'Financial model inputs'!$A$3:$A$89,0),MATCH(F_interface!$D301,'Financial model inputs'!$A$3:$AJ$3,0)),0)</f>
        <v>12.571441525108792</v>
      </c>
      <c r="I301" s="155">
        <f>_xlfn.IFNA(INDEX('Financial model inputs'!$A$3:$AJ$89,MATCH(F_interface!$A301&amp;RIGHT(F_interface!I$2,2),'Financial model inputs'!$A$3:$A$89,0),MATCH(F_interface!$D301,'Financial model inputs'!$A$3:$AJ$3,0)),0)</f>
        <v>12.581440140781735</v>
      </c>
      <c r="J301" s="155">
        <f>_xlfn.IFNA(INDEX('Financial model inputs'!$A$3:$AJ$89,MATCH(F_interface!$A301&amp;RIGHT(F_interface!J$2,2),'Financial model inputs'!$A$3:$A$89,0),MATCH(F_interface!$D301,'Financial model inputs'!$A$3:$AJ$3,0)),0)</f>
        <v>12.595347697761479</v>
      </c>
      <c r="K301" s="155">
        <f>_xlfn.IFNA(INDEX('Financial model inputs'!$A$3:$AJ$89,MATCH(F_interface!$A301&amp;RIGHT(F_interface!K$2,2),'Financial model inputs'!$A$3:$A$89,0),MATCH(F_interface!$D301,'Financial model inputs'!$A$3:$AJ$3,0)),0)</f>
        <v>12.709455660316797</v>
      </c>
      <c r="L301" s="155">
        <f>_xlfn.IFNA(INDEX('Financial model inputs'!$A$3:$AJ$89,MATCH(F_interface!$A301&amp;RIGHT(F_interface!L$2,2),'Financial model inputs'!$A$3:$A$89,0),MATCH(F_interface!$D301,'Financial model inputs'!$A$3:$AJ$3,0)),0)</f>
        <v>13.043304784980711</v>
      </c>
    </row>
    <row r="302" spans="1:12" x14ac:dyDescent="0.25">
      <c r="A302" s="13" t="s">
        <v>18</v>
      </c>
      <c r="B302" s="4" t="str">
        <f t="shared" si="5"/>
        <v>C_WROPEX_PR19CA004</v>
      </c>
      <c r="C302" s="12" t="str">
        <f t="shared" si="6"/>
        <v>SSCC_WROPEX_PR19CA004</v>
      </c>
      <c r="D302" s="12" t="s">
        <v>247</v>
      </c>
      <c r="E302" s="12" t="s">
        <v>243</v>
      </c>
      <c r="F302" s="12" t="s">
        <v>2</v>
      </c>
      <c r="G302" s="12" t="s">
        <v>59</v>
      </c>
      <c r="H302" s="155">
        <f>_xlfn.IFNA(INDEX('Financial model inputs'!$A$3:$AJ$89,MATCH(F_interface!$A302&amp;RIGHT(F_interface!H$2,2),'Financial model inputs'!$A$3:$A$89,0),MATCH(F_interface!$D302,'Financial model inputs'!$A$3:$AJ$3,0)),0)</f>
        <v>7.1538024703116312</v>
      </c>
      <c r="I302" s="155">
        <f>_xlfn.IFNA(INDEX('Financial model inputs'!$A$3:$AJ$89,MATCH(F_interface!$A302&amp;RIGHT(F_interface!I$2,2),'Financial model inputs'!$A$3:$A$89,0),MATCH(F_interface!$D302,'Financial model inputs'!$A$3:$AJ$3,0)),0)</f>
        <v>6.3310027353799887</v>
      </c>
      <c r="J302" s="155">
        <f>_xlfn.IFNA(INDEX('Financial model inputs'!$A$3:$AJ$89,MATCH(F_interface!$A302&amp;RIGHT(F_interface!J$2,2),'Financial model inputs'!$A$3:$A$89,0),MATCH(F_interface!$D302,'Financial model inputs'!$A$3:$AJ$3,0)),0)</f>
        <v>7.0280695776393767</v>
      </c>
      <c r="K302" s="155">
        <f>_xlfn.IFNA(INDEX('Financial model inputs'!$A$3:$AJ$89,MATCH(F_interface!$A302&amp;RIGHT(F_interface!K$2,2),'Financial model inputs'!$A$3:$A$89,0),MATCH(F_interface!$D302,'Financial model inputs'!$A$3:$AJ$3,0)),0)</f>
        <v>6.7380114994160669</v>
      </c>
      <c r="L302" s="155">
        <f>_xlfn.IFNA(INDEX('Financial model inputs'!$A$3:$AJ$89,MATCH(F_interface!$A302&amp;RIGHT(F_interface!L$2,2),'Financial model inputs'!$A$3:$A$89,0),MATCH(F_interface!$D302,'Financial model inputs'!$A$3:$AJ$3,0)),0)</f>
        <v>6.2683920360710994</v>
      </c>
    </row>
    <row r="303" spans="1:12" x14ac:dyDescent="0.25">
      <c r="A303" s="13" t="s">
        <v>4</v>
      </c>
      <c r="B303" s="4" t="str">
        <f t="shared" si="5"/>
        <v>C_WRCAPEX_PR19CA004</v>
      </c>
      <c r="C303" s="12" t="str">
        <f t="shared" si="6"/>
        <v>ANHC_WRCAPEX_PR19CA004</v>
      </c>
      <c r="D303" s="12" t="s">
        <v>248</v>
      </c>
      <c r="E303" s="12" t="s">
        <v>250</v>
      </c>
      <c r="F303" s="12" t="s">
        <v>2</v>
      </c>
      <c r="G303" s="12" t="s">
        <v>59</v>
      </c>
      <c r="H303" s="155">
        <f>_xlfn.IFNA(INDEX('Financial model inputs'!$A$3:$AJ$89,MATCH(F_interface!$A303&amp;RIGHT(F_interface!H$2,2),'Financial model inputs'!$A$3:$A$89,0),MATCH(F_interface!$D303,'Financial model inputs'!$A$3:$AJ$3,0)),0)</f>
        <v>24.038052077895674</v>
      </c>
      <c r="I303" s="155">
        <f>_xlfn.IFNA(INDEX('Financial model inputs'!$A$3:$AJ$89,MATCH(F_interface!$A303&amp;RIGHT(F_interface!I$2,2),'Financial model inputs'!$A$3:$A$89,0),MATCH(F_interface!$D303,'Financial model inputs'!$A$3:$AJ$3,0)),0)</f>
        <v>19.258142993859966</v>
      </c>
      <c r="J303" s="155">
        <f>_xlfn.IFNA(INDEX('Financial model inputs'!$A$3:$AJ$89,MATCH(F_interface!$A303&amp;RIGHT(F_interface!J$2,2),'Financial model inputs'!$A$3:$A$89,0),MATCH(F_interface!$D303,'Financial model inputs'!$A$3:$AJ$3,0)),0)</f>
        <v>20.148563760419769</v>
      </c>
      <c r="K303" s="155">
        <f>_xlfn.IFNA(INDEX('Financial model inputs'!$A$3:$AJ$89,MATCH(F_interface!$A303&amp;RIGHT(F_interface!K$2,2),'Financial model inputs'!$A$3:$A$89,0),MATCH(F_interface!$D303,'Financial model inputs'!$A$3:$AJ$3,0)),0)</f>
        <v>19.353189589916227</v>
      </c>
      <c r="L303" s="155">
        <f>_xlfn.IFNA(INDEX('Financial model inputs'!$A$3:$AJ$89,MATCH(F_interface!$A303&amp;RIGHT(F_interface!L$2,2),'Financial model inputs'!$A$3:$A$89,0),MATCH(F_interface!$D303,'Financial model inputs'!$A$3:$AJ$3,0)),0)</f>
        <v>19.600170139285066</v>
      </c>
    </row>
    <row r="304" spans="1:12" x14ac:dyDescent="0.25">
      <c r="A304" s="13" t="s">
        <v>90</v>
      </c>
      <c r="B304" s="4" t="str">
        <f t="shared" si="5"/>
        <v>C_WRCAPEX_PR19CA004</v>
      </c>
      <c r="C304" s="12" t="str">
        <f t="shared" si="6"/>
        <v>HDDC_WRCAPEX_PR19CA004</v>
      </c>
      <c r="D304" s="12" t="s">
        <v>248</v>
      </c>
      <c r="E304" s="12" t="s">
        <v>250</v>
      </c>
      <c r="F304" s="12" t="s">
        <v>2</v>
      </c>
      <c r="G304" s="12" t="s">
        <v>59</v>
      </c>
      <c r="H304" s="155">
        <f>_xlfn.IFNA(INDEX('Financial model inputs'!$A$3:$AJ$89,MATCH(F_interface!$A304&amp;RIGHT(F_interface!H$2,2),'Financial model inputs'!$A$3:$A$89,0),MATCH(F_interface!$D304,'Financial model inputs'!$A$3:$AJ$3,0)),0)</f>
        <v>1.6092833603523253</v>
      </c>
      <c r="I304" s="155">
        <f>_xlfn.IFNA(INDEX('Financial model inputs'!$A$3:$AJ$89,MATCH(F_interface!$A304&amp;RIGHT(F_interface!I$2,2),'Financial model inputs'!$A$3:$A$89,0),MATCH(F_interface!$D304,'Financial model inputs'!$A$3:$AJ$3,0)),0)</f>
        <v>1.6259403330493227</v>
      </c>
      <c r="J304" s="155">
        <f>_xlfn.IFNA(INDEX('Financial model inputs'!$A$3:$AJ$89,MATCH(F_interface!$A304&amp;RIGHT(F_interface!J$2,2),'Financial model inputs'!$A$3:$A$89,0),MATCH(F_interface!$D304,'Financial model inputs'!$A$3:$AJ$3,0)),0)</f>
        <v>1.6440153348270041</v>
      </c>
      <c r="K304" s="155">
        <f>_xlfn.IFNA(INDEX('Financial model inputs'!$A$3:$AJ$89,MATCH(F_interface!$A304&amp;RIGHT(F_interface!K$2,2),'Financial model inputs'!$A$3:$A$89,0),MATCH(F_interface!$D304,'Financial model inputs'!$A$3:$AJ$3,0)),0)</f>
        <v>1.6474789072603706</v>
      </c>
      <c r="L304" s="155">
        <f>_xlfn.IFNA(INDEX('Financial model inputs'!$A$3:$AJ$89,MATCH(F_interface!$A304&amp;RIGHT(F_interface!L$2,2),'Financial model inputs'!$A$3:$A$89,0),MATCH(F_interface!$D304,'Financial model inputs'!$A$3:$AJ$3,0)),0)</f>
        <v>1.6280922799911699</v>
      </c>
    </row>
    <row r="305" spans="1:12" x14ac:dyDescent="0.25">
      <c r="A305" s="13" t="s">
        <v>5</v>
      </c>
      <c r="B305" s="4" t="str">
        <f t="shared" si="5"/>
        <v>C_WRCAPEX_PR19CA004</v>
      </c>
      <c r="C305" s="12" t="str">
        <f t="shared" si="6"/>
        <v>NESC_WRCAPEX_PR19CA004</v>
      </c>
      <c r="D305" s="12" t="s">
        <v>248</v>
      </c>
      <c r="E305" s="12" t="s">
        <v>250</v>
      </c>
      <c r="F305" s="12" t="s">
        <v>2</v>
      </c>
      <c r="G305" s="12" t="s">
        <v>59</v>
      </c>
      <c r="H305" s="155">
        <f>_xlfn.IFNA(INDEX('Financial model inputs'!$A$3:$AJ$89,MATCH(F_interface!$A305&amp;RIGHT(F_interface!H$2,2),'Financial model inputs'!$A$3:$A$89,0),MATCH(F_interface!$D305,'Financial model inputs'!$A$3:$AJ$3,0)),0)</f>
        <v>4.6847993220394759</v>
      </c>
      <c r="I305" s="155">
        <f>_xlfn.IFNA(INDEX('Financial model inputs'!$A$3:$AJ$89,MATCH(F_interface!$A305&amp;RIGHT(F_interface!I$2,2),'Financial model inputs'!$A$3:$A$89,0),MATCH(F_interface!$D305,'Financial model inputs'!$A$3:$AJ$3,0)),0)</f>
        <v>4.6864843470146234</v>
      </c>
      <c r="J305" s="155">
        <f>_xlfn.IFNA(INDEX('Financial model inputs'!$A$3:$AJ$89,MATCH(F_interface!$A305&amp;RIGHT(F_interface!J$2,2),'Financial model inputs'!$A$3:$A$89,0),MATCH(F_interface!$D305,'Financial model inputs'!$A$3:$AJ$3,0)),0)</f>
        <v>4.6876238472330582</v>
      </c>
      <c r="K305" s="155">
        <f>_xlfn.IFNA(INDEX('Financial model inputs'!$A$3:$AJ$89,MATCH(F_interface!$A305&amp;RIGHT(F_interface!K$2,2),'Financial model inputs'!$A$3:$A$89,0),MATCH(F_interface!$D305,'Financial model inputs'!$A$3:$AJ$3,0)),0)</f>
        <v>4.6885559829684134</v>
      </c>
      <c r="L305" s="155">
        <f>_xlfn.IFNA(INDEX('Financial model inputs'!$A$3:$AJ$89,MATCH(F_interface!$A305&amp;RIGHT(F_interface!L$2,2),'Financial model inputs'!$A$3:$A$89,0),MATCH(F_interface!$D305,'Financial model inputs'!$A$3:$AJ$3,0)),0)</f>
        <v>4.6890619115536882</v>
      </c>
    </row>
    <row r="306" spans="1:12" x14ac:dyDescent="0.25">
      <c r="A306" s="13" t="s">
        <v>6</v>
      </c>
      <c r="B306" s="4" t="str">
        <f t="shared" si="5"/>
        <v>C_WRCAPEX_PR19CA004</v>
      </c>
      <c r="C306" s="12" t="str">
        <f t="shared" si="6"/>
        <v>NWTC_WRCAPEX_PR19CA004</v>
      </c>
      <c r="D306" s="12" t="s">
        <v>248</v>
      </c>
      <c r="E306" s="12" t="s">
        <v>250</v>
      </c>
      <c r="F306" s="12" t="s">
        <v>2</v>
      </c>
      <c r="G306" s="12" t="s">
        <v>59</v>
      </c>
      <c r="H306" s="155">
        <f>_xlfn.IFNA(INDEX('Financial model inputs'!$A$3:$AJ$89,MATCH(F_interface!$A306&amp;RIGHT(F_interface!H$2,2),'Financial model inputs'!$A$3:$A$89,0),MATCH(F_interface!$D306,'Financial model inputs'!$A$3:$AJ$3,0)),0)</f>
        <v>17.520298455401168</v>
      </c>
      <c r="I306" s="155">
        <f>_xlfn.IFNA(INDEX('Financial model inputs'!$A$3:$AJ$89,MATCH(F_interface!$A306&amp;RIGHT(F_interface!I$2,2),'Financial model inputs'!$A$3:$A$89,0),MATCH(F_interface!$D306,'Financial model inputs'!$A$3:$AJ$3,0)),0)</f>
        <v>17.908456548408225</v>
      </c>
      <c r="J306" s="155">
        <f>_xlfn.IFNA(INDEX('Financial model inputs'!$A$3:$AJ$89,MATCH(F_interface!$A306&amp;RIGHT(F_interface!J$2,2),'Financial model inputs'!$A$3:$A$89,0),MATCH(F_interface!$D306,'Financial model inputs'!$A$3:$AJ$3,0)),0)</f>
        <v>17.338365730920355</v>
      </c>
      <c r="K306" s="155">
        <f>_xlfn.IFNA(INDEX('Financial model inputs'!$A$3:$AJ$89,MATCH(F_interface!$A306&amp;RIGHT(F_interface!K$2,2),'Financial model inputs'!$A$3:$A$89,0),MATCH(F_interface!$D306,'Financial model inputs'!$A$3:$AJ$3,0)),0)</f>
        <v>16.792190669066507</v>
      </c>
      <c r="L306" s="155">
        <f>_xlfn.IFNA(INDEX('Financial model inputs'!$A$3:$AJ$89,MATCH(F_interface!$A306&amp;RIGHT(F_interface!L$2,2),'Financial model inputs'!$A$3:$A$89,0),MATCH(F_interface!$D306,'Financial model inputs'!$A$3:$AJ$3,0)),0)</f>
        <v>16.199723617227669</v>
      </c>
    </row>
    <row r="307" spans="1:12" x14ac:dyDescent="0.25">
      <c r="A307" s="13" t="s">
        <v>7</v>
      </c>
      <c r="B307" s="4" t="str">
        <f t="shared" si="5"/>
        <v>C_WRCAPEX_PR19CA004</v>
      </c>
      <c r="C307" s="12" t="str">
        <f t="shared" si="6"/>
        <v>SRNC_WRCAPEX_PR19CA004</v>
      </c>
      <c r="D307" s="12" t="s">
        <v>248</v>
      </c>
      <c r="E307" s="12" t="s">
        <v>250</v>
      </c>
      <c r="F307" s="12" t="s">
        <v>2</v>
      </c>
      <c r="G307" s="12" t="s">
        <v>59</v>
      </c>
      <c r="H307" s="155">
        <f>_xlfn.IFNA(INDEX('Financial model inputs'!$A$3:$AJ$89,MATCH(F_interface!$A307&amp;RIGHT(F_interface!H$2,2),'Financial model inputs'!$A$3:$A$89,0),MATCH(F_interface!$D307,'Financial model inputs'!$A$3:$AJ$3,0)),0)</f>
        <v>19.134061904070503</v>
      </c>
      <c r="I307" s="155">
        <f>_xlfn.IFNA(INDEX('Financial model inputs'!$A$3:$AJ$89,MATCH(F_interface!$A307&amp;RIGHT(F_interface!I$2,2),'Financial model inputs'!$A$3:$A$89,0),MATCH(F_interface!$D307,'Financial model inputs'!$A$3:$AJ$3,0)),0)</f>
        <v>19.160299857638996</v>
      </c>
      <c r="J307" s="155">
        <f>_xlfn.IFNA(INDEX('Financial model inputs'!$A$3:$AJ$89,MATCH(F_interface!$A307&amp;RIGHT(F_interface!J$2,2),'Financial model inputs'!$A$3:$A$89,0),MATCH(F_interface!$D307,'Financial model inputs'!$A$3:$AJ$3,0)),0)</f>
        <v>18.78665871145369</v>
      </c>
      <c r="K307" s="155">
        <f>_xlfn.IFNA(INDEX('Financial model inputs'!$A$3:$AJ$89,MATCH(F_interface!$A307&amp;RIGHT(F_interface!K$2,2),'Financial model inputs'!$A$3:$A$89,0),MATCH(F_interface!$D307,'Financial model inputs'!$A$3:$AJ$3,0)),0)</f>
        <v>18.368579059814603</v>
      </c>
      <c r="L307" s="155">
        <f>_xlfn.IFNA(INDEX('Financial model inputs'!$A$3:$AJ$89,MATCH(F_interface!$A307&amp;RIGHT(F_interface!L$2,2),'Financial model inputs'!$A$3:$A$89,0),MATCH(F_interface!$D307,'Financial model inputs'!$A$3:$AJ$3,0)),0)</f>
        <v>18.429695844363373</v>
      </c>
    </row>
    <row r="308" spans="1:12" x14ac:dyDescent="0.25">
      <c r="A308" s="13" t="s">
        <v>89</v>
      </c>
      <c r="B308" s="4" t="str">
        <f t="shared" si="5"/>
        <v>C_WRCAPEX_PR19CA004</v>
      </c>
      <c r="C308" s="12" t="str">
        <f t="shared" si="6"/>
        <v>SVEC_WRCAPEX_PR19CA004</v>
      </c>
      <c r="D308" s="12" t="s">
        <v>248</v>
      </c>
      <c r="E308" s="12" t="s">
        <v>250</v>
      </c>
      <c r="F308" s="12" t="s">
        <v>2</v>
      </c>
      <c r="G308" s="12" t="s">
        <v>59</v>
      </c>
      <c r="H308" s="155">
        <f>_xlfn.IFNA(INDEX('Financial model inputs'!$A$3:$AJ$89,MATCH(F_interface!$A308&amp;RIGHT(F_interface!H$2,2),'Financial model inputs'!$A$3:$A$89,0),MATCH(F_interface!$D308,'Financial model inputs'!$A$3:$AJ$3,0)),0)</f>
        <v>27.417426447973806</v>
      </c>
      <c r="I308" s="155">
        <f>_xlfn.IFNA(INDEX('Financial model inputs'!$A$3:$AJ$89,MATCH(F_interface!$A308&amp;RIGHT(F_interface!I$2,2),'Financial model inputs'!$A$3:$A$89,0),MATCH(F_interface!$D308,'Financial model inputs'!$A$3:$AJ$3,0)),0)</f>
        <v>27.891682085586165</v>
      </c>
      <c r="J308" s="155">
        <f>_xlfn.IFNA(INDEX('Financial model inputs'!$A$3:$AJ$89,MATCH(F_interface!$A308&amp;RIGHT(F_interface!J$2,2),'Financial model inputs'!$A$3:$A$89,0),MATCH(F_interface!$D308,'Financial model inputs'!$A$3:$AJ$3,0)),0)</f>
        <v>29.885651191148721</v>
      </c>
      <c r="K308" s="155">
        <f>_xlfn.IFNA(INDEX('Financial model inputs'!$A$3:$AJ$89,MATCH(F_interface!$A308&amp;RIGHT(F_interface!K$2,2),'Financial model inputs'!$A$3:$A$89,0),MATCH(F_interface!$D308,'Financial model inputs'!$A$3:$AJ$3,0)),0)</f>
        <v>31.930600948807243</v>
      </c>
      <c r="L308" s="155">
        <f>_xlfn.IFNA(INDEX('Financial model inputs'!$A$3:$AJ$89,MATCH(F_interface!$A308&amp;RIGHT(F_interface!L$2,2),'Financial model inputs'!$A$3:$A$89,0),MATCH(F_interface!$D308,'Financial model inputs'!$A$3:$AJ$3,0)),0)</f>
        <v>31.265348652922302</v>
      </c>
    </row>
    <row r="309" spans="1:12" x14ac:dyDescent="0.25">
      <c r="A309" s="13" t="s">
        <v>93</v>
      </c>
      <c r="B309" s="4" t="str">
        <f t="shared" si="5"/>
        <v>C_WRCAPEX_PR19CA004</v>
      </c>
      <c r="C309" s="12" t="str">
        <f t="shared" si="6"/>
        <v>SVHC_WRCAPEX_PR19CA004</v>
      </c>
      <c r="D309" s="12" t="s">
        <v>248</v>
      </c>
      <c r="E309" s="12" t="s">
        <v>250</v>
      </c>
      <c r="F309" s="12" t="s">
        <v>2</v>
      </c>
      <c r="G309" s="12" t="s">
        <v>59</v>
      </c>
      <c r="H309" s="155">
        <f>_xlfn.IFNA(INDEX('Financial model inputs'!$A$3:$AJ$89,MATCH(F_interface!$A309&amp;RIGHT(F_interface!H$2,2),'Financial model inputs'!$A$3:$A$89,0),MATCH(F_interface!$D309,'Financial model inputs'!$A$3:$AJ$3,0)),0)</f>
        <v>0</v>
      </c>
      <c r="I309" s="155">
        <f>_xlfn.IFNA(INDEX('Financial model inputs'!$A$3:$AJ$89,MATCH(F_interface!$A309&amp;RIGHT(F_interface!I$2,2),'Financial model inputs'!$A$3:$A$89,0),MATCH(F_interface!$D309,'Financial model inputs'!$A$3:$AJ$3,0)),0)</f>
        <v>0</v>
      </c>
      <c r="J309" s="155">
        <f>_xlfn.IFNA(INDEX('Financial model inputs'!$A$3:$AJ$89,MATCH(F_interface!$A309&amp;RIGHT(F_interface!J$2,2),'Financial model inputs'!$A$3:$A$89,0),MATCH(F_interface!$D309,'Financial model inputs'!$A$3:$AJ$3,0)),0)</f>
        <v>0</v>
      </c>
      <c r="K309" s="155">
        <f>_xlfn.IFNA(INDEX('Financial model inputs'!$A$3:$AJ$89,MATCH(F_interface!$A309&amp;RIGHT(F_interface!K$2,2),'Financial model inputs'!$A$3:$A$89,0),MATCH(F_interface!$D309,'Financial model inputs'!$A$3:$AJ$3,0)),0)</f>
        <v>0</v>
      </c>
      <c r="L309" s="155">
        <f>_xlfn.IFNA(INDEX('Financial model inputs'!$A$3:$AJ$89,MATCH(F_interface!$A309&amp;RIGHT(F_interface!L$2,2),'Financial model inputs'!$A$3:$A$89,0),MATCH(F_interface!$D309,'Financial model inputs'!$A$3:$AJ$3,0)),0)</f>
        <v>0</v>
      </c>
    </row>
    <row r="310" spans="1:12" x14ac:dyDescent="0.25">
      <c r="A310" s="13" t="s">
        <v>8</v>
      </c>
      <c r="B310" s="4" t="str">
        <f t="shared" si="5"/>
        <v>C_WRCAPEX_PR19CA004</v>
      </c>
      <c r="C310" s="12" t="str">
        <f t="shared" si="6"/>
        <v>SVTC_WRCAPEX_PR19CA004</v>
      </c>
      <c r="D310" s="12" t="s">
        <v>248</v>
      </c>
      <c r="E310" s="12" t="s">
        <v>250</v>
      </c>
      <c r="F310" s="12" t="s">
        <v>2</v>
      </c>
      <c r="G310" s="12" t="s">
        <v>59</v>
      </c>
      <c r="H310" s="155">
        <f>_xlfn.IFNA(INDEX('Financial model inputs'!$A$3:$AJ$89,MATCH(F_interface!$A310&amp;RIGHT(F_interface!H$2,2),'Financial model inputs'!$A$3:$A$89,0),MATCH(F_interface!$D310,'Financial model inputs'!$A$3:$AJ$3,0)),0)</f>
        <v>0</v>
      </c>
      <c r="I310" s="155">
        <f>_xlfn.IFNA(INDEX('Financial model inputs'!$A$3:$AJ$89,MATCH(F_interface!$A310&amp;RIGHT(F_interface!I$2,2),'Financial model inputs'!$A$3:$A$89,0),MATCH(F_interface!$D310,'Financial model inputs'!$A$3:$AJ$3,0)),0)</f>
        <v>0</v>
      </c>
      <c r="J310" s="155">
        <f>_xlfn.IFNA(INDEX('Financial model inputs'!$A$3:$AJ$89,MATCH(F_interface!$A310&amp;RIGHT(F_interface!J$2,2),'Financial model inputs'!$A$3:$A$89,0),MATCH(F_interface!$D310,'Financial model inputs'!$A$3:$AJ$3,0)),0)</f>
        <v>0</v>
      </c>
      <c r="K310" s="155">
        <f>_xlfn.IFNA(INDEX('Financial model inputs'!$A$3:$AJ$89,MATCH(F_interface!$A310&amp;RIGHT(F_interface!K$2,2),'Financial model inputs'!$A$3:$A$89,0),MATCH(F_interface!$D310,'Financial model inputs'!$A$3:$AJ$3,0)),0)</f>
        <v>0</v>
      </c>
      <c r="L310" s="155">
        <f>_xlfn.IFNA(INDEX('Financial model inputs'!$A$3:$AJ$89,MATCH(F_interface!$A310&amp;RIGHT(F_interface!L$2,2),'Financial model inputs'!$A$3:$A$89,0),MATCH(F_interface!$D310,'Financial model inputs'!$A$3:$AJ$3,0)),0)</f>
        <v>0</v>
      </c>
    </row>
    <row r="311" spans="1:12" x14ac:dyDescent="0.25">
      <c r="A311" s="13" t="s">
        <v>19</v>
      </c>
      <c r="B311" s="4" t="str">
        <f t="shared" si="5"/>
        <v>C_WRCAPEX_PR19CA004</v>
      </c>
      <c r="C311" s="12" t="str">
        <f t="shared" si="6"/>
        <v>SWBC_WRCAPEX_PR19CA004</v>
      </c>
      <c r="D311" s="12" t="s">
        <v>248</v>
      </c>
      <c r="E311" s="12" t="s">
        <v>250</v>
      </c>
      <c r="F311" s="12" t="s">
        <v>2</v>
      </c>
      <c r="G311" s="12" t="s">
        <v>59</v>
      </c>
      <c r="H311" s="155">
        <f>_xlfn.IFNA(INDEX('Financial model inputs'!$A$3:$AJ$89,MATCH(F_interface!$A311&amp;RIGHT(F_interface!H$2,2),'Financial model inputs'!$A$3:$A$89,0),MATCH(F_interface!$D311,'Financial model inputs'!$A$3:$AJ$3,0)),0)</f>
        <v>4.4007242740358459</v>
      </c>
      <c r="I311" s="155">
        <f>_xlfn.IFNA(INDEX('Financial model inputs'!$A$3:$AJ$89,MATCH(F_interface!$A311&amp;RIGHT(F_interface!I$2,2),'Financial model inputs'!$A$3:$A$89,0),MATCH(F_interface!$D311,'Financial model inputs'!$A$3:$AJ$3,0)),0)</f>
        <v>4.7503162615942927</v>
      </c>
      <c r="J311" s="155">
        <f>_xlfn.IFNA(INDEX('Financial model inputs'!$A$3:$AJ$89,MATCH(F_interface!$A311&amp;RIGHT(F_interface!J$2,2),'Financial model inputs'!$A$3:$A$89,0),MATCH(F_interface!$D311,'Financial model inputs'!$A$3:$AJ$3,0)),0)</f>
        <v>4.0457152737002611</v>
      </c>
      <c r="K311" s="155">
        <f>_xlfn.IFNA(INDEX('Financial model inputs'!$A$3:$AJ$89,MATCH(F_interface!$A311&amp;RIGHT(F_interface!K$2,2),'Financial model inputs'!$A$3:$A$89,0),MATCH(F_interface!$D311,'Financial model inputs'!$A$3:$AJ$3,0)),0)</f>
        <v>3.042748735119404</v>
      </c>
      <c r="L311" s="155">
        <f>_xlfn.IFNA(INDEX('Financial model inputs'!$A$3:$AJ$89,MATCH(F_interface!$A311&amp;RIGHT(F_interface!L$2,2),'Financial model inputs'!$A$3:$A$89,0),MATCH(F_interface!$D311,'Financial model inputs'!$A$3:$AJ$3,0)),0)</f>
        <v>2.6393530608837747</v>
      </c>
    </row>
    <row r="312" spans="1:12" x14ac:dyDescent="0.25">
      <c r="A312" s="13" t="s">
        <v>9</v>
      </c>
      <c r="B312" s="4" t="str">
        <f t="shared" si="5"/>
        <v>C_WRCAPEX_PR19CA004</v>
      </c>
      <c r="C312" s="12" t="str">
        <f t="shared" si="6"/>
        <v>TMSC_WRCAPEX_PR19CA004</v>
      </c>
      <c r="D312" s="12" t="s">
        <v>248</v>
      </c>
      <c r="E312" s="12" t="s">
        <v>250</v>
      </c>
      <c r="F312" s="12" t="s">
        <v>2</v>
      </c>
      <c r="G312" s="12" t="s">
        <v>59</v>
      </c>
      <c r="H312" s="155">
        <f>_xlfn.IFNA(INDEX('Financial model inputs'!$A$3:$AJ$89,MATCH(F_interface!$A312&amp;RIGHT(F_interface!H$2,2),'Financial model inputs'!$A$3:$A$89,0),MATCH(F_interface!$D312,'Financial model inputs'!$A$3:$AJ$3,0)),0)</f>
        <v>81.113659802478281</v>
      </c>
      <c r="I312" s="155">
        <f>_xlfn.IFNA(INDEX('Financial model inputs'!$A$3:$AJ$89,MATCH(F_interface!$A312&amp;RIGHT(F_interface!I$2,2),'Financial model inputs'!$A$3:$A$89,0),MATCH(F_interface!$D312,'Financial model inputs'!$A$3:$AJ$3,0)),0)</f>
        <v>78.795382393093917</v>
      </c>
      <c r="J312" s="155">
        <f>_xlfn.IFNA(INDEX('Financial model inputs'!$A$3:$AJ$89,MATCH(F_interface!$A312&amp;RIGHT(F_interface!J$2,2),'Financial model inputs'!$A$3:$A$89,0),MATCH(F_interface!$D312,'Financial model inputs'!$A$3:$AJ$3,0)),0)</f>
        <v>76.562065734541846</v>
      </c>
      <c r="K312" s="155">
        <f>_xlfn.IFNA(INDEX('Financial model inputs'!$A$3:$AJ$89,MATCH(F_interface!$A312&amp;RIGHT(F_interface!K$2,2),'Financial model inputs'!$A$3:$A$89,0),MATCH(F_interface!$D312,'Financial model inputs'!$A$3:$AJ$3,0)),0)</f>
        <v>70.095257090231556</v>
      </c>
      <c r="L312" s="155">
        <f>_xlfn.IFNA(INDEX('Financial model inputs'!$A$3:$AJ$89,MATCH(F_interface!$A312&amp;RIGHT(F_interface!L$2,2),'Financial model inputs'!$A$3:$A$89,0),MATCH(F_interface!$D312,'Financial model inputs'!$A$3:$AJ$3,0)),0)</f>
        <v>65.292656970066332</v>
      </c>
    </row>
    <row r="313" spans="1:12" x14ac:dyDescent="0.25">
      <c r="A313" s="13" t="s">
        <v>23</v>
      </c>
      <c r="B313" s="4" t="str">
        <f t="shared" si="5"/>
        <v>C_WRCAPEX_PR19CA004</v>
      </c>
      <c r="C313" s="12" t="str">
        <f t="shared" si="6"/>
        <v>WSHC_WRCAPEX_PR19CA004</v>
      </c>
      <c r="D313" s="12" t="s">
        <v>248</v>
      </c>
      <c r="E313" s="12" t="s">
        <v>250</v>
      </c>
      <c r="F313" s="12" t="s">
        <v>2</v>
      </c>
      <c r="G313" s="12" t="s">
        <v>59</v>
      </c>
      <c r="H313" s="155">
        <f>_xlfn.IFNA(INDEX('Financial model inputs'!$A$3:$AJ$89,MATCH(F_interface!$A313&amp;RIGHT(F_interface!H$2,2),'Financial model inputs'!$A$3:$A$89,0),MATCH(F_interface!$D313,'Financial model inputs'!$A$3:$AJ$3,0)),0)</f>
        <v>31.029119957284482</v>
      </c>
      <c r="I313" s="155">
        <f>_xlfn.IFNA(INDEX('Financial model inputs'!$A$3:$AJ$89,MATCH(F_interface!$A313&amp;RIGHT(F_interface!I$2,2),'Financial model inputs'!$A$3:$A$89,0),MATCH(F_interface!$D313,'Financial model inputs'!$A$3:$AJ$3,0)),0)</f>
        <v>30.703019246496364</v>
      </c>
      <c r="J313" s="155">
        <f>_xlfn.IFNA(INDEX('Financial model inputs'!$A$3:$AJ$89,MATCH(F_interface!$A313&amp;RIGHT(F_interface!J$2,2),'Financial model inputs'!$A$3:$A$89,0),MATCH(F_interface!$D313,'Financial model inputs'!$A$3:$AJ$3,0)),0)</f>
        <v>30.769238630414627</v>
      </c>
      <c r="K313" s="155">
        <f>_xlfn.IFNA(INDEX('Financial model inputs'!$A$3:$AJ$89,MATCH(F_interface!$A313&amp;RIGHT(F_interface!K$2,2),'Financial model inputs'!$A$3:$A$89,0),MATCH(F_interface!$D313,'Financial model inputs'!$A$3:$AJ$3,0)),0)</f>
        <v>30.372045045607191</v>
      </c>
      <c r="L313" s="155">
        <f>_xlfn.IFNA(INDEX('Financial model inputs'!$A$3:$AJ$89,MATCH(F_interface!$A313&amp;RIGHT(F_interface!L$2,2),'Financial model inputs'!$A$3:$A$89,0),MATCH(F_interface!$D313,'Financial model inputs'!$A$3:$AJ$3,0)),0)</f>
        <v>30.128491517003685</v>
      </c>
    </row>
    <row r="314" spans="1:12" x14ac:dyDescent="0.25">
      <c r="A314" s="13" t="s">
        <v>10</v>
      </c>
      <c r="B314" s="4" t="str">
        <f t="shared" si="5"/>
        <v>C_WRCAPEX_PR19CA004</v>
      </c>
      <c r="C314" s="12" t="str">
        <f t="shared" si="6"/>
        <v>WSXC_WRCAPEX_PR19CA004</v>
      </c>
      <c r="D314" s="12" t="s">
        <v>248</v>
      </c>
      <c r="E314" s="12" t="s">
        <v>250</v>
      </c>
      <c r="F314" s="12" t="s">
        <v>2</v>
      </c>
      <c r="G314" s="12" t="s">
        <v>59</v>
      </c>
      <c r="H314" s="155">
        <f>_xlfn.IFNA(INDEX('Financial model inputs'!$A$3:$AJ$89,MATCH(F_interface!$A314&amp;RIGHT(F_interface!H$2,2),'Financial model inputs'!$A$3:$A$89,0),MATCH(F_interface!$D314,'Financial model inputs'!$A$3:$AJ$3,0)),0)</f>
        <v>6.5535456021290903</v>
      </c>
      <c r="I314" s="155">
        <f>_xlfn.IFNA(INDEX('Financial model inputs'!$A$3:$AJ$89,MATCH(F_interface!$A314&amp;RIGHT(F_interface!I$2,2),'Financial model inputs'!$A$3:$A$89,0),MATCH(F_interface!$D314,'Financial model inputs'!$A$3:$AJ$3,0)),0)</f>
        <v>7.4835874069595123</v>
      </c>
      <c r="J314" s="155">
        <f>_xlfn.IFNA(INDEX('Financial model inputs'!$A$3:$AJ$89,MATCH(F_interface!$A314&amp;RIGHT(F_interface!J$2,2),'Financial model inputs'!$A$3:$A$89,0),MATCH(F_interface!$D314,'Financial model inputs'!$A$3:$AJ$3,0)),0)</f>
        <v>6.7019277661132408</v>
      </c>
      <c r="K314" s="155">
        <f>_xlfn.IFNA(INDEX('Financial model inputs'!$A$3:$AJ$89,MATCH(F_interface!$A314&amp;RIGHT(F_interface!K$2,2),'Financial model inputs'!$A$3:$A$89,0),MATCH(F_interface!$D314,'Financial model inputs'!$A$3:$AJ$3,0)),0)</f>
        <v>5.9143466339544846</v>
      </c>
      <c r="L314" s="155">
        <f>_xlfn.IFNA(INDEX('Financial model inputs'!$A$3:$AJ$89,MATCH(F_interface!$A314&amp;RIGHT(F_interface!L$2,2),'Financial model inputs'!$A$3:$A$89,0),MATCH(F_interface!$D314,'Financial model inputs'!$A$3:$AJ$3,0)),0)</f>
        <v>5.8895513693298733</v>
      </c>
    </row>
    <row r="315" spans="1:12" x14ac:dyDescent="0.25">
      <c r="A315" s="13" t="s">
        <v>11</v>
      </c>
      <c r="B315" s="4" t="str">
        <f t="shared" si="5"/>
        <v>C_WRCAPEX_PR19CA004</v>
      </c>
      <c r="C315" s="12" t="str">
        <f t="shared" si="6"/>
        <v>YKYC_WRCAPEX_PR19CA004</v>
      </c>
      <c r="D315" s="12" t="s">
        <v>248</v>
      </c>
      <c r="E315" s="12" t="s">
        <v>250</v>
      </c>
      <c r="F315" s="12" t="s">
        <v>2</v>
      </c>
      <c r="G315" s="12" t="s">
        <v>59</v>
      </c>
      <c r="H315" s="155">
        <f>_xlfn.IFNA(INDEX('Financial model inputs'!$A$3:$AJ$89,MATCH(F_interface!$A315&amp;RIGHT(F_interface!H$2,2),'Financial model inputs'!$A$3:$A$89,0),MATCH(F_interface!$D315,'Financial model inputs'!$A$3:$AJ$3,0)),0)</f>
        <v>25.301695284955208</v>
      </c>
      <c r="I315" s="155">
        <f>_xlfn.IFNA(INDEX('Financial model inputs'!$A$3:$AJ$89,MATCH(F_interface!$A315&amp;RIGHT(F_interface!I$2,2),'Financial model inputs'!$A$3:$A$89,0),MATCH(F_interface!$D315,'Financial model inputs'!$A$3:$AJ$3,0)),0)</f>
        <v>23.50592425741646</v>
      </c>
      <c r="J315" s="155">
        <f>_xlfn.IFNA(INDEX('Financial model inputs'!$A$3:$AJ$89,MATCH(F_interface!$A315&amp;RIGHT(F_interface!J$2,2),'Financial model inputs'!$A$3:$A$89,0),MATCH(F_interface!$D315,'Financial model inputs'!$A$3:$AJ$3,0)),0)</f>
        <v>26.526195188291751</v>
      </c>
      <c r="K315" s="155">
        <f>_xlfn.IFNA(INDEX('Financial model inputs'!$A$3:$AJ$89,MATCH(F_interface!$A315&amp;RIGHT(F_interface!K$2,2),'Financial model inputs'!$A$3:$A$89,0),MATCH(F_interface!$D315,'Financial model inputs'!$A$3:$AJ$3,0)),0)</f>
        <v>23.76971218212234</v>
      </c>
      <c r="L315" s="155">
        <f>_xlfn.IFNA(INDEX('Financial model inputs'!$A$3:$AJ$89,MATCH(F_interface!$A315&amp;RIGHT(F_interface!L$2,2),'Financial model inputs'!$A$3:$A$89,0),MATCH(F_interface!$D315,'Financial model inputs'!$A$3:$AJ$3,0)),0)</f>
        <v>17.001911755341212</v>
      </c>
    </row>
    <row r="316" spans="1:12" x14ac:dyDescent="0.25">
      <c r="A316" s="13" t="s">
        <v>12</v>
      </c>
      <c r="B316" s="4" t="str">
        <f t="shared" si="5"/>
        <v>C_WRCAPEX_PR19CA004</v>
      </c>
      <c r="C316" s="12" t="str">
        <f t="shared" si="6"/>
        <v>AFWC_WRCAPEX_PR19CA004</v>
      </c>
      <c r="D316" s="12" t="s">
        <v>248</v>
      </c>
      <c r="E316" s="12" t="s">
        <v>250</v>
      </c>
      <c r="F316" s="12" t="s">
        <v>2</v>
      </c>
      <c r="G316" s="12" t="s">
        <v>59</v>
      </c>
      <c r="H316" s="155">
        <f>_xlfn.IFNA(INDEX('Financial model inputs'!$A$3:$AJ$89,MATCH(F_interface!$A316&amp;RIGHT(F_interface!H$2,2),'Financial model inputs'!$A$3:$A$89,0),MATCH(F_interface!$D316,'Financial model inputs'!$A$3:$AJ$3,0)),0)</f>
        <v>46.074037962934852</v>
      </c>
      <c r="I316" s="155">
        <f>_xlfn.IFNA(INDEX('Financial model inputs'!$A$3:$AJ$89,MATCH(F_interface!$A316&amp;RIGHT(F_interface!I$2,2),'Financial model inputs'!$A$3:$A$89,0),MATCH(F_interface!$D316,'Financial model inputs'!$A$3:$AJ$3,0)),0)</f>
        <v>45.930564502028631</v>
      </c>
      <c r="J316" s="155">
        <f>_xlfn.IFNA(INDEX('Financial model inputs'!$A$3:$AJ$89,MATCH(F_interface!$A316&amp;RIGHT(F_interface!J$2,2),'Financial model inputs'!$A$3:$A$89,0),MATCH(F_interface!$D316,'Financial model inputs'!$A$3:$AJ$3,0)),0)</f>
        <v>45.660437541142194</v>
      </c>
      <c r="K316" s="155">
        <f>_xlfn.IFNA(INDEX('Financial model inputs'!$A$3:$AJ$89,MATCH(F_interface!$A316&amp;RIGHT(F_interface!K$2,2),'Financial model inputs'!$A$3:$A$89,0),MATCH(F_interface!$D316,'Financial model inputs'!$A$3:$AJ$3,0)),0)</f>
        <v>45.142021394992923</v>
      </c>
      <c r="L316" s="155">
        <f>_xlfn.IFNA(INDEX('Financial model inputs'!$A$3:$AJ$89,MATCH(F_interface!$A316&amp;RIGHT(F_interface!L$2,2),'Financial model inputs'!$A$3:$A$89,0),MATCH(F_interface!$D316,'Financial model inputs'!$A$3:$AJ$3,0)),0)</f>
        <v>45.08144645458129</v>
      </c>
    </row>
    <row r="317" spans="1:12" x14ac:dyDescent="0.25">
      <c r="A317" s="13" t="s">
        <v>13</v>
      </c>
      <c r="B317" s="4" t="str">
        <f t="shared" si="5"/>
        <v>C_WRCAPEX_PR19CA004</v>
      </c>
      <c r="C317" s="12" t="str">
        <f t="shared" si="6"/>
        <v>BRLC_WRCAPEX_PR19CA004</v>
      </c>
      <c r="D317" s="12" t="s">
        <v>248</v>
      </c>
      <c r="E317" s="12" t="s">
        <v>250</v>
      </c>
      <c r="F317" s="12" t="s">
        <v>2</v>
      </c>
      <c r="G317" s="12" t="s">
        <v>59</v>
      </c>
      <c r="H317" s="155">
        <f>_xlfn.IFNA(INDEX('Financial model inputs'!$A$3:$AJ$89,MATCH(F_interface!$A317&amp;RIGHT(F_interface!H$2,2),'Financial model inputs'!$A$3:$A$89,0),MATCH(F_interface!$D317,'Financial model inputs'!$A$3:$AJ$3,0)),0)</f>
        <v>3.1651169888610804</v>
      </c>
      <c r="I317" s="155">
        <f>_xlfn.IFNA(INDEX('Financial model inputs'!$A$3:$AJ$89,MATCH(F_interface!$A317&amp;RIGHT(F_interface!I$2,2),'Financial model inputs'!$A$3:$A$89,0),MATCH(F_interface!$D317,'Financial model inputs'!$A$3:$AJ$3,0)),0)</f>
        <v>2.9710777747525152</v>
      </c>
      <c r="J317" s="155">
        <f>_xlfn.IFNA(INDEX('Financial model inputs'!$A$3:$AJ$89,MATCH(F_interface!$A317&amp;RIGHT(F_interface!J$2,2),'Financial model inputs'!$A$3:$A$89,0),MATCH(F_interface!$D317,'Financial model inputs'!$A$3:$AJ$3,0)),0)</f>
        <v>5.0383448014459518</v>
      </c>
      <c r="K317" s="155">
        <f>_xlfn.IFNA(INDEX('Financial model inputs'!$A$3:$AJ$89,MATCH(F_interface!$A317&amp;RIGHT(F_interface!K$2,2),'Financial model inputs'!$A$3:$A$89,0),MATCH(F_interface!$D317,'Financial model inputs'!$A$3:$AJ$3,0)),0)</f>
        <v>2.8896216687844651</v>
      </c>
      <c r="L317" s="155">
        <f>_xlfn.IFNA(INDEX('Financial model inputs'!$A$3:$AJ$89,MATCH(F_interface!$A317&amp;RIGHT(F_interface!L$2,2),'Financial model inputs'!$A$3:$A$89,0),MATCH(F_interface!$D317,'Financial model inputs'!$A$3:$AJ$3,0)),0)</f>
        <v>2.8518443701179148</v>
      </c>
    </row>
    <row r="318" spans="1:12" x14ac:dyDescent="0.25">
      <c r="A318" s="13" t="s">
        <v>14</v>
      </c>
      <c r="B318" s="4" t="str">
        <f t="shared" si="5"/>
        <v>C_WRCAPEX_PR19CA004</v>
      </c>
      <c r="C318" s="12" t="str">
        <f t="shared" si="6"/>
        <v>DVWC_WRCAPEX_PR19CA004</v>
      </c>
      <c r="D318" s="12" t="s">
        <v>248</v>
      </c>
      <c r="E318" s="12" t="s">
        <v>250</v>
      </c>
      <c r="F318" s="12" t="s">
        <v>2</v>
      </c>
      <c r="G318" s="12" t="s">
        <v>59</v>
      </c>
      <c r="H318" s="155">
        <f>_xlfn.IFNA(INDEX('Financial model inputs'!$A$3:$AJ$89,MATCH(F_interface!$A318&amp;RIGHT(F_interface!H$2,2),'Financial model inputs'!$A$3:$A$89,0),MATCH(F_interface!$D318,'Financial model inputs'!$A$3:$AJ$3,0)),0)</f>
        <v>0</v>
      </c>
      <c r="I318" s="155">
        <f>_xlfn.IFNA(INDEX('Financial model inputs'!$A$3:$AJ$89,MATCH(F_interface!$A318&amp;RIGHT(F_interface!I$2,2),'Financial model inputs'!$A$3:$A$89,0),MATCH(F_interface!$D318,'Financial model inputs'!$A$3:$AJ$3,0)),0)</f>
        <v>0</v>
      </c>
      <c r="J318" s="155">
        <f>_xlfn.IFNA(INDEX('Financial model inputs'!$A$3:$AJ$89,MATCH(F_interface!$A318&amp;RIGHT(F_interface!J$2,2),'Financial model inputs'!$A$3:$A$89,0),MATCH(F_interface!$D318,'Financial model inputs'!$A$3:$AJ$3,0)),0)</f>
        <v>0</v>
      </c>
      <c r="K318" s="155">
        <f>_xlfn.IFNA(INDEX('Financial model inputs'!$A$3:$AJ$89,MATCH(F_interface!$A318&amp;RIGHT(F_interface!K$2,2),'Financial model inputs'!$A$3:$A$89,0),MATCH(F_interface!$D318,'Financial model inputs'!$A$3:$AJ$3,0)),0)</f>
        <v>0</v>
      </c>
      <c r="L318" s="155">
        <f>_xlfn.IFNA(INDEX('Financial model inputs'!$A$3:$AJ$89,MATCH(F_interface!$A318&amp;RIGHT(F_interface!L$2,2),'Financial model inputs'!$A$3:$A$89,0),MATCH(F_interface!$D318,'Financial model inputs'!$A$3:$AJ$3,0)),0)</f>
        <v>0</v>
      </c>
    </row>
    <row r="319" spans="1:12" x14ac:dyDescent="0.25">
      <c r="A319" s="13" t="s">
        <v>15</v>
      </c>
      <c r="B319" s="4" t="str">
        <f t="shared" si="5"/>
        <v>C_WRCAPEX_PR19CA004</v>
      </c>
      <c r="C319" s="12" t="str">
        <f t="shared" si="6"/>
        <v>PRTC_WRCAPEX_PR19CA004</v>
      </c>
      <c r="D319" s="12" t="s">
        <v>248</v>
      </c>
      <c r="E319" s="12" t="s">
        <v>250</v>
      </c>
      <c r="F319" s="12" t="s">
        <v>2</v>
      </c>
      <c r="G319" s="12" t="s">
        <v>59</v>
      </c>
      <c r="H319" s="155">
        <f>_xlfn.IFNA(INDEX('Financial model inputs'!$A$3:$AJ$89,MATCH(F_interface!$A319&amp;RIGHT(F_interface!H$2,2),'Financial model inputs'!$A$3:$A$89,0),MATCH(F_interface!$D319,'Financial model inputs'!$A$3:$AJ$3,0)),0)</f>
        <v>2.5056506410646908</v>
      </c>
      <c r="I319" s="155">
        <f>_xlfn.IFNA(INDEX('Financial model inputs'!$A$3:$AJ$89,MATCH(F_interface!$A319&amp;RIGHT(F_interface!I$2,2),'Financial model inputs'!$A$3:$A$89,0),MATCH(F_interface!$D319,'Financial model inputs'!$A$3:$AJ$3,0)),0)</f>
        <v>2.7156541301527768</v>
      </c>
      <c r="J319" s="155">
        <f>_xlfn.IFNA(INDEX('Financial model inputs'!$A$3:$AJ$89,MATCH(F_interface!$A319&amp;RIGHT(F_interface!J$2,2),'Financial model inputs'!$A$3:$A$89,0),MATCH(F_interface!$D319,'Financial model inputs'!$A$3:$AJ$3,0)),0)</f>
        <v>2.3899528308551217</v>
      </c>
      <c r="K319" s="155">
        <f>_xlfn.IFNA(INDEX('Financial model inputs'!$A$3:$AJ$89,MATCH(F_interface!$A319&amp;RIGHT(F_interface!K$2,2),'Financial model inputs'!$A$3:$A$89,0),MATCH(F_interface!$D319,'Financial model inputs'!$A$3:$AJ$3,0)),0)</f>
        <v>2.6241055092171321</v>
      </c>
      <c r="L319" s="155">
        <f>_xlfn.IFNA(INDEX('Financial model inputs'!$A$3:$AJ$89,MATCH(F_interface!$A319&amp;RIGHT(F_interface!L$2,2),'Financial model inputs'!$A$3:$A$89,0),MATCH(F_interface!$D319,'Financial model inputs'!$A$3:$AJ$3,0)),0)</f>
        <v>2.6415020383028609</v>
      </c>
    </row>
    <row r="320" spans="1:12" x14ac:dyDescent="0.25">
      <c r="A320" s="13" t="s">
        <v>16</v>
      </c>
      <c r="B320" s="4" t="str">
        <f t="shared" si="5"/>
        <v>C_WRCAPEX_PR19CA004</v>
      </c>
      <c r="C320" s="12" t="str">
        <f t="shared" si="6"/>
        <v>SESC_WRCAPEX_PR19CA004</v>
      </c>
      <c r="D320" s="12" t="s">
        <v>248</v>
      </c>
      <c r="E320" s="12" t="s">
        <v>250</v>
      </c>
      <c r="F320" s="12" t="s">
        <v>2</v>
      </c>
      <c r="G320" s="12" t="s">
        <v>59</v>
      </c>
      <c r="H320" s="155">
        <f>_xlfn.IFNA(INDEX('Financial model inputs'!$A$3:$AJ$89,MATCH(F_interface!$A320&amp;RIGHT(F_interface!H$2,2),'Financial model inputs'!$A$3:$A$89,0),MATCH(F_interface!$D320,'Financial model inputs'!$A$3:$AJ$3,0)),0)</f>
        <v>0.93803845461915325</v>
      </c>
      <c r="I320" s="155">
        <f>_xlfn.IFNA(INDEX('Financial model inputs'!$A$3:$AJ$89,MATCH(F_interface!$A320&amp;RIGHT(F_interface!I$2,2),'Financial model inputs'!$A$3:$A$89,0),MATCH(F_interface!$D320,'Financial model inputs'!$A$3:$AJ$3,0)),0)</f>
        <v>1.0499516774858699</v>
      </c>
      <c r="J320" s="155">
        <f>_xlfn.IFNA(INDEX('Financial model inputs'!$A$3:$AJ$89,MATCH(F_interface!$A320&amp;RIGHT(F_interface!J$2,2),'Financial model inputs'!$A$3:$A$89,0),MATCH(F_interface!$D320,'Financial model inputs'!$A$3:$AJ$3,0)),0)</f>
        <v>0.92866411994427878</v>
      </c>
      <c r="K320" s="155">
        <f>_xlfn.IFNA(INDEX('Financial model inputs'!$A$3:$AJ$89,MATCH(F_interface!$A320&amp;RIGHT(F_interface!K$2,2),'Financial model inputs'!$A$3:$A$89,0),MATCH(F_interface!$D320,'Financial model inputs'!$A$3:$AJ$3,0)),0)</f>
        <v>0.93600091894084159</v>
      </c>
      <c r="L320" s="155">
        <f>_xlfn.IFNA(INDEX('Financial model inputs'!$A$3:$AJ$89,MATCH(F_interface!$A320&amp;RIGHT(F_interface!L$2,2),'Financial model inputs'!$A$3:$A$89,0),MATCH(F_interface!$D320,'Financial model inputs'!$A$3:$AJ$3,0)),0)</f>
        <v>0.97511230960259532</v>
      </c>
    </row>
    <row r="321" spans="1:12" x14ac:dyDescent="0.25">
      <c r="A321" s="13" t="s">
        <v>17</v>
      </c>
      <c r="B321" s="4" t="str">
        <f t="shared" si="5"/>
        <v>C_WRCAPEX_PR19CA004</v>
      </c>
      <c r="C321" s="12" t="str">
        <f t="shared" si="6"/>
        <v>SEWC_WRCAPEX_PR19CA004</v>
      </c>
      <c r="D321" s="12" t="s">
        <v>248</v>
      </c>
      <c r="E321" s="12" t="s">
        <v>250</v>
      </c>
      <c r="F321" s="12" t="s">
        <v>2</v>
      </c>
      <c r="G321" s="12" t="s">
        <v>59</v>
      </c>
      <c r="H321" s="155">
        <f>_xlfn.IFNA(INDEX('Financial model inputs'!$A$3:$AJ$89,MATCH(F_interface!$A321&amp;RIGHT(F_interface!H$2,2),'Financial model inputs'!$A$3:$A$89,0),MATCH(F_interface!$D321,'Financial model inputs'!$A$3:$AJ$3,0)),0)</f>
        <v>10.514013740955267</v>
      </c>
      <c r="I321" s="155">
        <f>_xlfn.IFNA(INDEX('Financial model inputs'!$A$3:$AJ$89,MATCH(F_interface!$A321&amp;RIGHT(F_interface!I$2,2),'Financial model inputs'!$A$3:$A$89,0),MATCH(F_interface!$D321,'Financial model inputs'!$A$3:$AJ$3,0)),0)</f>
        <v>10.504015125282329</v>
      </c>
      <c r="J321" s="155">
        <f>_xlfn.IFNA(INDEX('Financial model inputs'!$A$3:$AJ$89,MATCH(F_interface!$A321&amp;RIGHT(F_interface!J$2,2),'Financial model inputs'!$A$3:$A$89,0),MATCH(F_interface!$D321,'Financial model inputs'!$A$3:$AJ$3,0)),0)</f>
        <v>10.490107568302586</v>
      </c>
      <c r="K321" s="155">
        <f>_xlfn.IFNA(INDEX('Financial model inputs'!$A$3:$AJ$89,MATCH(F_interface!$A321&amp;RIGHT(F_interface!K$2,2),'Financial model inputs'!$A$3:$A$89,0),MATCH(F_interface!$D321,'Financial model inputs'!$A$3:$AJ$3,0)),0)</f>
        <v>10.375999605747268</v>
      </c>
      <c r="L321" s="155">
        <f>_xlfn.IFNA(INDEX('Financial model inputs'!$A$3:$AJ$89,MATCH(F_interface!$A321&amp;RIGHT(F_interface!L$2,2),'Financial model inputs'!$A$3:$A$89,0),MATCH(F_interface!$D321,'Financial model inputs'!$A$3:$AJ$3,0)),0)</f>
        <v>10.042150481083352</v>
      </c>
    </row>
    <row r="322" spans="1:12" x14ac:dyDescent="0.25">
      <c r="A322" s="13" t="s">
        <v>18</v>
      </c>
      <c r="B322" s="4" t="str">
        <f t="shared" si="5"/>
        <v>C_WRCAPEX_PR19CA004</v>
      </c>
      <c r="C322" s="12" t="str">
        <f t="shared" si="6"/>
        <v>SSCC_WRCAPEX_PR19CA004</v>
      </c>
      <c r="D322" s="12" t="s">
        <v>248</v>
      </c>
      <c r="E322" s="12" t="s">
        <v>250</v>
      </c>
      <c r="F322" s="12" t="s">
        <v>2</v>
      </c>
      <c r="G322" s="12" t="s">
        <v>59</v>
      </c>
      <c r="H322" s="155">
        <f>_xlfn.IFNA(INDEX('Financial model inputs'!$A$3:$AJ$89,MATCH(F_interface!$A322&amp;RIGHT(F_interface!H$2,2),'Financial model inputs'!$A$3:$A$89,0),MATCH(F_interface!$D322,'Financial model inputs'!$A$3:$AJ$3,0)),0)</f>
        <v>2.7641224213080573</v>
      </c>
      <c r="I322" s="155">
        <f>_xlfn.IFNA(INDEX('Financial model inputs'!$A$3:$AJ$89,MATCH(F_interface!$A322&amp;RIGHT(F_interface!I$2,2),'Financial model inputs'!$A$3:$A$89,0),MATCH(F_interface!$D322,'Financial model inputs'!$A$3:$AJ$3,0)),0)</f>
        <v>3.5869221562396989</v>
      </c>
      <c r="J322" s="155">
        <f>_xlfn.IFNA(INDEX('Financial model inputs'!$A$3:$AJ$89,MATCH(F_interface!$A322&amp;RIGHT(F_interface!J$2,2),'Financial model inputs'!$A$3:$A$89,0),MATCH(F_interface!$D322,'Financial model inputs'!$A$3:$AJ$3,0)),0)</f>
        <v>2.8898553139803109</v>
      </c>
      <c r="K322" s="155">
        <f>_xlfn.IFNA(INDEX('Financial model inputs'!$A$3:$AJ$89,MATCH(F_interface!$A322&amp;RIGHT(F_interface!K$2,2),'Financial model inputs'!$A$3:$A$89,0),MATCH(F_interface!$D322,'Financial model inputs'!$A$3:$AJ$3,0)),0)</f>
        <v>3.1799133922036216</v>
      </c>
      <c r="L322" s="155">
        <f>_xlfn.IFNA(INDEX('Financial model inputs'!$A$3:$AJ$89,MATCH(F_interface!$A322&amp;RIGHT(F_interface!L$2,2),'Financial model inputs'!$A$3:$A$89,0),MATCH(F_interface!$D322,'Financial model inputs'!$A$3:$AJ$3,0)),0)</f>
        <v>3.6495328555485886</v>
      </c>
    </row>
    <row r="323" spans="1:12" x14ac:dyDescent="0.25">
      <c r="A323" s="13" t="s">
        <v>4</v>
      </c>
      <c r="B323" s="4" t="str">
        <f t="shared" si="5"/>
        <v>C_WRTOTEXFM_PR19CA004</v>
      </c>
      <c r="C323" s="12" t="str">
        <f t="shared" si="6"/>
        <v>ANHC_WRTOTEXFM_PR19CA004</v>
      </c>
      <c r="D323" s="12" t="s">
        <v>249</v>
      </c>
      <c r="E323" s="12" t="s">
        <v>244</v>
      </c>
      <c r="F323" s="12" t="s">
        <v>2</v>
      </c>
      <c r="G323" s="12" t="s">
        <v>59</v>
      </c>
      <c r="H323" s="155">
        <f>_xlfn.IFNA(INDEX('Financial model inputs'!$A$3:$AJ$89,MATCH(F_interface!$A323&amp;RIGHT(F_interface!H$2,2),'Financial model inputs'!$A$3:$A$89,0),MATCH(F_interface!$D323,'Financial model inputs'!$A$3:$AJ$3,0)),0)</f>
        <v>58.038001956340473</v>
      </c>
      <c r="I323" s="155">
        <f>_xlfn.IFNA(INDEX('Financial model inputs'!$A$3:$AJ$89,MATCH(F_interface!$A323&amp;RIGHT(F_interface!I$2,2),'Financial model inputs'!$A$3:$A$89,0),MATCH(F_interface!$D323,'Financial model inputs'!$A$3:$AJ$3,0)),0)</f>
        <v>58.038001956340473</v>
      </c>
      <c r="J323" s="155">
        <f>_xlfn.IFNA(INDEX('Financial model inputs'!$A$3:$AJ$89,MATCH(F_interface!$A323&amp;RIGHT(F_interface!J$2,2),'Financial model inputs'!$A$3:$A$89,0),MATCH(F_interface!$D323,'Financial model inputs'!$A$3:$AJ$3,0)),0)</f>
        <v>58.038001956340473</v>
      </c>
      <c r="K323" s="155">
        <f>_xlfn.IFNA(INDEX('Financial model inputs'!$A$3:$AJ$89,MATCH(F_interface!$A323&amp;RIGHT(F_interface!K$2,2),'Financial model inputs'!$A$3:$A$89,0),MATCH(F_interface!$D323,'Financial model inputs'!$A$3:$AJ$3,0)),0)</f>
        <v>58.038001956340473</v>
      </c>
      <c r="L323" s="155">
        <f>_xlfn.IFNA(INDEX('Financial model inputs'!$A$3:$AJ$89,MATCH(F_interface!$A323&amp;RIGHT(F_interface!L$2,2),'Financial model inputs'!$A$3:$A$89,0),MATCH(F_interface!$D323,'Financial model inputs'!$A$3:$AJ$3,0)),0)</f>
        <v>58.038001956340473</v>
      </c>
    </row>
    <row r="324" spans="1:12" x14ac:dyDescent="0.25">
      <c r="A324" s="13" t="s">
        <v>90</v>
      </c>
      <c r="B324" s="4" t="str">
        <f t="shared" si="5"/>
        <v>C_WRTOTEXFM_PR19CA004</v>
      </c>
      <c r="C324" s="12" t="str">
        <f t="shared" si="6"/>
        <v>HDDC_WRTOTEXFM_PR19CA004</v>
      </c>
      <c r="D324" s="12" t="s">
        <v>249</v>
      </c>
      <c r="E324" s="12" t="s">
        <v>244</v>
      </c>
      <c r="F324" s="12" t="s">
        <v>2</v>
      </c>
      <c r="G324" s="12" t="s">
        <v>59</v>
      </c>
      <c r="H324" s="155">
        <f>_xlfn.IFNA(INDEX('Financial model inputs'!$A$3:$AJ$89,MATCH(F_interface!$A324&amp;RIGHT(F_interface!H$2,2),'Financial model inputs'!$A$3:$A$89,0),MATCH(F_interface!$D324,'Financial model inputs'!$A$3:$AJ$3,0)),0)</f>
        <v>5.1311678582446092</v>
      </c>
      <c r="I324" s="155">
        <f>_xlfn.IFNA(INDEX('Financial model inputs'!$A$3:$AJ$89,MATCH(F_interface!$A324&amp;RIGHT(F_interface!I$2,2),'Financial model inputs'!$A$3:$A$89,0),MATCH(F_interface!$D324,'Financial model inputs'!$A$3:$AJ$3,0)),0)</f>
        <v>5.1311678582446092</v>
      </c>
      <c r="J324" s="155">
        <f>_xlfn.IFNA(INDEX('Financial model inputs'!$A$3:$AJ$89,MATCH(F_interface!$A324&amp;RIGHT(F_interface!J$2,2),'Financial model inputs'!$A$3:$A$89,0),MATCH(F_interface!$D324,'Financial model inputs'!$A$3:$AJ$3,0)),0)</f>
        <v>5.1311678582446092</v>
      </c>
      <c r="K324" s="155">
        <f>_xlfn.IFNA(INDEX('Financial model inputs'!$A$3:$AJ$89,MATCH(F_interface!$A324&amp;RIGHT(F_interface!K$2,2),'Financial model inputs'!$A$3:$A$89,0),MATCH(F_interface!$D324,'Financial model inputs'!$A$3:$AJ$3,0)),0)</f>
        <v>5.1311678582446092</v>
      </c>
      <c r="L324" s="155">
        <f>_xlfn.IFNA(INDEX('Financial model inputs'!$A$3:$AJ$89,MATCH(F_interface!$A324&amp;RIGHT(F_interface!L$2,2),'Financial model inputs'!$A$3:$A$89,0),MATCH(F_interface!$D324,'Financial model inputs'!$A$3:$AJ$3,0)),0)</f>
        <v>5.1311678582446092</v>
      </c>
    </row>
    <row r="325" spans="1:12" x14ac:dyDescent="0.25">
      <c r="A325" s="13" t="s">
        <v>5</v>
      </c>
      <c r="B325" s="4" t="str">
        <f t="shared" si="5"/>
        <v>C_WRTOTEXFM_PR19CA004</v>
      </c>
      <c r="C325" s="12" t="str">
        <f t="shared" si="6"/>
        <v>NESC_WRTOTEXFM_PR19CA004</v>
      </c>
      <c r="D325" s="12" t="s">
        <v>249</v>
      </c>
      <c r="E325" s="12" t="s">
        <v>244</v>
      </c>
      <c r="F325" s="12" t="s">
        <v>2</v>
      </c>
      <c r="G325" s="12" t="s">
        <v>59</v>
      </c>
      <c r="H325" s="155">
        <f>_xlfn.IFNA(INDEX('Financial model inputs'!$A$3:$AJ$89,MATCH(F_interface!$A325&amp;RIGHT(F_interface!H$2,2),'Financial model inputs'!$A$3:$A$89,0),MATCH(F_interface!$D325,'Financial model inputs'!$A$3:$AJ$3,0)),0)</f>
        <v>57.588644749066454</v>
      </c>
      <c r="I325" s="155">
        <f>_xlfn.IFNA(INDEX('Financial model inputs'!$A$3:$AJ$89,MATCH(F_interface!$A325&amp;RIGHT(F_interface!I$2,2),'Financial model inputs'!$A$3:$A$89,0),MATCH(F_interface!$D325,'Financial model inputs'!$A$3:$AJ$3,0)),0)</f>
        <v>57.588644749066454</v>
      </c>
      <c r="J325" s="155">
        <f>_xlfn.IFNA(INDEX('Financial model inputs'!$A$3:$AJ$89,MATCH(F_interface!$A325&amp;RIGHT(F_interface!J$2,2),'Financial model inputs'!$A$3:$A$89,0),MATCH(F_interface!$D325,'Financial model inputs'!$A$3:$AJ$3,0)),0)</f>
        <v>57.588644749066454</v>
      </c>
      <c r="K325" s="155">
        <f>_xlfn.IFNA(INDEX('Financial model inputs'!$A$3:$AJ$89,MATCH(F_interface!$A325&amp;RIGHT(F_interface!K$2,2),'Financial model inputs'!$A$3:$A$89,0),MATCH(F_interface!$D325,'Financial model inputs'!$A$3:$AJ$3,0)),0)</f>
        <v>57.588644749066454</v>
      </c>
      <c r="L325" s="155">
        <f>_xlfn.IFNA(INDEX('Financial model inputs'!$A$3:$AJ$89,MATCH(F_interface!$A325&amp;RIGHT(F_interface!L$2,2),'Financial model inputs'!$A$3:$A$89,0),MATCH(F_interface!$D325,'Financial model inputs'!$A$3:$AJ$3,0)),0)</f>
        <v>57.588644749066454</v>
      </c>
    </row>
    <row r="326" spans="1:12" x14ac:dyDescent="0.25">
      <c r="A326" s="13" t="s">
        <v>6</v>
      </c>
      <c r="B326" s="4" t="str">
        <f t="shared" si="5"/>
        <v>C_WRTOTEXFM_PR19CA004</v>
      </c>
      <c r="C326" s="12" t="str">
        <f t="shared" si="6"/>
        <v>NWTC_WRTOTEXFM_PR19CA004</v>
      </c>
      <c r="D326" s="12" t="s">
        <v>249</v>
      </c>
      <c r="E326" s="12" t="s">
        <v>244</v>
      </c>
      <c r="F326" s="12" t="s">
        <v>2</v>
      </c>
      <c r="G326" s="12" t="s">
        <v>59</v>
      </c>
      <c r="H326" s="155">
        <f>_xlfn.IFNA(INDEX('Financial model inputs'!$A$3:$AJ$89,MATCH(F_interface!$A326&amp;RIGHT(F_interface!H$2,2),'Financial model inputs'!$A$3:$A$89,0),MATCH(F_interface!$D326,'Financial model inputs'!$A$3:$AJ$3,0)),0)</f>
        <v>82.422334388057948</v>
      </c>
      <c r="I326" s="155">
        <f>_xlfn.IFNA(INDEX('Financial model inputs'!$A$3:$AJ$89,MATCH(F_interface!$A326&amp;RIGHT(F_interface!I$2,2),'Financial model inputs'!$A$3:$A$89,0),MATCH(F_interface!$D326,'Financial model inputs'!$A$3:$AJ$3,0)),0)</f>
        <v>82.422334388057948</v>
      </c>
      <c r="J326" s="155">
        <f>_xlfn.IFNA(INDEX('Financial model inputs'!$A$3:$AJ$89,MATCH(F_interface!$A326&amp;RIGHT(F_interface!J$2,2),'Financial model inputs'!$A$3:$A$89,0),MATCH(F_interface!$D326,'Financial model inputs'!$A$3:$AJ$3,0)),0)</f>
        <v>82.422334388057948</v>
      </c>
      <c r="K326" s="155">
        <f>_xlfn.IFNA(INDEX('Financial model inputs'!$A$3:$AJ$89,MATCH(F_interface!$A326&amp;RIGHT(F_interface!K$2,2),'Financial model inputs'!$A$3:$A$89,0),MATCH(F_interface!$D326,'Financial model inputs'!$A$3:$AJ$3,0)),0)</f>
        <v>82.422334388057948</v>
      </c>
      <c r="L326" s="155">
        <f>_xlfn.IFNA(INDEX('Financial model inputs'!$A$3:$AJ$89,MATCH(F_interface!$A326&amp;RIGHT(F_interface!L$2,2),'Financial model inputs'!$A$3:$A$89,0),MATCH(F_interface!$D326,'Financial model inputs'!$A$3:$AJ$3,0)),0)</f>
        <v>82.422334388057948</v>
      </c>
    </row>
    <row r="327" spans="1:12" x14ac:dyDescent="0.25">
      <c r="A327" s="13" t="s">
        <v>7</v>
      </c>
      <c r="B327" s="4" t="str">
        <f t="shared" si="5"/>
        <v>C_WRTOTEXFM_PR19CA004</v>
      </c>
      <c r="C327" s="12" t="str">
        <f t="shared" si="6"/>
        <v>SRNC_WRTOTEXFM_PR19CA004</v>
      </c>
      <c r="D327" s="12" t="s">
        <v>249</v>
      </c>
      <c r="E327" s="12" t="s">
        <v>244</v>
      </c>
      <c r="F327" s="12" t="s">
        <v>2</v>
      </c>
      <c r="G327" s="12" t="s">
        <v>59</v>
      </c>
      <c r="H327" s="155">
        <f>_xlfn.IFNA(INDEX('Financial model inputs'!$A$3:$AJ$89,MATCH(F_interface!$A327&amp;RIGHT(F_interface!H$2,2),'Financial model inputs'!$A$3:$A$89,0),MATCH(F_interface!$D327,'Financial model inputs'!$A$3:$AJ$3,0)),0)</f>
        <v>33.937269000417999</v>
      </c>
      <c r="I327" s="155">
        <f>_xlfn.IFNA(INDEX('Financial model inputs'!$A$3:$AJ$89,MATCH(F_interface!$A327&amp;RIGHT(F_interface!I$2,2),'Financial model inputs'!$A$3:$A$89,0),MATCH(F_interface!$D327,'Financial model inputs'!$A$3:$AJ$3,0)),0)</f>
        <v>33.937269000417999</v>
      </c>
      <c r="J327" s="155">
        <f>_xlfn.IFNA(INDEX('Financial model inputs'!$A$3:$AJ$89,MATCH(F_interface!$A327&amp;RIGHT(F_interface!J$2,2),'Financial model inputs'!$A$3:$A$89,0),MATCH(F_interface!$D327,'Financial model inputs'!$A$3:$AJ$3,0)),0)</f>
        <v>33.937269000417999</v>
      </c>
      <c r="K327" s="155">
        <f>_xlfn.IFNA(INDEX('Financial model inputs'!$A$3:$AJ$89,MATCH(F_interface!$A327&amp;RIGHT(F_interface!K$2,2),'Financial model inputs'!$A$3:$A$89,0),MATCH(F_interface!$D327,'Financial model inputs'!$A$3:$AJ$3,0)),0)</f>
        <v>33.937269000417999</v>
      </c>
      <c r="L327" s="155">
        <f>_xlfn.IFNA(INDEX('Financial model inputs'!$A$3:$AJ$89,MATCH(F_interface!$A327&amp;RIGHT(F_interface!L$2,2),'Financial model inputs'!$A$3:$A$89,0),MATCH(F_interface!$D327,'Financial model inputs'!$A$3:$AJ$3,0)),0)</f>
        <v>33.937269000417999</v>
      </c>
    </row>
    <row r="328" spans="1:12" x14ac:dyDescent="0.25">
      <c r="A328" s="13" t="s">
        <v>89</v>
      </c>
      <c r="B328" s="4" t="str">
        <f t="shared" si="5"/>
        <v>C_WRTOTEXFM_PR19CA004</v>
      </c>
      <c r="C328" s="12" t="str">
        <f t="shared" si="6"/>
        <v>SVEC_WRTOTEXFM_PR19CA004</v>
      </c>
      <c r="D328" s="12" t="s">
        <v>249</v>
      </c>
      <c r="E328" s="12" t="s">
        <v>244</v>
      </c>
      <c r="F328" s="12" t="s">
        <v>2</v>
      </c>
      <c r="G328" s="12" t="s">
        <v>59</v>
      </c>
      <c r="H328" s="155">
        <f>_xlfn.IFNA(INDEX('Financial model inputs'!$A$3:$AJ$89,MATCH(F_interface!$A328&amp;RIGHT(F_interface!H$2,2),'Financial model inputs'!$A$3:$A$89,0),MATCH(F_interface!$D328,'Financial model inputs'!$A$3:$AJ$3,0)),0)</f>
        <v>78.149738444977856</v>
      </c>
      <c r="I328" s="155">
        <f>_xlfn.IFNA(INDEX('Financial model inputs'!$A$3:$AJ$89,MATCH(F_interface!$A328&amp;RIGHT(F_interface!I$2,2),'Financial model inputs'!$A$3:$A$89,0),MATCH(F_interface!$D328,'Financial model inputs'!$A$3:$AJ$3,0)),0)</f>
        <v>78.149738444977856</v>
      </c>
      <c r="J328" s="155">
        <f>_xlfn.IFNA(INDEX('Financial model inputs'!$A$3:$AJ$89,MATCH(F_interface!$A328&amp;RIGHT(F_interface!J$2,2),'Financial model inputs'!$A$3:$A$89,0),MATCH(F_interface!$D328,'Financial model inputs'!$A$3:$AJ$3,0)),0)</f>
        <v>78.149738444977856</v>
      </c>
      <c r="K328" s="155">
        <f>_xlfn.IFNA(INDEX('Financial model inputs'!$A$3:$AJ$89,MATCH(F_interface!$A328&amp;RIGHT(F_interface!K$2,2),'Financial model inputs'!$A$3:$A$89,0),MATCH(F_interface!$D328,'Financial model inputs'!$A$3:$AJ$3,0)),0)</f>
        <v>78.149738444977856</v>
      </c>
      <c r="L328" s="155">
        <f>_xlfn.IFNA(INDEX('Financial model inputs'!$A$3:$AJ$89,MATCH(F_interface!$A328&amp;RIGHT(F_interface!L$2,2),'Financial model inputs'!$A$3:$A$89,0),MATCH(F_interface!$D328,'Financial model inputs'!$A$3:$AJ$3,0)),0)</f>
        <v>78.149738444977856</v>
      </c>
    </row>
    <row r="329" spans="1:12" x14ac:dyDescent="0.25">
      <c r="A329" s="13" t="s">
        <v>93</v>
      </c>
      <c r="B329" s="4" t="str">
        <f t="shared" si="5"/>
        <v>C_WRTOTEXFM_PR19CA004</v>
      </c>
      <c r="C329" s="12" t="str">
        <f t="shared" si="6"/>
        <v>SVHC_WRTOTEXFM_PR19CA004</v>
      </c>
      <c r="D329" s="12" t="s">
        <v>249</v>
      </c>
      <c r="E329" s="12" t="s">
        <v>244</v>
      </c>
      <c r="F329" s="12" t="s">
        <v>2</v>
      </c>
      <c r="G329" s="12" t="s">
        <v>59</v>
      </c>
      <c r="H329" s="155">
        <f>_xlfn.IFNA(INDEX('Financial model inputs'!$A$3:$AJ$89,MATCH(F_interface!$A329&amp;RIGHT(F_interface!H$2,2),'Financial model inputs'!$A$3:$A$89,0),MATCH(F_interface!$D329,'Financial model inputs'!$A$3:$AJ$3,0)),0)</f>
        <v>0</v>
      </c>
      <c r="I329" s="155">
        <f>_xlfn.IFNA(INDEX('Financial model inputs'!$A$3:$AJ$89,MATCH(F_interface!$A329&amp;RIGHT(F_interface!I$2,2),'Financial model inputs'!$A$3:$A$89,0),MATCH(F_interface!$D329,'Financial model inputs'!$A$3:$AJ$3,0)),0)</f>
        <v>0</v>
      </c>
      <c r="J329" s="155">
        <f>_xlfn.IFNA(INDEX('Financial model inputs'!$A$3:$AJ$89,MATCH(F_interface!$A329&amp;RIGHT(F_interface!J$2,2),'Financial model inputs'!$A$3:$A$89,0),MATCH(F_interface!$D329,'Financial model inputs'!$A$3:$AJ$3,0)),0)</f>
        <v>0</v>
      </c>
      <c r="K329" s="155">
        <f>_xlfn.IFNA(INDEX('Financial model inputs'!$A$3:$AJ$89,MATCH(F_interface!$A329&amp;RIGHT(F_interface!K$2,2),'Financial model inputs'!$A$3:$A$89,0),MATCH(F_interface!$D329,'Financial model inputs'!$A$3:$AJ$3,0)),0)</f>
        <v>0</v>
      </c>
      <c r="L329" s="155">
        <f>_xlfn.IFNA(INDEX('Financial model inputs'!$A$3:$AJ$89,MATCH(F_interface!$A329&amp;RIGHT(F_interface!L$2,2),'Financial model inputs'!$A$3:$A$89,0),MATCH(F_interface!$D329,'Financial model inputs'!$A$3:$AJ$3,0)),0)</f>
        <v>0</v>
      </c>
    </row>
    <row r="330" spans="1:12" x14ac:dyDescent="0.25">
      <c r="A330" s="13" t="s">
        <v>8</v>
      </c>
      <c r="B330" s="4" t="str">
        <f t="shared" si="5"/>
        <v>C_WRTOTEXFM_PR19CA004</v>
      </c>
      <c r="C330" s="12" t="str">
        <f t="shared" si="6"/>
        <v>SVTC_WRTOTEXFM_PR19CA004</v>
      </c>
      <c r="D330" s="12" t="s">
        <v>249</v>
      </c>
      <c r="E330" s="12" t="s">
        <v>244</v>
      </c>
      <c r="F330" s="12" t="s">
        <v>2</v>
      </c>
      <c r="G330" s="12" t="s">
        <v>59</v>
      </c>
      <c r="H330" s="155">
        <f>_xlfn.IFNA(INDEX('Financial model inputs'!$A$3:$AJ$89,MATCH(F_interface!$A330&amp;RIGHT(F_interface!H$2,2),'Financial model inputs'!$A$3:$A$89,0),MATCH(F_interface!$D330,'Financial model inputs'!$A$3:$AJ$3,0)),0)</f>
        <v>0</v>
      </c>
      <c r="I330" s="155">
        <f>_xlfn.IFNA(INDEX('Financial model inputs'!$A$3:$AJ$89,MATCH(F_interface!$A330&amp;RIGHT(F_interface!I$2,2),'Financial model inputs'!$A$3:$A$89,0),MATCH(F_interface!$D330,'Financial model inputs'!$A$3:$AJ$3,0)),0)</f>
        <v>0</v>
      </c>
      <c r="J330" s="155">
        <f>_xlfn.IFNA(INDEX('Financial model inputs'!$A$3:$AJ$89,MATCH(F_interface!$A330&amp;RIGHT(F_interface!J$2,2),'Financial model inputs'!$A$3:$A$89,0),MATCH(F_interface!$D330,'Financial model inputs'!$A$3:$AJ$3,0)),0)</f>
        <v>0</v>
      </c>
      <c r="K330" s="155">
        <f>_xlfn.IFNA(INDEX('Financial model inputs'!$A$3:$AJ$89,MATCH(F_interface!$A330&amp;RIGHT(F_interface!K$2,2),'Financial model inputs'!$A$3:$A$89,0),MATCH(F_interface!$D330,'Financial model inputs'!$A$3:$AJ$3,0)),0)</f>
        <v>0</v>
      </c>
      <c r="L330" s="155">
        <f>_xlfn.IFNA(INDEX('Financial model inputs'!$A$3:$AJ$89,MATCH(F_interface!$A330&amp;RIGHT(F_interface!L$2,2),'Financial model inputs'!$A$3:$A$89,0),MATCH(F_interface!$D330,'Financial model inputs'!$A$3:$AJ$3,0)),0)</f>
        <v>0</v>
      </c>
    </row>
    <row r="331" spans="1:12" x14ac:dyDescent="0.25">
      <c r="A331" s="13" t="s">
        <v>19</v>
      </c>
      <c r="B331" s="4" t="str">
        <f t="shared" si="5"/>
        <v>C_WRTOTEXFM_PR19CA004</v>
      </c>
      <c r="C331" s="12" t="str">
        <f t="shared" si="6"/>
        <v>SWBC_WRTOTEXFM_PR19CA004</v>
      </c>
      <c r="D331" s="12" t="s">
        <v>249</v>
      </c>
      <c r="E331" s="12" t="s">
        <v>244</v>
      </c>
      <c r="F331" s="12" t="s">
        <v>2</v>
      </c>
      <c r="G331" s="12" t="s">
        <v>59</v>
      </c>
      <c r="H331" s="155">
        <f>_xlfn.IFNA(INDEX('Financial model inputs'!$A$3:$AJ$89,MATCH(F_interface!$A331&amp;RIGHT(F_interface!H$2,2),'Financial model inputs'!$A$3:$A$89,0),MATCH(F_interface!$D331,'Financial model inputs'!$A$3:$AJ$3,0)),0)</f>
        <v>15.572137983652533</v>
      </c>
      <c r="I331" s="155">
        <f>_xlfn.IFNA(INDEX('Financial model inputs'!$A$3:$AJ$89,MATCH(F_interface!$A331&amp;RIGHT(F_interface!I$2,2),'Financial model inputs'!$A$3:$A$89,0),MATCH(F_interface!$D331,'Financial model inputs'!$A$3:$AJ$3,0)),0)</f>
        <v>15.572137983652533</v>
      </c>
      <c r="J331" s="155">
        <f>_xlfn.IFNA(INDEX('Financial model inputs'!$A$3:$AJ$89,MATCH(F_interface!$A331&amp;RIGHT(F_interface!J$2,2),'Financial model inputs'!$A$3:$A$89,0),MATCH(F_interface!$D331,'Financial model inputs'!$A$3:$AJ$3,0)),0)</f>
        <v>15.572137983652533</v>
      </c>
      <c r="K331" s="155">
        <f>_xlfn.IFNA(INDEX('Financial model inputs'!$A$3:$AJ$89,MATCH(F_interface!$A331&amp;RIGHT(F_interface!K$2,2),'Financial model inputs'!$A$3:$A$89,0),MATCH(F_interface!$D331,'Financial model inputs'!$A$3:$AJ$3,0)),0)</f>
        <v>15.572137983652533</v>
      </c>
      <c r="L331" s="155">
        <f>_xlfn.IFNA(INDEX('Financial model inputs'!$A$3:$AJ$89,MATCH(F_interface!$A331&amp;RIGHT(F_interface!L$2,2),'Financial model inputs'!$A$3:$A$89,0),MATCH(F_interface!$D331,'Financial model inputs'!$A$3:$AJ$3,0)),0)</f>
        <v>15.572137983652533</v>
      </c>
    </row>
    <row r="332" spans="1:12" x14ac:dyDescent="0.25">
      <c r="A332" s="13" t="s">
        <v>9</v>
      </c>
      <c r="B332" s="4" t="str">
        <f t="shared" si="5"/>
        <v>C_WRTOTEXFM_PR19CA004</v>
      </c>
      <c r="C332" s="12" t="str">
        <f t="shared" si="6"/>
        <v>TMSC_WRTOTEXFM_PR19CA004</v>
      </c>
      <c r="D332" s="12" t="s">
        <v>249</v>
      </c>
      <c r="E332" s="12" t="s">
        <v>244</v>
      </c>
      <c r="F332" s="12" t="s">
        <v>2</v>
      </c>
      <c r="G332" s="12" t="s">
        <v>59</v>
      </c>
      <c r="H332" s="155">
        <f>_xlfn.IFNA(INDEX('Financial model inputs'!$A$3:$AJ$89,MATCH(F_interface!$A332&amp;RIGHT(F_interface!H$2,2),'Financial model inputs'!$A$3:$A$89,0),MATCH(F_interface!$D332,'Financial model inputs'!$A$3:$AJ$3,0)),0)</f>
        <v>134.12703013397987</v>
      </c>
      <c r="I332" s="155">
        <f>_xlfn.IFNA(INDEX('Financial model inputs'!$A$3:$AJ$89,MATCH(F_interface!$A332&amp;RIGHT(F_interface!I$2,2),'Financial model inputs'!$A$3:$A$89,0),MATCH(F_interface!$D332,'Financial model inputs'!$A$3:$AJ$3,0)),0)</f>
        <v>134.12703013397987</v>
      </c>
      <c r="J332" s="155">
        <f>_xlfn.IFNA(INDEX('Financial model inputs'!$A$3:$AJ$89,MATCH(F_interface!$A332&amp;RIGHT(F_interface!J$2,2),'Financial model inputs'!$A$3:$A$89,0),MATCH(F_interface!$D332,'Financial model inputs'!$A$3:$AJ$3,0)),0)</f>
        <v>134.12703013397987</v>
      </c>
      <c r="K332" s="155">
        <f>_xlfn.IFNA(INDEX('Financial model inputs'!$A$3:$AJ$89,MATCH(F_interface!$A332&amp;RIGHT(F_interface!K$2,2),'Financial model inputs'!$A$3:$A$89,0),MATCH(F_interface!$D332,'Financial model inputs'!$A$3:$AJ$3,0)),0)</f>
        <v>134.12703013397987</v>
      </c>
      <c r="L332" s="155">
        <f>_xlfn.IFNA(INDEX('Financial model inputs'!$A$3:$AJ$89,MATCH(F_interface!$A332&amp;RIGHT(F_interface!L$2,2),'Financial model inputs'!$A$3:$A$89,0),MATCH(F_interface!$D332,'Financial model inputs'!$A$3:$AJ$3,0)),0)</f>
        <v>134.12703013397987</v>
      </c>
    </row>
    <row r="333" spans="1:12" x14ac:dyDescent="0.25">
      <c r="A333" s="13" t="s">
        <v>23</v>
      </c>
      <c r="B333" s="4" t="str">
        <f t="shared" si="5"/>
        <v>C_WRTOTEXFM_PR19CA004</v>
      </c>
      <c r="C333" s="12" t="str">
        <f t="shared" si="6"/>
        <v>WSHC_WRTOTEXFM_PR19CA004</v>
      </c>
      <c r="D333" s="12" t="s">
        <v>249</v>
      </c>
      <c r="E333" s="12" t="s">
        <v>244</v>
      </c>
      <c r="F333" s="12" t="s">
        <v>2</v>
      </c>
      <c r="G333" s="12" t="s">
        <v>59</v>
      </c>
      <c r="H333" s="155">
        <f>_xlfn.IFNA(INDEX('Financial model inputs'!$A$3:$AJ$89,MATCH(F_interface!$A333&amp;RIGHT(F_interface!H$2,2),'Financial model inputs'!$A$3:$A$89,0),MATCH(F_interface!$D333,'Financial model inputs'!$A$3:$AJ$3,0)),0)</f>
        <v>66.771015012232994</v>
      </c>
      <c r="I333" s="155">
        <f>_xlfn.IFNA(INDEX('Financial model inputs'!$A$3:$AJ$89,MATCH(F_interface!$A333&amp;RIGHT(F_interface!I$2,2),'Financial model inputs'!$A$3:$A$89,0),MATCH(F_interface!$D333,'Financial model inputs'!$A$3:$AJ$3,0)),0)</f>
        <v>66.771015012232994</v>
      </c>
      <c r="J333" s="155">
        <f>_xlfn.IFNA(INDEX('Financial model inputs'!$A$3:$AJ$89,MATCH(F_interface!$A333&amp;RIGHT(F_interface!J$2,2),'Financial model inputs'!$A$3:$A$89,0),MATCH(F_interface!$D333,'Financial model inputs'!$A$3:$AJ$3,0)),0)</f>
        <v>66.771015012232994</v>
      </c>
      <c r="K333" s="155">
        <f>_xlfn.IFNA(INDEX('Financial model inputs'!$A$3:$AJ$89,MATCH(F_interface!$A333&amp;RIGHT(F_interface!K$2,2),'Financial model inputs'!$A$3:$A$89,0),MATCH(F_interface!$D333,'Financial model inputs'!$A$3:$AJ$3,0)),0)</f>
        <v>66.771015012232994</v>
      </c>
      <c r="L333" s="155">
        <f>_xlfn.IFNA(INDEX('Financial model inputs'!$A$3:$AJ$89,MATCH(F_interface!$A333&amp;RIGHT(F_interface!L$2,2),'Financial model inputs'!$A$3:$A$89,0),MATCH(F_interface!$D333,'Financial model inputs'!$A$3:$AJ$3,0)),0)</f>
        <v>66.771015012232994</v>
      </c>
    </row>
    <row r="334" spans="1:12" x14ac:dyDescent="0.25">
      <c r="A334" s="13" t="s">
        <v>10</v>
      </c>
      <c r="B334" s="4" t="str">
        <f t="shared" si="5"/>
        <v>C_WRTOTEXFM_PR19CA004</v>
      </c>
      <c r="C334" s="12" t="str">
        <f t="shared" si="6"/>
        <v>WSXC_WRTOTEXFM_PR19CA004</v>
      </c>
      <c r="D334" s="12" t="s">
        <v>249</v>
      </c>
      <c r="E334" s="12" t="s">
        <v>244</v>
      </c>
      <c r="F334" s="12" t="s">
        <v>2</v>
      </c>
      <c r="G334" s="12" t="s">
        <v>59</v>
      </c>
      <c r="H334" s="155">
        <f>_xlfn.IFNA(INDEX('Financial model inputs'!$A$3:$AJ$89,MATCH(F_interface!$A334&amp;RIGHT(F_interface!H$2,2),'Financial model inputs'!$A$3:$A$89,0),MATCH(F_interface!$D334,'Financial model inputs'!$A$3:$AJ$3,0)),0)</f>
        <v>17.264916504460391</v>
      </c>
      <c r="I334" s="155">
        <f>_xlfn.IFNA(INDEX('Financial model inputs'!$A$3:$AJ$89,MATCH(F_interface!$A334&amp;RIGHT(F_interface!I$2,2),'Financial model inputs'!$A$3:$A$89,0),MATCH(F_interface!$D334,'Financial model inputs'!$A$3:$AJ$3,0)),0)</f>
        <v>17.264916504460391</v>
      </c>
      <c r="J334" s="155">
        <f>_xlfn.IFNA(INDEX('Financial model inputs'!$A$3:$AJ$89,MATCH(F_interface!$A334&amp;RIGHT(F_interface!J$2,2),'Financial model inputs'!$A$3:$A$89,0),MATCH(F_interface!$D334,'Financial model inputs'!$A$3:$AJ$3,0)),0)</f>
        <v>17.264916504460391</v>
      </c>
      <c r="K334" s="155">
        <f>_xlfn.IFNA(INDEX('Financial model inputs'!$A$3:$AJ$89,MATCH(F_interface!$A334&amp;RIGHT(F_interface!K$2,2),'Financial model inputs'!$A$3:$A$89,0),MATCH(F_interface!$D334,'Financial model inputs'!$A$3:$AJ$3,0)),0)</f>
        <v>17.264916504460391</v>
      </c>
      <c r="L334" s="155">
        <f>_xlfn.IFNA(INDEX('Financial model inputs'!$A$3:$AJ$89,MATCH(F_interface!$A334&amp;RIGHT(F_interface!L$2,2),'Financial model inputs'!$A$3:$A$89,0),MATCH(F_interface!$D334,'Financial model inputs'!$A$3:$AJ$3,0)),0)</f>
        <v>17.264916504460391</v>
      </c>
    </row>
    <row r="335" spans="1:12" x14ac:dyDescent="0.25">
      <c r="A335" s="13" t="s">
        <v>11</v>
      </c>
      <c r="B335" s="4" t="str">
        <f t="shared" si="5"/>
        <v>C_WRTOTEXFM_PR19CA004</v>
      </c>
      <c r="C335" s="12" t="str">
        <f t="shared" si="6"/>
        <v>YKYC_WRTOTEXFM_PR19CA004</v>
      </c>
      <c r="D335" s="12" t="s">
        <v>249</v>
      </c>
      <c r="E335" s="12" t="s">
        <v>244</v>
      </c>
      <c r="F335" s="12" t="s">
        <v>2</v>
      </c>
      <c r="G335" s="12" t="s">
        <v>59</v>
      </c>
      <c r="H335" s="155">
        <f>_xlfn.IFNA(INDEX('Financial model inputs'!$A$3:$AJ$89,MATCH(F_interface!$A335&amp;RIGHT(F_interface!H$2,2),'Financial model inputs'!$A$3:$A$89,0),MATCH(F_interface!$D335,'Financial model inputs'!$A$3:$AJ$3,0)),0)</f>
        <v>49.595342035853449</v>
      </c>
      <c r="I335" s="155">
        <f>_xlfn.IFNA(INDEX('Financial model inputs'!$A$3:$AJ$89,MATCH(F_interface!$A335&amp;RIGHT(F_interface!I$2,2),'Financial model inputs'!$A$3:$A$89,0),MATCH(F_interface!$D335,'Financial model inputs'!$A$3:$AJ$3,0)),0)</f>
        <v>49.595342035853449</v>
      </c>
      <c r="J335" s="155">
        <f>_xlfn.IFNA(INDEX('Financial model inputs'!$A$3:$AJ$89,MATCH(F_interface!$A335&amp;RIGHT(F_interface!J$2,2),'Financial model inputs'!$A$3:$A$89,0),MATCH(F_interface!$D335,'Financial model inputs'!$A$3:$AJ$3,0)),0)</f>
        <v>49.595342035853449</v>
      </c>
      <c r="K335" s="155">
        <f>_xlfn.IFNA(INDEX('Financial model inputs'!$A$3:$AJ$89,MATCH(F_interface!$A335&amp;RIGHT(F_interface!K$2,2),'Financial model inputs'!$A$3:$A$89,0),MATCH(F_interface!$D335,'Financial model inputs'!$A$3:$AJ$3,0)),0)</f>
        <v>49.595342035853449</v>
      </c>
      <c r="L335" s="155">
        <f>_xlfn.IFNA(INDEX('Financial model inputs'!$A$3:$AJ$89,MATCH(F_interface!$A335&amp;RIGHT(F_interface!L$2,2),'Financial model inputs'!$A$3:$A$89,0),MATCH(F_interface!$D335,'Financial model inputs'!$A$3:$AJ$3,0)),0)</f>
        <v>49.595342035853449</v>
      </c>
    </row>
    <row r="336" spans="1:12" x14ac:dyDescent="0.25">
      <c r="A336" s="13" t="s">
        <v>12</v>
      </c>
      <c r="B336" s="4" t="str">
        <f t="shared" si="5"/>
        <v>C_WRTOTEXFM_PR19CA004</v>
      </c>
      <c r="C336" s="12" t="str">
        <f t="shared" si="6"/>
        <v>AFWC_WRTOTEXFM_PR19CA004</v>
      </c>
      <c r="D336" s="12" t="s">
        <v>249</v>
      </c>
      <c r="E336" s="12" t="s">
        <v>244</v>
      </c>
      <c r="F336" s="12" t="s">
        <v>2</v>
      </c>
      <c r="G336" s="12" t="s">
        <v>59</v>
      </c>
      <c r="H336" s="155">
        <f>_xlfn.IFNA(INDEX('Financial model inputs'!$A$3:$AJ$89,MATCH(F_interface!$A336&amp;RIGHT(F_interface!H$2,2),'Financial model inputs'!$A$3:$A$89,0),MATCH(F_interface!$D336,'Financial model inputs'!$A$3:$AJ$3,0)),0)</f>
        <v>60.754463073368264</v>
      </c>
      <c r="I336" s="155">
        <f>_xlfn.IFNA(INDEX('Financial model inputs'!$A$3:$AJ$89,MATCH(F_interface!$A336&amp;RIGHT(F_interface!I$2,2),'Financial model inputs'!$A$3:$A$89,0),MATCH(F_interface!$D336,'Financial model inputs'!$A$3:$AJ$3,0)),0)</f>
        <v>60.754463073368264</v>
      </c>
      <c r="J336" s="155">
        <f>_xlfn.IFNA(INDEX('Financial model inputs'!$A$3:$AJ$89,MATCH(F_interface!$A336&amp;RIGHT(F_interface!J$2,2),'Financial model inputs'!$A$3:$A$89,0),MATCH(F_interface!$D336,'Financial model inputs'!$A$3:$AJ$3,0)),0)</f>
        <v>60.754463073368264</v>
      </c>
      <c r="K336" s="155">
        <f>_xlfn.IFNA(INDEX('Financial model inputs'!$A$3:$AJ$89,MATCH(F_interface!$A336&amp;RIGHT(F_interface!K$2,2),'Financial model inputs'!$A$3:$A$89,0),MATCH(F_interface!$D336,'Financial model inputs'!$A$3:$AJ$3,0)),0)</f>
        <v>60.754463073368264</v>
      </c>
      <c r="L336" s="155">
        <f>_xlfn.IFNA(INDEX('Financial model inputs'!$A$3:$AJ$89,MATCH(F_interface!$A336&amp;RIGHT(F_interface!L$2,2),'Financial model inputs'!$A$3:$A$89,0),MATCH(F_interface!$D336,'Financial model inputs'!$A$3:$AJ$3,0)),0)</f>
        <v>60.754463073368264</v>
      </c>
    </row>
    <row r="337" spans="1:12" x14ac:dyDescent="0.25">
      <c r="A337" s="13" t="s">
        <v>13</v>
      </c>
      <c r="B337" s="4" t="str">
        <f t="shared" si="5"/>
        <v>C_WRTOTEXFM_PR19CA004</v>
      </c>
      <c r="C337" s="12" t="str">
        <f t="shared" si="6"/>
        <v>BRLC_WRTOTEXFM_PR19CA004</v>
      </c>
      <c r="D337" s="12" t="s">
        <v>249</v>
      </c>
      <c r="E337" s="12" t="s">
        <v>244</v>
      </c>
      <c r="F337" s="12" t="s">
        <v>2</v>
      </c>
      <c r="G337" s="12" t="s">
        <v>59</v>
      </c>
      <c r="H337" s="155">
        <f>_xlfn.IFNA(INDEX('Financial model inputs'!$A$3:$AJ$89,MATCH(F_interface!$A337&amp;RIGHT(F_interface!H$2,2),'Financial model inputs'!$A$3:$A$89,0),MATCH(F_interface!$D337,'Financial model inputs'!$A$3:$AJ$3,0)),0)</f>
        <v>14.071275900640021</v>
      </c>
      <c r="I337" s="155">
        <f>_xlfn.IFNA(INDEX('Financial model inputs'!$A$3:$AJ$89,MATCH(F_interface!$A337&amp;RIGHT(F_interface!I$2,2),'Financial model inputs'!$A$3:$A$89,0),MATCH(F_interface!$D337,'Financial model inputs'!$A$3:$AJ$3,0)),0)</f>
        <v>14.071275900640021</v>
      </c>
      <c r="J337" s="155">
        <f>_xlfn.IFNA(INDEX('Financial model inputs'!$A$3:$AJ$89,MATCH(F_interface!$A337&amp;RIGHT(F_interface!J$2,2),'Financial model inputs'!$A$3:$A$89,0),MATCH(F_interface!$D337,'Financial model inputs'!$A$3:$AJ$3,0)),0)</f>
        <v>14.071275900640021</v>
      </c>
      <c r="K337" s="155">
        <f>_xlfn.IFNA(INDEX('Financial model inputs'!$A$3:$AJ$89,MATCH(F_interface!$A337&amp;RIGHT(F_interface!K$2,2),'Financial model inputs'!$A$3:$A$89,0),MATCH(F_interface!$D337,'Financial model inputs'!$A$3:$AJ$3,0)),0)</f>
        <v>14.071275900640021</v>
      </c>
      <c r="L337" s="155">
        <f>_xlfn.IFNA(INDEX('Financial model inputs'!$A$3:$AJ$89,MATCH(F_interface!$A337&amp;RIGHT(F_interface!L$2,2),'Financial model inputs'!$A$3:$A$89,0),MATCH(F_interface!$D337,'Financial model inputs'!$A$3:$AJ$3,0)),0)</f>
        <v>14.071275900640021</v>
      </c>
    </row>
    <row r="338" spans="1:12" x14ac:dyDescent="0.25">
      <c r="A338" s="13" t="s">
        <v>14</v>
      </c>
      <c r="B338" s="4" t="str">
        <f t="shared" si="5"/>
        <v>C_WRTOTEXFM_PR19CA004</v>
      </c>
      <c r="C338" s="12" t="str">
        <f t="shared" si="6"/>
        <v>DVWC_WRTOTEXFM_PR19CA004</v>
      </c>
      <c r="D338" s="12" t="s">
        <v>249</v>
      </c>
      <c r="E338" s="12" t="s">
        <v>244</v>
      </c>
      <c r="F338" s="12" t="s">
        <v>2</v>
      </c>
      <c r="G338" s="12" t="s">
        <v>59</v>
      </c>
      <c r="H338" s="155">
        <f>_xlfn.IFNA(INDEX('Financial model inputs'!$A$3:$AJ$89,MATCH(F_interface!$A338&amp;RIGHT(F_interface!H$2,2),'Financial model inputs'!$A$3:$A$89,0),MATCH(F_interface!$D338,'Financial model inputs'!$A$3:$AJ$3,0)),0)</f>
        <v>0</v>
      </c>
      <c r="I338" s="155">
        <f>_xlfn.IFNA(INDEX('Financial model inputs'!$A$3:$AJ$89,MATCH(F_interface!$A338&amp;RIGHT(F_interface!I$2,2),'Financial model inputs'!$A$3:$A$89,0),MATCH(F_interface!$D338,'Financial model inputs'!$A$3:$AJ$3,0)),0)</f>
        <v>0</v>
      </c>
      <c r="J338" s="155">
        <f>_xlfn.IFNA(INDEX('Financial model inputs'!$A$3:$AJ$89,MATCH(F_interface!$A338&amp;RIGHT(F_interface!J$2,2),'Financial model inputs'!$A$3:$A$89,0),MATCH(F_interface!$D338,'Financial model inputs'!$A$3:$AJ$3,0)),0)</f>
        <v>0</v>
      </c>
      <c r="K338" s="155">
        <f>_xlfn.IFNA(INDEX('Financial model inputs'!$A$3:$AJ$89,MATCH(F_interface!$A338&amp;RIGHT(F_interface!K$2,2),'Financial model inputs'!$A$3:$A$89,0),MATCH(F_interface!$D338,'Financial model inputs'!$A$3:$AJ$3,0)),0)</f>
        <v>0</v>
      </c>
      <c r="L338" s="155">
        <f>_xlfn.IFNA(INDEX('Financial model inputs'!$A$3:$AJ$89,MATCH(F_interface!$A338&amp;RIGHT(F_interface!L$2,2),'Financial model inputs'!$A$3:$A$89,0),MATCH(F_interface!$D338,'Financial model inputs'!$A$3:$AJ$3,0)),0)</f>
        <v>0</v>
      </c>
    </row>
    <row r="339" spans="1:12" x14ac:dyDescent="0.25">
      <c r="A339" s="13" t="s">
        <v>15</v>
      </c>
      <c r="B339" s="4" t="str">
        <f t="shared" si="5"/>
        <v>C_WRTOTEXFM_PR19CA004</v>
      </c>
      <c r="C339" s="12" t="str">
        <f t="shared" si="6"/>
        <v>PRTC_WRTOTEXFM_PR19CA004</v>
      </c>
      <c r="D339" s="12" t="s">
        <v>249</v>
      </c>
      <c r="E339" s="12" t="s">
        <v>244</v>
      </c>
      <c r="F339" s="12" t="s">
        <v>2</v>
      </c>
      <c r="G339" s="12" t="s">
        <v>59</v>
      </c>
      <c r="H339" s="155">
        <f>_xlfn.IFNA(INDEX('Financial model inputs'!$A$3:$AJ$89,MATCH(F_interface!$A339&amp;RIGHT(F_interface!H$2,2),'Financial model inputs'!$A$3:$A$89,0),MATCH(F_interface!$D339,'Financial model inputs'!$A$3:$AJ$3,0)),0)</f>
        <v>7.6623332546928919</v>
      </c>
      <c r="I339" s="155">
        <f>_xlfn.IFNA(INDEX('Financial model inputs'!$A$3:$AJ$89,MATCH(F_interface!$A339&amp;RIGHT(F_interface!I$2,2),'Financial model inputs'!$A$3:$A$89,0),MATCH(F_interface!$D339,'Financial model inputs'!$A$3:$AJ$3,0)),0)</f>
        <v>7.6623332546928919</v>
      </c>
      <c r="J339" s="155">
        <f>_xlfn.IFNA(INDEX('Financial model inputs'!$A$3:$AJ$89,MATCH(F_interface!$A339&amp;RIGHT(F_interface!J$2,2),'Financial model inputs'!$A$3:$A$89,0),MATCH(F_interface!$D339,'Financial model inputs'!$A$3:$AJ$3,0)),0)</f>
        <v>7.6623332546928919</v>
      </c>
      <c r="K339" s="155">
        <f>_xlfn.IFNA(INDEX('Financial model inputs'!$A$3:$AJ$89,MATCH(F_interface!$A339&amp;RIGHT(F_interface!K$2,2),'Financial model inputs'!$A$3:$A$89,0),MATCH(F_interface!$D339,'Financial model inputs'!$A$3:$AJ$3,0)),0)</f>
        <v>7.6623332546928919</v>
      </c>
      <c r="L339" s="155">
        <f>_xlfn.IFNA(INDEX('Financial model inputs'!$A$3:$AJ$89,MATCH(F_interface!$A339&amp;RIGHT(F_interface!L$2,2),'Financial model inputs'!$A$3:$A$89,0),MATCH(F_interface!$D339,'Financial model inputs'!$A$3:$AJ$3,0)),0)</f>
        <v>7.6623332546928919</v>
      </c>
    </row>
    <row r="340" spans="1:12" x14ac:dyDescent="0.25">
      <c r="A340" s="13" t="s">
        <v>16</v>
      </c>
      <c r="B340" s="4" t="str">
        <f t="shared" si="5"/>
        <v>C_WRTOTEXFM_PR19CA004</v>
      </c>
      <c r="C340" s="12" t="str">
        <f t="shared" si="6"/>
        <v>SESC_WRTOTEXFM_PR19CA004</v>
      </c>
      <c r="D340" s="12" t="s">
        <v>249</v>
      </c>
      <c r="E340" s="12" t="s">
        <v>244</v>
      </c>
      <c r="F340" s="12" t="s">
        <v>2</v>
      </c>
      <c r="G340" s="12" t="s">
        <v>59</v>
      </c>
      <c r="H340" s="155">
        <f>_xlfn.IFNA(INDEX('Financial model inputs'!$A$3:$AJ$89,MATCH(F_interface!$A340&amp;RIGHT(F_interface!H$2,2),'Financial model inputs'!$A$3:$A$89,0),MATCH(F_interface!$D340,'Financial model inputs'!$A$3:$AJ$3,0)),0)</f>
        <v>4.5905449940472574</v>
      </c>
      <c r="I340" s="155">
        <f>_xlfn.IFNA(INDEX('Financial model inputs'!$A$3:$AJ$89,MATCH(F_interface!$A340&amp;RIGHT(F_interface!I$2,2),'Financial model inputs'!$A$3:$A$89,0),MATCH(F_interface!$D340,'Financial model inputs'!$A$3:$AJ$3,0)),0)</f>
        <v>4.5905449940472574</v>
      </c>
      <c r="J340" s="155">
        <f>_xlfn.IFNA(INDEX('Financial model inputs'!$A$3:$AJ$89,MATCH(F_interface!$A340&amp;RIGHT(F_interface!J$2,2),'Financial model inputs'!$A$3:$A$89,0),MATCH(F_interface!$D340,'Financial model inputs'!$A$3:$AJ$3,0)),0)</f>
        <v>4.5905449940472574</v>
      </c>
      <c r="K340" s="155">
        <f>_xlfn.IFNA(INDEX('Financial model inputs'!$A$3:$AJ$89,MATCH(F_interface!$A340&amp;RIGHT(F_interface!K$2,2),'Financial model inputs'!$A$3:$A$89,0),MATCH(F_interface!$D340,'Financial model inputs'!$A$3:$AJ$3,0)),0)</f>
        <v>4.5905449940472574</v>
      </c>
      <c r="L340" s="155">
        <f>_xlfn.IFNA(INDEX('Financial model inputs'!$A$3:$AJ$89,MATCH(F_interface!$A340&amp;RIGHT(F_interface!L$2,2),'Financial model inputs'!$A$3:$A$89,0),MATCH(F_interface!$D340,'Financial model inputs'!$A$3:$AJ$3,0)),0)</f>
        <v>4.5905449940472574</v>
      </c>
    </row>
    <row r="341" spans="1:12" x14ac:dyDescent="0.25">
      <c r="A341" s="13" t="s">
        <v>17</v>
      </c>
      <c r="B341" s="4" t="str">
        <f t="shared" si="5"/>
        <v>C_WRTOTEXFM_PR19CA004</v>
      </c>
      <c r="C341" s="12" t="str">
        <f t="shared" si="6"/>
        <v>SEWC_WRTOTEXFM_PR19CA004</v>
      </c>
      <c r="D341" s="12" t="s">
        <v>249</v>
      </c>
      <c r="E341" s="12" t="s">
        <v>244</v>
      </c>
      <c r="F341" s="12" t="s">
        <v>2</v>
      </c>
      <c r="G341" s="12" t="s">
        <v>59</v>
      </c>
      <c r="H341" s="155">
        <f>_xlfn.IFNA(INDEX('Financial model inputs'!$A$3:$AJ$89,MATCH(F_interface!$A341&amp;RIGHT(F_interface!H$2,2),'Financial model inputs'!$A$3:$A$89,0),MATCH(F_interface!$D341,'Financial model inputs'!$A$3:$AJ$3,0)),0)</f>
        <v>23.582029902350428</v>
      </c>
      <c r="I341" s="155">
        <f>_xlfn.IFNA(INDEX('Financial model inputs'!$A$3:$AJ$89,MATCH(F_interface!$A341&amp;RIGHT(F_interface!I$2,2),'Financial model inputs'!$A$3:$A$89,0),MATCH(F_interface!$D341,'Financial model inputs'!$A$3:$AJ$3,0)),0)</f>
        <v>23.582029902350428</v>
      </c>
      <c r="J341" s="155">
        <f>_xlfn.IFNA(INDEX('Financial model inputs'!$A$3:$AJ$89,MATCH(F_interface!$A341&amp;RIGHT(F_interface!J$2,2),'Financial model inputs'!$A$3:$A$89,0),MATCH(F_interface!$D341,'Financial model inputs'!$A$3:$AJ$3,0)),0)</f>
        <v>23.582029902350428</v>
      </c>
      <c r="K341" s="155">
        <f>_xlfn.IFNA(INDEX('Financial model inputs'!$A$3:$AJ$89,MATCH(F_interface!$A341&amp;RIGHT(F_interface!K$2,2),'Financial model inputs'!$A$3:$A$89,0),MATCH(F_interface!$D341,'Financial model inputs'!$A$3:$AJ$3,0)),0)</f>
        <v>23.582029902350428</v>
      </c>
      <c r="L341" s="155">
        <f>_xlfn.IFNA(INDEX('Financial model inputs'!$A$3:$AJ$89,MATCH(F_interface!$A341&amp;RIGHT(F_interface!L$2,2),'Financial model inputs'!$A$3:$A$89,0),MATCH(F_interface!$D341,'Financial model inputs'!$A$3:$AJ$3,0)),0)</f>
        <v>23.582029902350428</v>
      </c>
    </row>
    <row r="342" spans="1:12" x14ac:dyDescent="0.25">
      <c r="A342" s="13" t="s">
        <v>18</v>
      </c>
      <c r="B342" s="4" t="str">
        <f t="shared" si="5"/>
        <v>C_WRTOTEXFM_PR19CA004</v>
      </c>
      <c r="C342" s="12" t="str">
        <f t="shared" si="6"/>
        <v>SSCC_WRTOTEXFM_PR19CA004</v>
      </c>
      <c r="D342" s="12" t="s">
        <v>249</v>
      </c>
      <c r="E342" s="12" t="s">
        <v>244</v>
      </c>
      <c r="F342" s="12" t="s">
        <v>2</v>
      </c>
      <c r="G342" s="12" t="s">
        <v>59</v>
      </c>
      <c r="H342" s="155">
        <f>_xlfn.IFNA(INDEX('Financial model inputs'!$A$3:$AJ$89,MATCH(F_interface!$A342&amp;RIGHT(F_interface!H$2,2),'Financial model inputs'!$A$3:$A$89,0),MATCH(F_interface!$D342,'Financial model inputs'!$A$3:$AJ$3,0)),0)</f>
        <v>10.088964724361182</v>
      </c>
      <c r="I342" s="155">
        <f>_xlfn.IFNA(INDEX('Financial model inputs'!$A$3:$AJ$89,MATCH(F_interface!$A342&amp;RIGHT(F_interface!I$2,2),'Financial model inputs'!$A$3:$A$89,0),MATCH(F_interface!$D342,'Financial model inputs'!$A$3:$AJ$3,0)),0)</f>
        <v>10.088964724361182</v>
      </c>
      <c r="J342" s="155">
        <f>_xlfn.IFNA(INDEX('Financial model inputs'!$A$3:$AJ$89,MATCH(F_interface!$A342&amp;RIGHT(F_interface!J$2,2),'Financial model inputs'!$A$3:$A$89,0),MATCH(F_interface!$D342,'Financial model inputs'!$A$3:$AJ$3,0)),0)</f>
        <v>10.088964724361182</v>
      </c>
      <c r="K342" s="155">
        <f>_xlfn.IFNA(INDEX('Financial model inputs'!$A$3:$AJ$89,MATCH(F_interface!$A342&amp;RIGHT(F_interface!K$2,2),'Financial model inputs'!$A$3:$A$89,0),MATCH(F_interface!$D342,'Financial model inputs'!$A$3:$AJ$3,0)),0)</f>
        <v>10.088964724361182</v>
      </c>
      <c r="L342" s="155">
        <f>_xlfn.IFNA(INDEX('Financial model inputs'!$A$3:$AJ$89,MATCH(F_interface!$A342&amp;RIGHT(F_interface!L$2,2),'Financial model inputs'!$A$3:$A$89,0),MATCH(F_interface!$D342,'Financial model inputs'!$A$3:$AJ$3,0)),0)</f>
        <v>10.088964724361182</v>
      </c>
    </row>
    <row r="343" spans="1:12" x14ac:dyDescent="0.25">
      <c r="A343" s="13" t="s">
        <v>4</v>
      </c>
      <c r="B343" s="4" t="str">
        <f t="shared" si="5"/>
        <v>C_WNOPEX_PR19CA004</v>
      </c>
      <c r="C343" s="12" t="str">
        <f t="shared" si="6"/>
        <v>ANHC_WNOPEX_PR19CA004</v>
      </c>
      <c r="D343" s="12" t="s">
        <v>252</v>
      </c>
      <c r="E343" s="12" t="s">
        <v>245</v>
      </c>
      <c r="F343" s="12" t="s">
        <v>2</v>
      </c>
      <c r="G343" s="12" t="s">
        <v>59</v>
      </c>
      <c r="H343" s="155">
        <f>_xlfn.IFNA(INDEX('Financial model inputs'!$A$3:$AJ$89,MATCH(F_interface!$A343&amp;RIGHT(F_interface!H$2,2),'Financial model inputs'!$A$3:$A$89,0),MATCH(F_interface!$D343,'Financial model inputs'!$A$3:$AJ$3,0)),0)</f>
        <v>189.70766501812517</v>
      </c>
      <c r="I343" s="155">
        <f>_xlfn.IFNA(INDEX('Financial model inputs'!$A$3:$AJ$89,MATCH(F_interface!$A343&amp;RIGHT(F_interface!I$2,2),'Financial model inputs'!$A$3:$A$89,0),MATCH(F_interface!$D343,'Financial model inputs'!$A$3:$AJ$3,0)),0)</f>
        <v>192.61631780284014</v>
      </c>
      <c r="J343" s="155">
        <f>_xlfn.IFNA(INDEX('Financial model inputs'!$A$3:$AJ$89,MATCH(F_interface!$A343&amp;RIGHT(F_interface!J$2,2),'Financial model inputs'!$A$3:$A$89,0),MATCH(F_interface!$D343,'Financial model inputs'!$A$3:$AJ$3,0)),0)</f>
        <v>202.5625017524028</v>
      </c>
      <c r="K343" s="155">
        <f>_xlfn.IFNA(INDEX('Financial model inputs'!$A$3:$AJ$89,MATCH(F_interface!$A343&amp;RIGHT(F_interface!K$2,2),'Financial model inputs'!$A$3:$A$89,0),MATCH(F_interface!$D343,'Financial model inputs'!$A$3:$AJ$3,0)),0)</f>
        <v>207.21174577535547</v>
      </c>
      <c r="L343" s="155">
        <f>_xlfn.IFNA(INDEX('Financial model inputs'!$A$3:$AJ$89,MATCH(F_interface!$A343&amp;RIGHT(F_interface!L$2,2),'Financial model inputs'!$A$3:$A$89,0),MATCH(F_interface!$D343,'Financial model inputs'!$A$3:$AJ$3,0)),0)</f>
        <v>207.16424435453004</v>
      </c>
    </row>
    <row r="344" spans="1:12" x14ac:dyDescent="0.25">
      <c r="A344" s="13" t="s">
        <v>90</v>
      </c>
      <c r="B344" s="4" t="str">
        <f t="shared" si="5"/>
        <v>C_WNOPEX_PR19CA004</v>
      </c>
      <c r="C344" s="12" t="str">
        <f t="shared" si="6"/>
        <v>HDDC_WNOPEX_PR19CA004</v>
      </c>
      <c r="D344" s="12" t="s">
        <v>252</v>
      </c>
      <c r="E344" s="12" t="s">
        <v>245</v>
      </c>
      <c r="F344" s="12" t="s">
        <v>2</v>
      </c>
      <c r="G344" s="12" t="s">
        <v>59</v>
      </c>
      <c r="H344" s="155">
        <f>_xlfn.IFNA(INDEX('Financial model inputs'!$A$3:$AJ$89,MATCH(F_interface!$A344&amp;RIGHT(F_interface!H$2,2),'Financial model inputs'!$A$3:$A$89,0),MATCH(F_interface!$D344,'Financial model inputs'!$A$3:$AJ$3,0)),0)</f>
        <v>15.019734185530657</v>
      </c>
      <c r="I344" s="155">
        <f>_xlfn.IFNA(INDEX('Financial model inputs'!$A$3:$AJ$89,MATCH(F_interface!$A344&amp;RIGHT(F_interface!I$2,2),'Financial model inputs'!$A$3:$A$89,0),MATCH(F_interface!$D344,'Financial model inputs'!$A$3:$AJ$3,0)),0)</f>
        <v>14.911917967720479</v>
      </c>
      <c r="J344" s="155">
        <f>_xlfn.IFNA(INDEX('Financial model inputs'!$A$3:$AJ$89,MATCH(F_interface!$A344&amp;RIGHT(F_interface!J$2,2),'Financial model inputs'!$A$3:$A$89,0),MATCH(F_interface!$D344,'Financial model inputs'!$A$3:$AJ$3,0)),0)</f>
        <v>14.917933841987754</v>
      </c>
      <c r="K344" s="155">
        <f>_xlfn.IFNA(INDEX('Financial model inputs'!$A$3:$AJ$89,MATCH(F_interface!$A344&amp;RIGHT(F_interface!K$2,2),'Financial model inputs'!$A$3:$A$89,0),MATCH(F_interface!$D344,'Financial model inputs'!$A$3:$AJ$3,0)),0)</f>
        <v>14.88286468476957</v>
      </c>
      <c r="L344" s="155">
        <f>_xlfn.IFNA(INDEX('Financial model inputs'!$A$3:$AJ$89,MATCH(F_interface!$A344&amp;RIGHT(F_interface!L$2,2),'Financial model inputs'!$A$3:$A$89,0),MATCH(F_interface!$D344,'Financial model inputs'!$A$3:$AJ$3,0)),0)</f>
        <v>14.990401170000329</v>
      </c>
    </row>
    <row r="345" spans="1:12" x14ac:dyDescent="0.25">
      <c r="A345" s="13" t="s">
        <v>5</v>
      </c>
      <c r="B345" s="4" t="str">
        <f t="shared" si="5"/>
        <v>C_WNOPEX_PR19CA004</v>
      </c>
      <c r="C345" s="12" t="str">
        <f t="shared" si="6"/>
        <v>NESC_WNOPEX_PR19CA004</v>
      </c>
      <c r="D345" s="12" t="s">
        <v>252</v>
      </c>
      <c r="E345" s="12" t="s">
        <v>245</v>
      </c>
      <c r="F345" s="12" t="s">
        <v>2</v>
      </c>
      <c r="G345" s="12" t="s">
        <v>59</v>
      </c>
      <c r="H345" s="155">
        <f>_xlfn.IFNA(INDEX('Financial model inputs'!$A$3:$AJ$89,MATCH(F_interface!$A345&amp;RIGHT(F_interface!H$2,2),'Financial model inputs'!$A$3:$A$89,0),MATCH(F_interface!$D345,'Financial model inputs'!$A$3:$AJ$3,0)),0)</f>
        <v>156.99761772493966</v>
      </c>
      <c r="I345" s="155">
        <f>_xlfn.IFNA(INDEX('Financial model inputs'!$A$3:$AJ$89,MATCH(F_interface!$A345&amp;RIGHT(F_interface!I$2,2),'Financial model inputs'!$A$3:$A$89,0),MATCH(F_interface!$D345,'Financial model inputs'!$A$3:$AJ$3,0)),0)</f>
        <v>156.52032241292352</v>
      </c>
      <c r="J345" s="155">
        <f>_xlfn.IFNA(INDEX('Financial model inputs'!$A$3:$AJ$89,MATCH(F_interface!$A345&amp;RIGHT(F_interface!J$2,2),'Financial model inputs'!$A$3:$A$89,0),MATCH(F_interface!$D345,'Financial model inputs'!$A$3:$AJ$3,0)),0)</f>
        <v>156.15537329122614</v>
      </c>
      <c r="K345" s="155">
        <f>_xlfn.IFNA(INDEX('Financial model inputs'!$A$3:$AJ$89,MATCH(F_interface!$A345&amp;RIGHT(F_interface!K$2,2),'Financial model inputs'!$A$3:$A$89,0),MATCH(F_interface!$D345,'Financial model inputs'!$A$3:$AJ$3,0)),0)</f>
        <v>155.75832750712797</v>
      </c>
      <c r="L345" s="155">
        <f>_xlfn.IFNA(INDEX('Financial model inputs'!$A$3:$AJ$89,MATCH(F_interface!$A345&amp;RIGHT(F_interface!L$2,2),'Financial model inputs'!$A$3:$A$89,0),MATCH(F_interface!$D345,'Financial model inputs'!$A$3:$AJ$3,0)),0)</f>
        <v>155.48205269633578</v>
      </c>
    </row>
    <row r="346" spans="1:12" x14ac:dyDescent="0.25">
      <c r="A346" s="13" t="s">
        <v>6</v>
      </c>
      <c r="B346" s="4" t="str">
        <f t="shared" si="5"/>
        <v>C_WNOPEX_PR19CA004</v>
      </c>
      <c r="C346" s="12" t="str">
        <f t="shared" si="6"/>
        <v>NWTC_WNOPEX_PR19CA004</v>
      </c>
      <c r="D346" s="12" t="s">
        <v>252</v>
      </c>
      <c r="E346" s="12" t="s">
        <v>245</v>
      </c>
      <c r="F346" s="12" t="s">
        <v>2</v>
      </c>
      <c r="G346" s="12" t="s">
        <v>59</v>
      </c>
      <c r="H346" s="155">
        <f>_xlfn.IFNA(INDEX('Financial model inputs'!$A$3:$AJ$89,MATCH(F_interface!$A346&amp;RIGHT(F_interface!H$2,2),'Financial model inputs'!$A$3:$A$89,0),MATCH(F_interface!$D346,'Financial model inputs'!$A$3:$AJ$3,0)),0)</f>
        <v>343.91150308598446</v>
      </c>
      <c r="I346" s="155">
        <f>_xlfn.IFNA(INDEX('Financial model inputs'!$A$3:$AJ$89,MATCH(F_interface!$A346&amp;RIGHT(F_interface!I$2,2),'Financial model inputs'!$A$3:$A$89,0),MATCH(F_interface!$D346,'Financial model inputs'!$A$3:$AJ$3,0)),0)</f>
        <v>322.41816011219015</v>
      </c>
      <c r="J346" s="155">
        <f>_xlfn.IFNA(INDEX('Financial model inputs'!$A$3:$AJ$89,MATCH(F_interface!$A346&amp;RIGHT(F_interface!J$2,2),'Financial model inputs'!$A$3:$A$89,0),MATCH(F_interface!$D346,'Financial model inputs'!$A$3:$AJ$3,0)),0)</f>
        <v>305.31975685848028</v>
      </c>
      <c r="K346" s="155">
        <f>_xlfn.IFNA(INDEX('Financial model inputs'!$A$3:$AJ$89,MATCH(F_interface!$A346&amp;RIGHT(F_interface!K$2,2),'Financial model inputs'!$A$3:$A$89,0),MATCH(F_interface!$D346,'Financial model inputs'!$A$3:$AJ$3,0)),0)</f>
        <v>322.90758404785424</v>
      </c>
      <c r="L346" s="155">
        <f>_xlfn.IFNA(INDEX('Financial model inputs'!$A$3:$AJ$89,MATCH(F_interface!$A346&amp;RIGHT(F_interface!L$2,2),'Financial model inputs'!$A$3:$A$89,0),MATCH(F_interface!$D346,'Financial model inputs'!$A$3:$AJ$3,0)),0)</f>
        <v>341.64786306581965</v>
      </c>
    </row>
    <row r="347" spans="1:12" x14ac:dyDescent="0.25">
      <c r="A347" s="13" t="s">
        <v>7</v>
      </c>
      <c r="B347" s="4" t="str">
        <f t="shared" si="5"/>
        <v>C_WNOPEX_PR19CA004</v>
      </c>
      <c r="C347" s="12" t="str">
        <f t="shared" si="6"/>
        <v>SRNC_WNOPEX_PR19CA004</v>
      </c>
      <c r="D347" s="12" t="s">
        <v>252</v>
      </c>
      <c r="E347" s="12" t="s">
        <v>245</v>
      </c>
      <c r="F347" s="12" t="s">
        <v>2</v>
      </c>
      <c r="G347" s="12" t="s">
        <v>59</v>
      </c>
      <c r="H347" s="155">
        <f>_xlfn.IFNA(INDEX('Financial model inputs'!$A$3:$AJ$89,MATCH(F_interface!$A347&amp;RIGHT(F_interface!H$2,2),'Financial model inputs'!$A$3:$A$89,0),MATCH(F_interface!$D347,'Financial model inputs'!$A$3:$AJ$3,0)),0)</f>
        <v>68.18468192736718</v>
      </c>
      <c r="I347" s="155">
        <f>_xlfn.IFNA(INDEX('Financial model inputs'!$A$3:$AJ$89,MATCH(F_interface!$A347&amp;RIGHT(F_interface!I$2,2),'Financial model inputs'!$A$3:$A$89,0),MATCH(F_interface!$D347,'Financial model inputs'!$A$3:$AJ$3,0)),0)</f>
        <v>66.469281695870237</v>
      </c>
      <c r="J347" s="155">
        <f>_xlfn.IFNA(INDEX('Financial model inputs'!$A$3:$AJ$89,MATCH(F_interface!$A347&amp;RIGHT(F_interface!J$2,2),'Financial model inputs'!$A$3:$A$89,0),MATCH(F_interface!$D347,'Financial model inputs'!$A$3:$AJ$3,0)),0)</f>
        <v>70.917686473321936</v>
      </c>
      <c r="K347" s="155">
        <f>_xlfn.IFNA(INDEX('Financial model inputs'!$A$3:$AJ$89,MATCH(F_interface!$A347&amp;RIGHT(F_interface!K$2,2),'Financial model inputs'!$A$3:$A$89,0),MATCH(F_interface!$D347,'Financial model inputs'!$A$3:$AJ$3,0)),0)</f>
        <v>87.692711764347791</v>
      </c>
      <c r="L347" s="155">
        <f>_xlfn.IFNA(INDEX('Financial model inputs'!$A$3:$AJ$89,MATCH(F_interface!$A347&amp;RIGHT(F_interface!L$2,2),'Financial model inputs'!$A$3:$A$89,0),MATCH(F_interface!$D347,'Financial model inputs'!$A$3:$AJ$3,0)),0)</f>
        <v>90.49769543287195</v>
      </c>
    </row>
    <row r="348" spans="1:12" x14ac:dyDescent="0.25">
      <c r="A348" s="13" t="s">
        <v>89</v>
      </c>
      <c r="B348" s="4" t="str">
        <f t="shared" ref="B348:B411" si="7">D348</f>
        <v>C_WNOPEX_PR19CA004</v>
      </c>
      <c r="C348" s="12" t="str">
        <f t="shared" si="6"/>
        <v>SVEC_WNOPEX_PR19CA004</v>
      </c>
      <c r="D348" s="12" t="s">
        <v>252</v>
      </c>
      <c r="E348" s="12" t="s">
        <v>245</v>
      </c>
      <c r="F348" s="12" t="s">
        <v>2</v>
      </c>
      <c r="G348" s="12" t="s">
        <v>59</v>
      </c>
      <c r="H348" s="155">
        <f>_xlfn.IFNA(INDEX('Financial model inputs'!$A$3:$AJ$89,MATCH(F_interface!$A348&amp;RIGHT(F_interface!H$2,2),'Financial model inputs'!$A$3:$A$89,0),MATCH(F_interface!$D348,'Financial model inputs'!$A$3:$AJ$3,0)),0)</f>
        <v>356.66128138649043</v>
      </c>
      <c r="I348" s="155">
        <f>_xlfn.IFNA(INDEX('Financial model inputs'!$A$3:$AJ$89,MATCH(F_interface!$A348&amp;RIGHT(F_interface!I$2,2),'Financial model inputs'!$A$3:$A$89,0),MATCH(F_interface!$D348,'Financial model inputs'!$A$3:$AJ$3,0)),0)</f>
        <v>340.7273811004855</v>
      </c>
      <c r="J348" s="155">
        <f>_xlfn.IFNA(INDEX('Financial model inputs'!$A$3:$AJ$89,MATCH(F_interface!$A348&amp;RIGHT(F_interface!J$2,2),'Financial model inputs'!$A$3:$A$89,0),MATCH(F_interface!$D348,'Financial model inputs'!$A$3:$AJ$3,0)),0)</f>
        <v>329.41977925515761</v>
      </c>
      <c r="K348" s="155">
        <f>_xlfn.IFNA(INDEX('Financial model inputs'!$A$3:$AJ$89,MATCH(F_interface!$A348&amp;RIGHT(F_interface!K$2,2),'Financial model inputs'!$A$3:$A$89,0),MATCH(F_interface!$D348,'Financial model inputs'!$A$3:$AJ$3,0)),0)</f>
        <v>331.9338725777792</v>
      </c>
      <c r="L348" s="155">
        <f>_xlfn.IFNA(INDEX('Financial model inputs'!$A$3:$AJ$89,MATCH(F_interface!$A348&amp;RIGHT(F_interface!L$2,2),'Financial model inputs'!$A$3:$A$89,0),MATCH(F_interface!$D348,'Financial model inputs'!$A$3:$AJ$3,0)),0)</f>
        <v>343.19736704717343</v>
      </c>
    </row>
    <row r="349" spans="1:12" x14ac:dyDescent="0.25">
      <c r="A349" s="13" t="s">
        <v>93</v>
      </c>
      <c r="B349" s="4" t="str">
        <f t="shared" si="7"/>
        <v>C_WNOPEX_PR19CA004</v>
      </c>
      <c r="C349" s="12" t="str">
        <f t="shared" si="6"/>
        <v>SVHC_WNOPEX_PR19CA004</v>
      </c>
      <c r="D349" s="12" t="s">
        <v>252</v>
      </c>
      <c r="E349" s="12" t="s">
        <v>245</v>
      </c>
      <c r="F349" s="12" t="s">
        <v>2</v>
      </c>
      <c r="G349" s="12" t="s">
        <v>59</v>
      </c>
      <c r="H349" s="155">
        <f>_xlfn.IFNA(INDEX('Financial model inputs'!$A$3:$AJ$89,MATCH(F_interface!$A349&amp;RIGHT(F_interface!H$2,2),'Financial model inputs'!$A$3:$A$89,0),MATCH(F_interface!$D349,'Financial model inputs'!$A$3:$AJ$3,0)),0)</f>
        <v>0</v>
      </c>
      <c r="I349" s="155">
        <f>_xlfn.IFNA(INDEX('Financial model inputs'!$A$3:$AJ$89,MATCH(F_interface!$A349&amp;RIGHT(F_interface!I$2,2),'Financial model inputs'!$A$3:$A$89,0),MATCH(F_interface!$D349,'Financial model inputs'!$A$3:$AJ$3,0)),0)</f>
        <v>0</v>
      </c>
      <c r="J349" s="155">
        <f>_xlfn.IFNA(INDEX('Financial model inputs'!$A$3:$AJ$89,MATCH(F_interface!$A349&amp;RIGHT(F_interface!J$2,2),'Financial model inputs'!$A$3:$A$89,0),MATCH(F_interface!$D349,'Financial model inputs'!$A$3:$AJ$3,0)),0)</f>
        <v>0</v>
      </c>
      <c r="K349" s="155">
        <f>_xlfn.IFNA(INDEX('Financial model inputs'!$A$3:$AJ$89,MATCH(F_interface!$A349&amp;RIGHT(F_interface!K$2,2),'Financial model inputs'!$A$3:$A$89,0),MATCH(F_interface!$D349,'Financial model inputs'!$A$3:$AJ$3,0)),0)</f>
        <v>0</v>
      </c>
      <c r="L349" s="155">
        <f>_xlfn.IFNA(INDEX('Financial model inputs'!$A$3:$AJ$89,MATCH(F_interface!$A349&amp;RIGHT(F_interface!L$2,2),'Financial model inputs'!$A$3:$A$89,0),MATCH(F_interface!$D349,'Financial model inputs'!$A$3:$AJ$3,0)),0)</f>
        <v>0</v>
      </c>
    </row>
    <row r="350" spans="1:12" x14ac:dyDescent="0.25">
      <c r="A350" s="13" t="s">
        <v>8</v>
      </c>
      <c r="B350" s="4" t="str">
        <f t="shared" si="7"/>
        <v>C_WNOPEX_PR19CA004</v>
      </c>
      <c r="C350" s="12" t="str">
        <f t="shared" si="6"/>
        <v>SVTC_WNOPEX_PR19CA004</v>
      </c>
      <c r="D350" s="12" t="s">
        <v>252</v>
      </c>
      <c r="E350" s="12" t="s">
        <v>245</v>
      </c>
      <c r="F350" s="12" t="s">
        <v>2</v>
      </c>
      <c r="G350" s="12" t="s">
        <v>59</v>
      </c>
      <c r="H350" s="155">
        <f>_xlfn.IFNA(INDEX('Financial model inputs'!$A$3:$AJ$89,MATCH(F_interface!$A350&amp;RIGHT(F_interface!H$2,2),'Financial model inputs'!$A$3:$A$89,0),MATCH(F_interface!$D350,'Financial model inputs'!$A$3:$AJ$3,0)),0)</f>
        <v>0</v>
      </c>
      <c r="I350" s="155">
        <f>_xlfn.IFNA(INDEX('Financial model inputs'!$A$3:$AJ$89,MATCH(F_interface!$A350&amp;RIGHT(F_interface!I$2,2),'Financial model inputs'!$A$3:$A$89,0),MATCH(F_interface!$D350,'Financial model inputs'!$A$3:$AJ$3,0)),0)</f>
        <v>0</v>
      </c>
      <c r="J350" s="155">
        <f>_xlfn.IFNA(INDEX('Financial model inputs'!$A$3:$AJ$89,MATCH(F_interface!$A350&amp;RIGHT(F_interface!J$2,2),'Financial model inputs'!$A$3:$A$89,0),MATCH(F_interface!$D350,'Financial model inputs'!$A$3:$AJ$3,0)),0)</f>
        <v>0</v>
      </c>
      <c r="K350" s="155">
        <f>_xlfn.IFNA(INDEX('Financial model inputs'!$A$3:$AJ$89,MATCH(F_interface!$A350&amp;RIGHT(F_interface!K$2,2),'Financial model inputs'!$A$3:$A$89,0),MATCH(F_interface!$D350,'Financial model inputs'!$A$3:$AJ$3,0)),0)</f>
        <v>0</v>
      </c>
      <c r="L350" s="155">
        <f>_xlfn.IFNA(INDEX('Financial model inputs'!$A$3:$AJ$89,MATCH(F_interface!$A350&amp;RIGHT(F_interface!L$2,2),'Financial model inputs'!$A$3:$A$89,0),MATCH(F_interface!$D350,'Financial model inputs'!$A$3:$AJ$3,0)),0)</f>
        <v>0</v>
      </c>
    </row>
    <row r="351" spans="1:12" x14ac:dyDescent="0.25">
      <c r="A351" s="13" t="s">
        <v>19</v>
      </c>
      <c r="B351" s="4" t="str">
        <f t="shared" si="7"/>
        <v>C_WNOPEX_PR19CA004</v>
      </c>
      <c r="C351" s="12" t="str">
        <f t="shared" si="6"/>
        <v>SWBC_WNOPEX_PR19CA004</v>
      </c>
      <c r="D351" s="12" t="s">
        <v>252</v>
      </c>
      <c r="E351" s="12" t="s">
        <v>245</v>
      </c>
      <c r="F351" s="12" t="s">
        <v>2</v>
      </c>
      <c r="G351" s="12" t="s">
        <v>59</v>
      </c>
      <c r="H351" s="155">
        <f>_xlfn.IFNA(INDEX('Financial model inputs'!$A$3:$AJ$89,MATCH(F_interface!$A351&amp;RIGHT(F_interface!H$2,2),'Financial model inputs'!$A$3:$A$89,0),MATCH(F_interface!$D351,'Financial model inputs'!$A$3:$AJ$3,0)),0)</f>
        <v>97.166236487151181</v>
      </c>
      <c r="I351" s="155">
        <f>_xlfn.IFNA(INDEX('Financial model inputs'!$A$3:$AJ$89,MATCH(F_interface!$A351&amp;RIGHT(F_interface!I$2,2),'Financial model inputs'!$A$3:$A$89,0),MATCH(F_interface!$D351,'Financial model inputs'!$A$3:$AJ$3,0)),0)</f>
        <v>91.795424308274221</v>
      </c>
      <c r="J351" s="155">
        <f>_xlfn.IFNA(INDEX('Financial model inputs'!$A$3:$AJ$89,MATCH(F_interface!$A351&amp;RIGHT(F_interface!J$2,2),'Financial model inputs'!$A$3:$A$89,0),MATCH(F_interface!$D351,'Financial model inputs'!$A$3:$AJ$3,0)),0)</f>
        <v>87.934720103858652</v>
      </c>
      <c r="K351" s="155">
        <f>_xlfn.IFNA(INDEX('Financial model inputs'!$A$3:$AJ$89,MATCH(F_interface!$A351&amp;RIGHT(F_interface!K$2,2),'Financial model inputs'!$A$3:$A$89,0),MATCH(F_interface!$D351,'Financial model inputs'!$A$3:$AJ$3,0)),0)</f>
        <v>89.817761713509739</v>
      </c>
      <c r="L351" s="155">
        <f>_xlfn.IFNA(INDEX('Financial model inputs'!$A$3:$AJ$89,MATCH(F_interface!$A351&amp;RIGHT(F_interface!L$2,2),'Financial model inputs'!$A$3:$A$89,0),MATCH(F_interface!$D351,'Financial model inputs'!$A$3:$AJ$3,0)),0)</f>
        <v>89.010578758657914</v>
      </c>
    </row>
    <row r="352" spans="1:12" x14ac:dyDescent="0.25">
      <c r="A352" s="13" t="s">
        <v>9</v>
      </c>
      <c r="B352" s="4" t="str">
        <f t="shared" si="7"/>
        <v>C_WNOPEX_PR19CA004</v>
      </c>
      <c r="C352" s="12" t="str">
        <f t="shared" si="6"/>
        <v>TMSC_WNOPEX_PR19CA004</v>
      </c>
      <c r="D352" s="12" t="s">
        <v>252</v>
      </c>
      <c r="E352" s="12" t="s">
        <v>245</v>
      </c>
      <c r="F352" s="12" t="s">
        <v>2</v>
      </c>
      <c r="G352" s="12" t="s">
        <v>59</v>
      </c>
      <c r="H352" s="155">
        <f>_xlfn.IFNA(INDEX('Financial model inputs'!$A$3:$AJ$89,MATCH(F_interface!$A352&amp;RIGHT(F_interface!H$2,2),'Financial model inputs'!$A$3:$A$89,0),MATCH(F_interface!$D352,'Financial model inputs'!$A$3:$AJ$3,0)),0)</f>
        <v>332.77987911420871</v>
      </c>
      <c r="I352" s="155">
        <f>_xlfn.IFNA(INDEX('Financial model inputs'!$A$3:$AJ$89,MATCH(F_interface!$A352&amp;RIGHT(F_interface!I$2,2),'Financial model inputs'!$A$3:$A$89,0),MATCH(F_interface!$D352,'Financial model inputs'!$A$3:$AJ$3,0)),0)</f>
        <v>320.66096044970601</v>
      </c>
      <c r="J352" s="155">
        <f>_xlfn.IFNA(INDEX('Financial model inputs'!$A$3:$AJ$89,MATCH(F_interface!$A352&amp;RIGHT(F_interface!J$2,2),'Financial model inputs'!$A$3:$A$89,0),MATCH(F_interface!$D352,'Financial model inputs'!$A$3:$AJ$3,0)),0)</f>
        <v>341.31080230736416</v>
      </c>
      <c r="K352" s="155">
        <f>_xlfn.IFNA(INDEX('Financial model inputs'!$A$3:$AJ$89,MATCH(F_interface!$A352&amp;RIGHT(F_interface!K$2,2),'Financial model inputs'!$A$3:$A$89,0),MATCH(F_interface!$D352,'Financial model inputs'!$A$3:$AJ$3,0)),0)</f>
        <v>347.19096832913897</v>
      </c>
      <c r="L352" s="155">
        <f>_xlfn.IFNA(INDEX('Financial model inputs'!$A$3:$AJ$89,MATCH(F_interface!$A352&amp;RIGHT(F_interface!L$2,2),'Financial model inputs'!$A$3:$A$89,0),MATCH(F_interface!$D352,'Financial model inputs'!$A$3:$AJ$3,0)),0)</f>
        <v>357.74116275667001</v>
      </c>
    </row>
    <row r="353" spans="1:12" x14ac:dyDescent="0.25">
      <c r="A353" s="13" t="s">
        <v>23</v>
      </c>
      <c r="B353" s="4" t="str">
        <f t="shared" si="7"/>
        <v>C_WNOPEX_PR19CA004</v>
      </c>
      <c r="C353" s="12" t="str">
        <f t="shared" si="6"/>
        <v>WSHC_WNOPEX_PR19CA004</v>
      </c>
      <c r="D353" s="12" t="s">
        <v>252</v>
      </c>
      <c r="E353" s="12" t="s">
        <v>245</v>
      </c>
      <c r="F353" s="12" t="s">
        <v>2</v>
      </c>
      <c r="G353" s="12" t="s">
        <v>59</v>
      </c>
      <c r="H353" s="155">
        <f>_xlfn.IFNA(INDEX('Financial model inputs'!$A$3:$AJ$89,MATCH(F_interface!$A353&amp;RIGHT(F_interface!H$2,2),'Financial model inputs'!$A$3:$A$89,0),MATCH(F_interface!$D353,'Financial model inputs'!$A$3:$AJ$3,0)),0)</f>
        <v>116.25732476837382</v>
      </c>
      <c r="I353" s="155">
        <f>_xlfn.IFNA(INDEX('Financial model inputs'!$A$3:$AJ$89,MATCH(F_interface!$A353&amp;RIGHT(F_interface!I$2,2),'Financial model inputs'!$A$3:$A$89,0),MATCH(F_interface!$D353,'Financial model inputs'!$A$3:$AJ$3,0)),0)</f>
        <v>117.0364256703886</v>
      </c>
      <c r="J353" s="155">
        <f>_xlfn.IFNA(INDEX('Financial model inputs'!$A$3:$AJ$89,MATCH(F_interface!$A353&amp;RIGHT(F_interface!J$2,2),'Financial model inputs'!$A$3:$A$89,0),MATCH(F_interface!$D353,'Financial model inputs'!$A$3:$AJ$3,0)),0)</f>
        <v>119.50234485729808</v>
      </c>
      <c r="K353" s="155">
        <f>_xlfn.IFNA(INDEX('Financial model inputs'!$A$3:$AJ$89,MATCH(F_interface!$A353&amp;RIGHT(F_interface!K$2,2),'Financial model inputs'!$A$3:$A$89,0),MATCH(F_interface!$D353,'Financial model inputs'!$A$3:$AJ$3,0)),0)</f>
        <v>119.94528840055587</v>
      </c>
      <c r="L353" s="155">
        <f>_xlfn.IFNA(INDEX('Financial model inputs'!$A$3:$AJ$89,MATCH(F_interface!$A353&amp;RIGHT(F_interface!L$2,2),'Financial model inputs'!$A$3:$A$89,0),MATCH(F_interface!$D353,'Financial model inputs'!$A$3:$AJ$3,0)),0)</f>
        <v>122.60107183360654</v>
      </c>
    </row>
    <row r="354" spans="1:12" x14ac:dyDescent="0.25">
      <c r="A354" s="13" t="s">
        <v>10</v>
      </c>
      <c r="B354" s="4" t="str">
        <f t="shared" si="7"/>
        <v>C_WNOPEX_PR19CA004</v>
      </c>
      <c r="C354" s="12" t="str">
        <f t="shared" ref="C354:C417" si="8">A354&amp;B354</f>
        <v>WSXC_WNOPEX_PR19CA004</v>
      </c>
      <c r="D354" s="12" t="s">
        <v>252</v>
      </c>
      <c r="E354" s="12" t="s">
        <v>245</v>
      </c>
      <c r="F354" s="12" t="s">
        <v>2</v>
      </c>
      <c r="G354" s="12" t="s">
        <v>59</v>
      </c>
      <c r="H354" s="155">
        <f>_xlfn.IFNA(INDEX('Financial model inputs'!$A$3:$AJ$89,MATCH(F_interface!$A354&amp;RIGHT(F_interface!H$2,2),'Financial model inputs'!$A$3:$A$89,0),MATCH(F_interface!$D354,'Financial model inputs'!$A$3:$AJ$3,0)),0)</f>
        <v>66.862724981945703</v>
      </c>
      <c r="I354" s="155">
        <f>_xlfn.IFNA(INDEX('Financial model inputs'!$A$3:$AJ$89,MATCH(F_interface!$A354&amp;RIGHT(F_interface!I$2,2),'Financial model inputs'!$A$3:$A$89,0),MATCH(F_interface!$D354,'Financial model inputs'!$A$3:$AJ$3,0)),0)</f>
        <v>70.030289089753566</v>
      </c>
      <c r="J354" s="155">
        <f>_xlfn.IFNA(INDEX('Financial model inputs'!$A$3:$AJ$89,MATCH(F_interface!$A354&amp;RIGHT(F_interface!J$2,2),'Financial model inputs'!$A$3:$A$89,0),MATCH(F_interface!$D354,'Financial model inputs'!$A$3:$AJ$3,0)),0)</f>
        <v>58.997883629042768</v>
      </c>
      <c r="K354" s="155">
        <f>_xlfn.IFNA(INDEX('Financial model inputs'!$A$3:$AJ$89,MATCH(F_interface!$A354&amp;RIGHT(F_interface!K$2,2),'Financial model inputs'!$A$3:$A$89,0),MATCH(F_interface!$D354,'Financial model inputs'!$A$3:$AJ$3,0)),0)</f>
        <v>68.304364493405089</v>
      </c>
      <c r="L354" s="155">
        <f>_xlfn.IFNA(INDEX('Financial model inputs'!$A$3:$AJ$89,MATCH(F_interface!$A354&amp;RIGHT(F_interface!L$2,2),'Financial model inputs'!$A$3:$A$89,0),MATCH(F_interface!$D354,'Financial model inputs'!$A$3:$AJ$3,0)),0)</f>
        <v>72.156728885287166</v>
      </c>
    </row>
    <row r="355" spans="1:12" x14ac:dyDescent="0.25">
      <c r="A355" s="13" t="s">
        <v>11</v>
      </c>
      <c r="B355" s="4" t="str">
        <f t="shared" si="7"/>
        <v>C_WNOPEX_PR19CA004</v>
      </c>
      <c r="C355" s="12" t="str">
        <f t="shared" si="8"/>
        <v>YKYC_WNOPEX_PR19CA004</v>
      </c>
      <c r="D355" s="12" t="s">
        <v>252</v>
      </c>
      <c r="E355" s="12" t="s">
        <v>245</v>
      </c>
      <c r="F355" s="12" t="s">
        <v>2</v>
      </c>
      <c r="G355" s="12" t="s">
        <v>59</v>
      </c>
      <c r="H355" s="155">
        <f>_xlfn.IFNA(INDEX('Financial model inputs'!$A$3:$AJ$89,MATCH(F_interface!$A355&amp;RIGHT(F_interface!H$2,2),'Financial model inputs'!$A$3:$A$89,0),MATCH(F_interface!$D355,'Financial model inputs'!$A$3:$AJ$3,0)),0)</f>
        <v>179.47966177446426</v>
      </c>
      <c r="I355" s="155">
        <f>_xlfn.IFNA(INDEX('Financial model inputs'!$A$3:$AJ$89,MATCH(F_interface!$A355&amp;RIGHT(F_interface!I$2,2),'Financial model inputs'!$A$3:$A$89,0),MATCH(F_interface!$D355,'Financial model inputs'!$A$3:$AJ$3,0)),0)</f>
        <v>175.30793467299688</v>
      </c>
      <c r="J355" s="155">
        <f>_xlfn.IFNA(INDEX('Financial model inputs'!$A$3:$AJ$89,MATCH(F_interface!$A355&amp;RIGHT(F_interface!J$2,2),'Financial model inputs'!$A$3:$A$89,0),MATCH(F_interface!$D355,'Financial model inputs'!$A$3:$AJ$3,0)),0)</f>
        <v>170.69755426820007</v>
      </c>
      <c r="K355" s="155">
        <f>_xlfn.IFNA(INDEX('Financial model inputs'!$A$3:$AJ$89,MATCH(F_interface!$A355&amp;RIGHT(F_interface!K$2,2),'Financial model inputs'!$A$3:$A$89,0),MATCH(F_interface!$D355,'Financial model inputs'!$A$3:$AJ$3,0)),0)</f>
        <v>173.04013292999784</v>
      </c>
      <c r="L355" s="155">
        <f>_xlfn.IFNA(INDEX('Financial model inputs'!$A$3:$AJ$89,MATCH(F_interface!$A355&amp;RIGHT(F_interface!L$2,2),'Financial model inputs'!$A$3:$A$89,0),MATCH(F_interface!$D355,'Financial model inputs'!$A$3:$AJ$3,0)),0)</f>
        <v>183.87264468222435</v>
      </c>
    </row>
    <row r="356" spans="1:12" x14ac:dyDescent="0.25">
      <c r="A356" s="13" t="s">
        <v>12</v>
      </c>
      <c r="B356" s="4" t="str">
        <f t="shared" si="7"/>
        <v>C_WNOPEX_PR19CA004</v>
      </c>
      <c r="C356" s="12" t="str">
        <f t="shared" si="8"/>
        <v>AFWC_WNOPEX_PR19CA004</v>
      </c>
      <c r="D356" s="12" t="s">
        <v>252</v>
      </c>
      <c r="E356" s="12" t="s">
        <v>245</v>
      </c>
      <c r="F356" s="12" t="s">
        <v>2</v>
      </c>
      <c r="G356" s="12" t="s">
        <v>59</v>
      </c>
      <c r="H356" s="155">
        <f>_xlfn.IFNA(INDEX('Financial model inputs'!$A$3:$AJ$89,MATCH(F_interface!$A356&amp;RIGHT(F_interface!H$2,2),'Financial model inputs'!$A$3:$A$89,0),MATCH(F_interface!$D356,'Financial model inputs'!$A$3:$AJ$3,0)),0)</f>
        <v>124.76514735887861</v>
      </c>
      <c r="I356" s="155">
        <f>_xlfn.IFNA(INDEX('Financial model inputs'!$A$3:$AJ$89,MATCH(F_interface!$A356&amp;RIGHT(F_interface!I$2,2),'Financial model inputs'!$A$3:$A$89,0),MATCH(F_interface!$D356,'Financial model inputs'!$A$3:$AJ$3,0)),0)</f>
        <v>130.73089959548244</v>
      </c>
      <c r="J356" s="155">
        <f>_xlfn.IFNA(INDEX('Financial model inputs'!$A$3:$AJ$89,MATCH(F_interface!$A356&amp;RIGHT(F_interface!J$2,2),'Financial model inputs'!$A$3:$A$89,0),MATCH(F_interface!$D356,'Financial model inputs'!$A$3:$AJ$3,0)),0)</f>
        <v>128.80693146837777</v>
      </c>
      <c r="K356" s="155">
        <f>_xlfn.IFNA(INDEX('Financial model inputs'!$A$3:$AJ$89,MATCH(F_interface!$A356&amp;RIGHT(F_interface!K$2,2),'Financial model inputs'!$A$3:$A$89,0),MATCH(F_interface!$D356,'Financial model inputs'!$A$3:$AJ$3,0)),0)</f>
        <v>141.03961584561881</v>
      </c>
      <c r="L356" s="155">
        <f>_xlfn.IFNA(INDEX('Financial model inputs'!$A$3:$AJ$89,MATCH(F_interface!$A356&amp;RIGHT(F_interface!L$2,2),'Financial model inputs'!$A$3:$A$89,0),MATCH(F_interface!$D356,'Financial model inputs'!$A$3:$AJ$3,0)),0)</f>
        <v>141.90875146230135</v>
      </c>
    </row>
    <row r="357" spans="1:12" x14ac:dyDescent="0.25">
      <c r="A357" s="13" t="s">
        <v>13</v>
      </c>
      <c r="B357" s="4" t="str">
        <f t="shared" si="7"/>
        <v>C_WNOPEX_PR19CA004</v>
      </c>
      <c r="C357" s="12" t="str">
        <f t="shared" si="8"/>
        <v>BRLC_WNOPEX_PR19CA004</v>
      </c>
      <c r="D357" s="12" t="s">
        <v>252</v>
      </c>
      <c r="E357" s="12" t="s">
        <v>245</v>
      </c>
      <c r="F357" s="12" t="s">
        <v>2</v>
      </c>
      <c r="G357" s="12" t="s">
        <v>59</v>
      </c>
      <c r="H357" s="155">
        <f>_xlfn.IFNA(INDEX('Financial model inputs'!$A$3:$AJ$89,MATCH(F_interface!$A357&amp;RIGHT(F_interface!H$2,2),'Financial model inputs'!$A$3:$A$89,0),MATCH(F_interface!$D357,'Financial model inputs'!$A$3:$AJ$3,0)),0)</f>
        <v>38.651010607111239</v>
      </c>
      <c r="I357" s="155">
        <f>_xlfn.IFNA(INDEX('Financial model inputs'!$A$3:$AJ$89,MATCH(F_interface!$A357&amp;RIGHT(F_interface!I$2,2),'Financial model inputs'!$A$3:$A$89,0),MATCH(F_interface!$D357,'Financial model inputs'!$A$3:$AJ$3,0)),0)</f>
        <v>38.372239387370435</v>
      </c>
      <c r="J357" s="155">
        <f>_xlfn.IFNA(INDEX('Financial model inputs'!$A$3:$AJ$89,MATCH(F_interface!$A357&amp;RIGHT(F_interface!J$2,2),'Financial model inputs'!$A$3:$A$89,0),MATCH(F_interface!$D357,'Financial model inputs'!$A$3:$AJ$3,0)),0)</f>
        <v>40.43871409236084</v>
      </c>
      <c r="K357" s="155">
        <f>_xlfn.IFNA(INDEX('Financial model inputs'!$A$3:$AJ$89,MATCH(F_interface!$A357&amp;RIGHT(F_interface!K$2,2),'Financial model inputs'!$A$3:$A$89,0),MATCH(F_interface!$D357,'Financial model inputs'!$A$3:$AJ$3,0)),0)</f>
        <v>38.290130656726355</v>
      </c>
      <c r="L357" s="155">
        <f>_xlfn.IFNA(INDEX('Financial model inputs'!$A$3:$AJ$89,MATCH(F_interface!$A357&amp;RIGHT(F_interface!L$2,2),'Financial model inputs'!$A$3:$A$89,0),MATCH(F_interface!$D357,'Financial model inputs'!$A$3:$AJ$3,0)),0)</f>
        <v>38.14141731262346</v>
      </c>
    </row>
    <row r="358" spans="1:12" x14ac:dyDescent="0.25">
      <c r="A358" s="13" t="s">
        <v>14</v>
      </c>
      <c r="B358" s="4" t="str">
        <f t="shared" si="7"/>
        <v>C_WNOPEX_PR19CA004</v>
      </c>
      <c r="C358" s="12" t="str">
        <f t="shared" si="8"/>
        <v>DVWC_WNOPEX_PR19CA004</v>
      </c>
      <c r="D358" s="12" t="s">
        <v>252</v>
      </c>
      <c r="E358" s="12" t="s">
        <v>245</v>
      </c>
      <c r="F358" s="12" t="s">
        <v>2</v>
      </c>
      <c r="G358" s="12" t="s">
        <v>59</v>
      </c>
      <c r="H358" s="155">
        <f>_xlfn.IFNA(INDEX('Financial model inputs'!$A$3:$AJ$89,MATCH(F_interface!$A358&amp;RIGHT(F_interface!H$2,2),'Financial model inputs'!$A$3:$A$89,0),MATCH(F_interface!$D358,'Financial model inputs'!$A$3:$AJ$3,0)),0)</f>
        <v>0</v>
      </c>
      <c r="I358" s="155">
        <f>_xlfn.IFNA(INDEX('Financial model inputs'!$A$3:$AJ$89,MATCH(F_interface!$A358&amp;RIGHT(F_interface!I$2,2),'Financial model inputs'!$A$3:$A$89,0),MATCH(F_interface!$D358,'Financial model inputs'!$A$3:$AJ$3,0)),0)</f>
        <v>0</v>
      </c>
      <c r="J358" s="155">
        <f>_xlfn.IFNA(INDEX('Financial model inputs'!$A$3:$AJ$89,MATCH(F_interface!$A358&amp;RIGHT(F_interface!J$2,2),'Financial model inputs'!$A$3:$A$89,0),MATCH(F_interface!$D358,'Financial model inputs'!$A$3:$AJ$3,0)),0)</f>
        <v>0</v>
      </c>
      <c r="K358" s="155">
        <f>_xlfn.IFNA(INDEX('Financial model inputs'!$A$3:$AJ$89,MATCH(F_interface!$A358&amp;RIGHT(F_interface!K$2,2),'Financial model inputs'!$A$3:$A$89,0),MATCH(F_interface!$D358,'Financial model inputs'!$A$3:$AJ$3,0)),0)</f>
        <v>0</v>
      </c>
      <c r="L358" s="155">
        <f>_xlfn.IFNA(INDEX('Financial model inputs'!$A$3:$AJ$89,MATCH(F_interface!$A358&amp;RIGHT(F_interface!L$2,2),'Financial model inputs'!$A$3:$A$89,0),MATCH(F_interface!$D358,'Financial model inputs'!$A$3:$AJ$3,0)),0)</f>
        <v>0</v>
      </c>
    </row>
    <row r="359" spans="1:12" x14ac:dyDescent="0.25">
      <c r="A359" s="13" t="s">
        <v>15</v>
      </c>
      <c r="B359" s="4" t="str">
        <f t="shared" si="7"/>
        <v>C_WNOPEX_PR19CA004</v>
      </c>
      <c r="C359" s="12" t="str">
        <f t="shared" si="8"/>
        <v>PRTC_WNOPEX_PR19CA004</v>
      </c>
      <c r="D359" s="12" t="s">
        <v>252</v>
      </c>
      <c r="E359" s="12" t="s">
        <v>245</v>
      </c>
      <c r="F359" s="12" t="s">
        <v>2</v>
      </c>
      <c r="G359" s="12" t="s">
        <v>59</v>
      </c>
      <c r="H359" s="155">
        <f>_xlfn.IFNA(INDEX('Financial model inputs'!$A$3:$AJ$89,MATCH(F_interface!$A359&amp;RIGHT(F_interface!H$2,2),'Financial model inputs'!$A$3:$A$89,0),MATCH(F_interface!$D359,'Financial model inputs'!$A$3:$AJ$3,0)),0)</f>
        <v>23.014006405992809</v>
      </c>
      <c r="I359" s="155">
        <f>_xlfn.IFNA(INDEX('Financial model inputs'!$A$3:$AJ$89,MATCH(F_interface!$A359&amp;RIGHT(F_interface!I$2,2),'Financial model inputs'!$A$3:$A$89,0),MATCH(F_interface!$D359,'Financial model inputs'!$A$3:$AJ$3,0)),0)</f>
        <v>21.287154516138063</v>
      </c>
      <c r="J359" s="155">
        <f>_xlfn.IFNA(INDEX('Financial model inputs'!$A$3:$AJ$89,MATCH(F_interface!$A359&amp;RIGHT(F_interface!J$2,2),'Financial model inputs'!$A$3:$A$89,0),MATCH(F_interface!$D359,'Financial model inputs'!$A$3:$AJ$3,0)),0)</f>
        <v>20.157549955140549</v>
      </c>
      <c r="K359" s="155">
        <f>_xlfn.IFNA(INDEX('Financial model inputs'!$A$3:$AJ$89,MATCH(F_interface!$A359&amp;RIGHT(F_interface!K$2,2),'Financial model inputs'!$A$3:$A$89,0),MATCH(F_interface!$D359,'Financial model inputs'!$A$3:$AJ$3,0)),0)</f>
        <v>22.468679569651723</v>
      </c>
      <c r="L359" s="155">
        <f>_xlfn.IFNA(INDEX('Financial model inputs'!$A$3:$AJ$89,MATCH(F_interface!$A359&amp;RIGHT(F_interface!L$2,2),'Financial model inputs'!$A$3:$A$89,0),MATCH(F_interface!$D359,'Financial model inputs'!$A$3:$AJ$3,0)),0)</f>
        <v>21.578098498398237</v>
      </c>
    </row>
    <row r="360" spans="1:12" x14ac:dyDescent="0.25">
      <c r="A360" s="13" t="s">
        <v>16</v>
      </c>
      <c r="B360" s="4" t="str">
        <f t="shared" si="7"/>
        <v>C_WNOPEX_PR19CA004</v>
      </c>
      <c r="C360" s="12" t="str">
        <f t="shared" si="8"/>
        <v>SESC_WNOPEX_PR19CA004</v>
      </c>
      <c r="D360" s="12" t="s">
        <v>252</v>
      </c>
      <c r="E360" s="12" t="s">
        <v>245</v>
      </c>
      <c r="F360" s="12" t="s">
        <v>2</v>
      </c>
      <c r="G360" s="12" t="s">
        <v>59</v>
      </c>
      <c r="H360" s="155">
        <f>_xlfn.IFNA(INDEX('Financial model inputs'!$A$3:$AJ$89,MATCH(F_interface!$A360&amp;RIGHT(F_interface!H$2,2),'Financial model inputs'!$A$3:$A$89,0),MATCH(F_interface!$D360,'Financial model inputs'!$A$3:$AJ$3,0)),0)</f>
        <v>20.545005858358213</v>
      </c>
      <c r="I360" s="155">
        <f>_xlfn.IFNA(INDEX('Financial model inputs'!$A$3:$AJ$89,MATCH(F_interface!$A360&amp;RIGHT(F_interface!I$2,2),'Financial model inputs'!$A$3:$A$89,0),MATCH(F_interface!$D360,'Financial model inputs'!$A$3:$AJ$3,0)),0)</f>
        <v>19.373576499790005</v>
      </c>
      <c r="J360" s="155">
        <f>_xlfn.IFNA(INDEX('Financial model inputs'!$A$3:$AJ$89,MATCH(F_interface!$A360&amp;RIGHT(F_interface!J$2,2),'Financial model inputs'!$A$3:$A$89,0),MATCH(F_interface!$D360,'Financial model inputs'!$A$3:$AJ$3,0)),0)</f>
        <v>20.043425703437876</v>
      </c>
      <c r="K360" s="155">
        <f>_xlfn.IFNA(INDEX('Financial model inputs'!$A$3:$AJ$89,MATCH(F_interface!$A360&amp;RIGHT(F_interface!K$2,2),'Financial model inputs'!$A$3:$A$89,0),MATCH(F_interface!$D360,'Financial model inputs'!$A$3:$AJ$3,0)),0)</f>
        <v>21.95592676823027</v>
      </c>
      <c r="L360" s="155">
        <f>_xlfn.IFNA(INDEX('Financial model inputs'!$A$3:$AJ$89,MATCH(F_interface!$A360&amp;RIGHT(F_interface!L$2,2),'Financial model inputs'!$A$3:$A$89,0),MATCH(F_interface!$D360,'Financial model inputs'!$A$3:$AJ$3,0)),0)</f>
        <v>22.042718678535749</v>
      </c>
    </row>
    <row r="361" spans="1:12" x14ac:dyDescent="0.25">
      <c r="A361" s="13" t="s">
        <v>17</v>
      </c>
      <c r="B361" s="4" t="str">
        <f t="shared" si="7"/>
        <v>C_WNOPEX_PR19CA004</v>
      </c>
      <c r="C361" s="12" t="str">
        <f t="shared" si="8"/>
        <v>SEWC_WNOPEX_PR19CA004</v>
      </c>
      <c r="D361" s="12" t="s">
        <v>252</v>
      </c>
      <c r="E361" s="12" t="s">
        <v>245</v>
      </c>
      <c r="F361" s="12" t="s">
        <v>2</v>
      </c>
      <c r="G361" s="12" t="s">
        <v>59</v>
      </c>
      <c r="H361" s="155">
        <f>_xlfn.IFNA(INDEX('Financial model inputs'!$A$3:$AJ$89,MATCH(F_interface!$A361&amp;RIGHT(F_interface!H$2,2),'Financial model inputs'!$A$3:$A$89,0),MATCH(F_interface!$D361,'Financial model inputs'!$A$3:$AJ$3,0)),0)</f>
        <v>80.491241657112155</v>
      </c>
      <c r="I361" s="155">
        <f>_xlfn.IFNA(INDEX('Financial model inputs'!$A$3:$AJ$89,MATCH(F_interface!$A361&amp;RIGHT(F_interface!I$2,2),'Financial model inputs'!$A$3:$A$89,0),MATCH(F_interface!$D361,'Financial model inputs'!$A$3:$AJ$3,0)),0)</f>
        <v>81.625434341285967</v>
      </c>
      <c r="J361" s="155">
        <f>_xlfn.IFNA(INDEX('Financial model inputs'!$A$3:$AJ$89,MATCH(F_interface!$A361&amp;RIGHT(F_interface!J$2,2),'Financial model inputs'!$A$3:$A$89,0),MATCH(F_interface!$D361,'Financial model inputs'!$A$3:$AJ$3,0)),0)</f>
        <v>82.457834641999071</v>
      </c>
      <c r="K361" s="155">
        <f>_xlfn.IFNA(INDEX('Financial model inputs'!$A$3:$AJ$89,MATCH(F_interface!$A361&amp;RIGHT(F_interface!K$2,2),'Financial model inputs'!$A$3:$A$89,0),MATCH(F_interface!$D361,'Financial model inputs'!$A$3:$AJ$3,0)),0)</f>
        <v>83.958972480574403</v>
      </c>
      <c r="L361" s="155">
        <f>_xlfn.IFNA(INDEX('Financial model inputs'!$A$3:$AJ$89,MATCH(F_interface!$A361&amp;RIGHT(F_interface!L$2,2),'Financial model inputs'!$A$3:$A$89,0),MATCH(F_interface!$D361,'Financial model inputs'!$A$3:$AJ$3,0)),0)</f>
        <v>85.618995661843115</v>
      </c>
    </row>
    <row r="362" spans="1:12" x14ac:dyDescent="0.25">
      <c r="A362" s="13" t="s">
        <v>18</v>
      </c>
      <c r="B362" s="4" t="str">
        <f t="shared" si="7"/>
        <v>C_WNOPEX_PR19CA004</v>
      </c>
      <c r="C362" s="12" t="str">
        <f t="shared" si="8"/>
        <v>SSCC_WNOPEX_PR19CA004</v>
      </c>
      <c r="D362" s="12" t="s">
        <v>252</v>
      </c>
      <c r="E362" s="12" t="s">
        <v>245</v>
      </c>
      <c r="F362" s="12" t="s">
        <v>2</v>
      </c>
      <c r="G362" s="12" t="s">
        <v>59</v>
      </c>
      <c r="H362" s="155">
        <f>_xlfn.IFNA(INDEX('Financial model inputs'!$A$3:$AJ$89,MATCH(F_interface!$A362&amp;RIGHT(F_interface!H$2,2),'Financial model inputs'!$A$3:$A$89,0),MATCH(F_interface!$D362,'Financial model inputs'!$A$3:$AJ$3,0)),0)</f>
        <v>63.888593128583807</v>
      </c>
      <c r="I362" s="155">
        <f>_xlfn.IFNA(INDEX('Financial model inputs'!$A$3:$AJ$89,MATCH(F_interface!$A362&amp;RIGHT(F_interface!I$2,2),'Financial model inputs'!$A$3:$A$89,0),MATCH(F_interface!$D362,'Financial model inputs'!$A$3:$AJ$3,0)),0)</f>
        <v>60.697996250841136</v>
      </c>
      <c r="J362" s="155">
        <f>_xlfn.IFNA(INDEX('Financial model inputs'!$A$3:$AJ$89,MATCH(F_interface!$A362&amp;RIGHT(F_interface!J$2,2),'Financial model inputs'!$A$3:$A$89,0),MATCH(F_interface!$D362,'Financial model inputs'!$A$3:$AJ$3,0)),0)</f>
        <v>59.349230161236733</v>
      </c>
      <c r="K362" s="155">
        <f>_xlfn.IFNA(INDEX('Financial model inputs'!$A$3:$AJ$89,MATCH(F_interface!$A362&amp;RIGHT(F_interface!K$2,2),'Financial model inputs'!$A$3:$A$89,0),MATCH(F_interface!$D362,'Financial model inputs'!$A$3:$AJ$3,0)),0)</f>
        <v>60.451189805562031</v>
      </c>
      <c r="L362" s="155">
        <f>_xlfn.IFNA(INDEX('Financial model inputs'!$A$3:$AJ$89,MATCH(F_interface!$A362&amp;RIGHT(F_interface!L$2,2),'Financial model inputs'!$A$3:$A$89,0),MATCH(F_interface!$D362,'Financial model inputs'!$A$3:$AJ$3,0)),0)</f>
        <v>62.081335557418292</v>
      </c>
    </row>
    <row r="363" spans="1:12" x14ac:dyDescent="0.25">
      <c r="A363" s="13" t="s">
        <v>4</v>
      </c>
      <c r="B363" s="4" t="str">
        <f t="shared" si="7"/>
        <v>C_WNCAPEX_PR19CA004</v>
      </c>
      <c r="C363" s="12" t="str">
        <f t="shared" si="8"/>
        <v>ANHC_WNCAPEX_PR19CA004</v>
      </c>
      <c r="D363" s="12" t="s">
        <v>253</v>
      </c>
      <c r="E363" s="12" t="s">
        <v>246</v>
      </c>
      <c r="F363" s="12" t="s">
        <v>2</v>
      </c>
      <c r="G363" s="12" t="s">
        <v>59</v>
      </c>
      <c r="H363" s="155">
        <f>_xlfn.IFNA(INDEX('Financial model inputs'!$A$3:$AJ$89,MATCH(F_interface!$A363&amp;RIGHT(F_interface!H$2,2),'Financial model inputs'!$A$3:$A$89,0),MATCH(F_interface!$D363,'Financial model inputs'!$A$3:$AJ$3,0)),0)</f>
        <v>174.5339919974133</v>
      </c>
      <c r="I363" s="155">
        <f>_xlfn.IFNA(INDEX('Financial model inputs'!$A$3:$AJ$89,MATCH(F_interface!$A363&amp;RIGHT(F_interface!I$2,2),'Financial model inputs'!$A$3:$A$89,0),MATCH(F_interface!$D363,'Financial model inputs'!$A$3:$AJ$3,0)),0)</f>
        <v>171.62533921269829</v>
      </c>
      <c r="J363" s="155">
        <f>_xlfn.IFNA(INDEX('Financial model inputs'!$A$3:$AJ$89,MATCH(F_interface!$A363&amp;RIGHT(F_interface!J$2,2),'Financial model inputs'!$A$3:$A$89,0),MATCH(F_interface!$D363,'Financial model inputs'!$A$3:$AJ$3,0)),0)</f>
        <v>161.67915526313564</v>
      </c>
      <c r="K363" s="155">
        <f>_xlfn.IFNA(INDEX('Financial model inputs'!$A$3:$AJ$89,MATCH(F_interface!$A363&amp;RIGHT(F_interface!K$2,2),'Financial model inputs'!$A$3:$A$89,0),MATCH(F_interface!$D363,'Financial model inputs'!$A$3:$AJ$3,0)),0)</f>
        <v>157.02991124018297</v>
      </c>
      <c r="L363" s="155">
        <f>_xlfn.IFNA(INDEX('Financial model inputs'!$A$3:$AJ$89,MATCH(F_interface!$A363&amp;RIGHT(F_interface!L$2,2),'Financial model inputs'!$A$3:$A$89,0),MATCH(F_interface!$D363,'Financial model inputs'!$A$3:$AJ$3,0)),0)</f>
        <v>157.0774126610084</v>
      </c>
    </row>
    <row r="364" spans="1:12" x14ac:dyDescent="0.25">
      <c r="A364" s="13" t="s">
        <v>90</v>
      </c>
      <c r="B364" s="4" t="str">
        <f t="shared" si="7"/>
        <v>C_WNCAPEX_PR19CA004</v>
      </c>
      <c r="C364" s="12" t="str">
        <f t="shared" si="8"/>
        <v>HDDC_WNCAPEX_PR19CA004</v>
      </c>
      <c r="D364" s="12" t="s">
        <v>253</v>
      </c>
      <c r="E364" s="12" t="s">
        <v>246</v>
      </c>
      <c r="F364" s="12" t="s">
        <v>2</v>
      </c>
      <c r="G364" s="12" t="s">
        <v>59</v>
      </c>
      <c r="H364" s="155">
        <f>_xlfn.IFNA(INDEX('Financial model inputs'!$A$3:$AJ$89,MATCH(F_interface!$A364&amp;RIGHT(F_interface!H$2,2),'Financial model inputs'!$A$3:$A$89,0),MATCH(F_interface!$D364,'Financial model inputs'!$A$3:$AJ$3,0)),0)</f>
        <v>5.5683706365105294</v>
      </c>
      <c r="I364" s="155">
        <f>_xlfn.IFNA(INDEX('Financial model inputs'!$A$3:$AJ$89,MATCH(F_interface!$A364&amp;RIGHT(F_interface!I$2,2),'Financial model inputs'!$A$3:$A$89,0),MATCH(F_interface!$D364,'Financial model inputs'!$A$3:$AJ$3,0)),0)</f>
        <v>5.6761868543207079</v>
      </c>
      <c r="J364" s="155">
        <f>_xlfn.IFNA(INDEX('Financial model inputs'!$A$3:$AJ$89,MATCH(F_interface!$A364&amp;RIGHT(F_interface!J$2,2),'Financial model inputs'!$A$3:$A$89,0),MATCH(F_interface!$D364,'Financial model inputs'!$A$3:$AJ$3,0)),0)</f>
        <v>5.670170980053431</v>
      </c>
      <c r="K364" s="155">
        <f>_xlfn.IFNA(INDEX('Financial model inputs'!$A$3:$AJ$89,MATCH(F_interface!$A364&amp;RIGHT(F_interface!K$2,2),'Financial model inputs'!$A$3:$A$89,0),MATCH(F_interface!$D364,'Financial model inputs'!$A$3:$AJ$3,0)),0)</f>
        <v>5.7052401372716126</v>
      </c>
      <c r="L364" s="155">
        <f>_xlfn.IFNA(INDEX('Financial model inputs'!$A$3:$AJ$89,MATCH(F_interface!$A364&amp;RIGHT(F_interface!L$2,2),'Financial model inputs'!$A$3:$A$89,0),MATCH(F_interface!$D364,'Financial model inputs'!$A$3:$AJ$3,0)),0)</f>
        <v>5.5977036520408561</v>
      </c>
    </row>
    <row r="365" spans="1:12" x14ac:dyDescent="0.25">
      <c r="A365" s="13" t="s">
        <v>5</v>
      </c>
      <c r="B365" s="4" t="str">
        <f t="shared" si="7"/>
        <v>C_WNCAPEX_PR19CA004</v>
      </c>
      <c r="C365" s="12" t="str">
        <f t="shared" si="8"/>
        <v>NESC_WNCAPEX_PR19CA004</v>
      </c>
      <c r="D365" s="12" t="s">
        <v>253</v>
      </c>
      <c r="E365" s="12" t="s">
        <v>246</v>
      </c>
      <c r="F365" s="12" t="s">
        <v>2</v>
      </c>
      <c r="G365" s="12" t="s">
        <v>59</v>
      </c>
      <c r="H365" s="155">
        <f>_xlfn.IFNA(INDEX('Financial model inputs'!$A$3:$AJ$89,MATCH(F_interface!$A365&amp;RIGHT(F_interface!H$2,2),'Financial model inputs'!$A$3:$A$89,0),MATCH(F_interface!$D365,'Financial model inputs'!$A$3:$AJ$3,0)),0)</f>
        <v>112.93064883142311</v>
      </c>
      <c r="I365" s="155">
        <f>_xlfn.IFNA(INDEX('Financial model inputs'!$A$3:$AJ$89,MATCH(F_interface!$A365&amp;RIGHT(F_interface!I$2,2),'Financial model inputs'!$A$3:$A$89,0),MATCH(F_interface!$D365,'Financial model inputs'!$A$3:$AJ$3,0)),0)</f>
        <v>113.40794414343928</v>
      </c>
      <c r="J365" s="155">
        <f>_xlfn.IFNA(INDEX('Financial model inputs'!$A$3:$AJ$89,MATCH(F_interface!$A365&amp;RIGHT(F_interface!J$2,2),'Financial model inputs'!$A$3:$A$89,0),MATCH(F_interface!$D365,'Financial model inputs'!$A$3:$AJ$3,0)),0)</f>
        <v>113.77289326513662</v>
      </c>
      <c r="K365" s="155">
        <f>_xlfn.IFNA(INDEX('Financial model inputs'!$A$3:$AJ$89,MATCH(F_interface!$A365&amp;RIGHT(F_interface!K$2,2),'Financial model inputs'!$A$3:$A$89,0),MATCH(F_interface!$D365,'Financial model inputs'!$A$3:$AJ$3,0)),0)</f>
        <v>114.16993904923481</v>
      </c>
      <c r="L365" s="155">
        <f>_xlfn.IFNA(INDEX('Financial model inputs'!$A$3:$AJ$89,MATCH(F_interface!$A365&amp;RIGHT(F_interface!L$2,2),'Financial model inputs'!$A$3:$A$89,0),MATCH(F_interface!$D365,'Financial model inputs'!$A$3:$AJ$3,0)),0)</f>
        <v>114.44621386002699</v>
      </c>
    </row>
    <row r="366" spans="1:12" x14ac:dyDescent="0.25">
      <c r="A366" s="13" t="s">
        <v>6</v>
      </c>
      <c r="B366" s="4" t="str">
        <f t="shared" si="7"/>
        <v>C_WNCAPEX_PR19CA004</v>
      </c>
      <c r="C366" s="12" t="str">
        <f t="shared" si="8"/>
        <v>NWTC_WNCAPEX_PR19CA004</v>
      </c>
      <c r="D366" s="12" t="s">
        <v>253</v>
      </c>
      <c r="E366" s="12" t="s">
        <v>246</v>
      </c>
      <c r="F366" s="12" t="s">
        <v>2</v>
      </c>
      <c r="G366" s="12" t="s">
        <v>59</v>
      </c>
      <c r="H366" s="155">
        <f>_xlfn.IFNA(INDEX('Financial model inputs'!$A$3:$AJ$89,MATCH(F_interface!$A366&amp;RIGHT(F_interface!H$2,2),'Financial model inputs'!$A$3:$A$89,0),MATCH(F_interface!$D366,'Financial model inputs'!$A$3:$AJ$3,0)),0)</f>
        <v>80.104829659012324</v>
      </c>
      <c r="I366" s="155">
        <f>_xlfn.IFNA(INDEX('Financial model inputs'!$A$3:$AJ$89,MATCH(F_interface!$A366&amp;RIGHT(F_interface!I$2,2),'Financial model inputs'!$A$3:$A$89,0),MATCH(F_interface!$D366,'Financial model inputs'!$A$3:$AJ$3,0)),0)</f>
        <v>101.59817263280665</v>
      </c>
      <c r="J366" s="155">
        <f>_xlfn.IFNA(INDEX('Financial model inputs'!$A$3:$AJ$89,MATCH(F_interface!$A366&amp;RIGHT(F_interface!J$2,2),'Financial model inputs'!$A$3:$A$89,0),MATCH(F_interface!$D366,'Financial model inputs'!$A$3:$AJ$3,0)),0)</f>
        <v>118.69657588651651</v>
      </c>
      <c r="K366" s="155">
        <f>_xlfn.IFNA(INDEX('Financial model inputs'!$A$3:$AJ$89,MATCH(F_interface!$A366&amp;RIGHT(F_interface!K$2,2),'Financial model inputs'!$A$3:$A$89,0),MATCH(F_interface!$D366,'Financial model inputs'!$A$3:$AJ$3,0)),0)</f>
        <v>101.10874869714259</v>
      </c>
      <c r="L366" s="155">
        <f>_xlfn.IFNA(INDEX('Financial model inputs'!$A$3:$AJ$89,MATCH(F_interface!$A366&amp;RIGHT(F_interface!L$2,2),'Financial model inputs'!$A$3:$A$89,0),MATCH(F_interface!$D366,'Financial model inputs'!$A$3:$AJ$3,0)),0)</f>
        <v>82.368469679177153</v>
      </c>
    </row>
    <row r="367" spans="1:12" x14ac:dyDescent="0.25">
      <c r="A367" s="13" t="s">
        <v>7</v>
      </c>
      <c r="B367" s="4" t="str">
        <f t="shared" si="7"/>
        <v>C_WNCAPEX_PR19CA004</v>
      </c>
      <c r="C367" s="12" t="str">
        <f t="shared" si="8"/>
        <v>SRNC_WNCAPEX_PR19CA004</v>
      </c>
      <c r="D367" s="12" t="s">
        <v>253</v>
      </c>
      <c r="E367" s="12" t="s">
        <v>246</v>
      </c>
      <c r="F367" s="12" t="s">
        <v>2</v>
      </c>
      <c r="G367" s="12" t="s">
        <v>59</v>
      </c>
      <c r="H367" s="155">
        <f>_xlfn.IFNA(INDEX('Financial model inputs'!$A$3:$AJ$89,MATCH(F_interface!$A367&amp;RIGHT(F_interface!H$2,2),'Financial model inputs'!$A$3:$A$89,0),MATCH(F_interface!$D367,'Financial model inputs'!$A$3:$AJ$3,0)),0)</f>
        <v>120.59606146118435</v>
      </c>
      <c r="I367" s="155">
        <f>_xlfn.IFNA(INDEX('Financial model inputs'!$A$3:$AJ$89,MATCH(F_interface!$A367&amp;RIGHT(F_interface!I$2,2),'Financial model inputs'!$A$3:$A$89,0),MATCH(F_interface!$D367,'Financial model inputs'!$A$3:$AJ$3,0)),0)</f>
        <v>122.31146169268128</v>
      </c>
      <c r="J367" s="155">
        <f>_xlfn.IFNA(INDEX('Financial model inputs'!$A$3:$AJ$89,MATCH(F_interface!$A367&amp;RIGHT(F_interface!J$2,2),'Financial model inputs'!$A$3:$A$89,0),MATCH(F_interface!$D367,'Financial model inputs'!$A$3:$AJ$3,0)),0)</f>
        <v>117.86305691522961</v>
      </c>
      <c r="K367" s="155">
        <f>_xlfn.IFNA(INDEX('Financial model inputs'!$A$3:$AJ$89,MATCH(F_interface!$A367&amp;RIGHT(F_interface!K$2,2),'Financial model inputs'!$A$3:$A$89,0),MATCH(F_interface!$D367,'Financial model inputs'!$A$3:$AJ$3,0)),0)</f>
        <v>101.08803162420375</v>
      </c>
      <c r="L367" s="155">
        <f>_xlfn.IFNA(INDEX('Financial model inputs'!$A$3:$AJ$89,MATCH(F_interface!$A367&amp;RIGHT(F_interface!L$2,2),'Financial model inputs'!$A$3:$A$89,0),MATCH(F_interface!$D367,'Financial model inputs'!$A$3:$AJ$3,0)),0)</f>
        <v>98.283047955679578</v>
      </c>
    </row>
    <row r="368" spans="1:12" x14ac:dyDescent="0.25">
      <c r="A368" s="13" t="s">
        <v>89</v>
      </c>
      <c r="B368" s="4" t="str">
        <f t="shared" si="7"/>
        <v>C_WNCAPEX_PR19CA004</v>
      </c>
      <c r="C368" s="12" t="str">
        <f t="shared" si="8"/>
        <v>SVEC_WNCAPEX_PR19CA004</v>
      </c>
      <c r="D368" s="12" t="s">
        <v>253</v>
      </c>
      <c r="E368" s="12" t="s">
        <v>246</v>
      </c>
      <c r="F368" s="12" t="s">
        <v>2</v>
      </c>
      <c r="G368" s="12" t="s">
        <v>59</v>
      </c>
      <c r="H368" s="155">
        <f>_xlfn.IFNA(INDEX('Financial model inputs'!$A$3:$AJ$89,MATCH(F_interface!$A368&amp;RIGHT(F_interface!H$2,2),'Financial model inputs'!$A$3:$A$89,0),MATCH(F_interface!$D368,'Financial model inputs'!$A$3:$AJ$3,0)),0)</f>
        <v>146.71535904333678</v>
      </c>
      <c r="I368" s="155">
        <f>_xlfn.IFNA(INDEX('Financial model inputs'!$A$3:$AJ$89,MATCH(F_interface!$A368&amp;RIGHT(F_interface!I$2,2),'Financial model inputs'!$A$3:$A$89,0),MATCH(F_interface!$D368,'Financial model inputs'!$A$3:$AJ$3,0)),0)</f>
        <v>162.64925932934173</v>
      </c>
      <c r="J368" s="155">
        <f>_xlfn.IFNA(INDEX('Financial model inputs'!$A$3:$AJ$89,MATCH(F_interface!$A368&amp;RIGHT(F_interface!J$2,2),'Financial model inputs'!$A$3:$A$89,0),MATCH(F_interface!$D368,'Financial model inputs'!$A$3:$AJ$3,0)),0)</f>
        <v>173.95686117466963</v>
      </c>
      <c r="K368" s="155">
        <f>_xlfn.IFNA(INDEX('Financial model inputs'!$A$3:$AJ$89,MATCH(F_interface!$A368&amp;RIGHT(F_interface!K$2,2),'Financial model inputs'!$A$3:$A$89,0),MATCH(F_interface!$D368,'Financial model inputs'!$A$3:$AJ$3,0)),0)</f>
        <v>171.44276785204804</v>
      </c>
      <c r="L368" s="155">
        <f>_xlfn.IFNA(INDEX('Financial model inputs'!$A$3:$AJ$89,MATCH(F_interface!$A368&amp;RIGHT(F_interface!L$2,2),'Financial model inputs'!$A$3:$A$89,0),MATCH(F_interface!$D368,'Financial model inputs'!$A$3:$AJ$3,0)),0)</f>
        <v>160.1792733826538</v>
      </c>
    </row>
    <row r="369" spans="1:12" x14ac:dyDescent="0.25">
      <c r="A369" s="13" t="s">
        <v>93</v>
      </c>
      <c r="B369" s="4" t="str">
        <f t="shared" si="7"/>
        <v>C_WNCAPEX_PR19CA004</v>
      </c>
      <c r="C369" s="12" t="str">
        <f t="shared" si="8"/>
        <v>SVHC_WNCAPEX_PR19CA004</v>
      </c>
      <c r="D369" s="12" t="s">
        <v>253</v>
      </c>
      <c r="E369" s="12" t="s">
        <v>246</v>
      </c>
      <c r="F369" s="12" t="s">
        <v>2</v>
      </c>
      <c r="G369" s="12" t="s">
        <v>59</v>
      </c>
      <c r="H369" s="155">
        <f>_xlfn.IFNA(INDEX('Financial model inputs'!$A$3:$AJ$89,MATCH(F_interface!$A369&amp;RIGHT(F_interface!H$2,2),'Financial model inputs'!$A$3:$A$89,0),MATCH(F_interface!$D369,'Financial model inputs'!$A$3:$AJ$3,0)),0)</f>
        <v>0</v>
      </c>
      <c r="I369" s="155">
        <f>_xlfn.IFNA(INDEX('Financial model inputs'!$A$3:$AJ$89,MATCH(F_interface!$A369&amp;RIGHT(F_interface!I$2,2),'Financial model inputs'!$A$3:$A$89,0),MATCH(F_interface!$D369,'Financial model inputs'!$A$3:$AJ$3,0)),0)</f>
        <v>0</v>
      </c>
      <c r="J369" s="155">
        <f>_xlfn.IFNA(INDEX('Financial model inputs'!$A$3:$AJ$89,MATCH(F_interface!$A369&amp;RIGHT(F_interface!J$2,2),'Financial model inputs'!$A$3:$A$89,0),MATCH(F_interface!$D369,'Financial model inputs'!$A$3:$AJ$3,0)),0)</f>
        <v>0</v>
      </c>
      <c r="K369" s="155">
        <f>_xlfn.IFNA(INDEX('Financial model inputs'!$A$3:$AJ$89,MATCH(F_interface!$A369&amp;RIGHT(F_interface!K$2,2),'Financial model inputs'!$A$3:$A$89,0),MATCH(F_interface!$D369,'Financial model inputs'!$A$3:$AJ$3,0)),0)</f>
        <v>0</v>
      </c>
      <c r="L369" s="155">
        <f>_xlfn.IFNA(INDEX('Financial model inputs'!$A$3:$AJ$89,MATCH(F_interface!$A369&amp;RIGHT(F_interface!L$2,2),'Financial model inputs'!$A$3:$A$89,0),MATCH(F_interface!$D369,'Financial model inputs'!$A$3:$AJ$3,0)),0)</f>
        <v>0</v>
      </c>
    </row>
    <row r="370" spans="1:12" x14ac:dyDescent="0.25">
      <c r="A370" s="13" t="s">
        <v>8</v>
      </c>
      <c r="B370" s="4" t="str">
        <f t="shared" si="7"/>
        <v>C_WNCAPEX_PR19CA004</v>
      </c>
      <c r="C370" s="12" t="str">
        <f t="shared" si="8"/>
        <v>SVTC_WNCAPEX_PR19CA004</v>
      </c>
      <c r="D370" s="12" t="s">
        <v>253</v>
      </c>
      <c r="E370" s="12" t="s">
        <v>246</v>
      </c>
      <c r="F370" s="12" t="s">
        <v>2</v>
      </c>
      <c r="G370" s="12" t="s">
        <v>59</v>
      </c>
      <c r="H370" s="155">
        <f>_xlfn.IFNA(INDEX('Financial model inputs'!$A$3:$AJ$89,MATCH(F_interface!$A370&amp;RIGHT(F_interface!H$2,2),'Financial model inputs'!$A$3:$A$89,0),MATCH(F_interface!$D370,'Financial model inputs'!$A$3:$AJ$3,0)),0)</f>
        <v>0</v>
      </c>
      <c r="I370" s="155">
        <f>_xlfn.IFNA(INDEX('Financial model inputs'!$A$3:$AJ$89,MATCH(F_interface!$A370&amp;RIGHT(F_interface!I$2,2),'Financial model inputs'!$A$3:$A$89,0),MATCH(F_interface!$D370,'Financial model inputs'!$A$3:$AJ$3,0)),0)</f>
        <v>0</v>
      </c>
      <c r="J370" s="155">
        <f>_xlfn.IFNA(INDEX('Financial model inputs'!$A$3:$AJ$89,MATCH(F_interface!$A370&amp;RIGHT(F_interface!J$2,2),'Financial model inputs'!$A$3:$A$89,0),MATCH(F_interface!$D370,'Financial model inputs'!$A$3:$AJ$3,0)),0)</f>
        <v>0</v>
      </c>
      <c r="K370" s="155">
        <f>_xlfn.IFNA(INDEX('Financial model inputs'!$A$3:$AJ$89,MATCH(F_interface!$A370&amp;RIGHT(F_interface!K$2,2),'Financial model inputs'!$A$3:$A$89,0),MATCH(F_interface!$D370,'Financial model inputs'!$A$3:$AJ$3,0)),0)</f>
        <v>0</v>
      </c>
      <c r="L370" s="155">
        <f>_xlfn.IFNA(INDEX('Financial model inputs'!$A$3:$AJ$89,MATCH(F_interface!$A370&amp;RIGHT(F_interface!L$2,2),'Financial model inputs'!$A$3:$A$89,0),MATCH(F_interface!$D370,'Financial model inputs'!$A$3:$AJ$3,0)),0)</f>
        <v>0</v>
      </c>
    </row>
    <row r="371" spans="1:12" x14ac:dyDescent="0.25">
      <c r="A371" s="13" t="s">
        <v>19</v>
      </c>
      <c r="B371" s="4" t="str">
        <f t="shared" si="7"/>
        <v>C_WNCAPEX_PR19CA004</v>
      </c>
      <c r="C371" s="12" t="str">
        <f t="shared" si="8"/>
        <v>SWBC_WNCAPEX_PR19CA004</v>
      </c>
      <c r="D371" s="12" t="s">
        <v>253</v>
      </c>
      <c r="E371" s="12" t="s">
        <v>246</v>
      </c>
      <c r="F371" s="12" t="s">
        <v>2</v>
      </c>
      <c r="G371" s="12" t="s">
        <v>59</v>
      </c>
      <c r="H371" s="155">
        <f>_xlfn.IFNA(INDEX('Financial model inputs'!$A$3:$AJ$89,MATCH(F_interface!$A371&amp;RIGHT(F_interface!H$2,2),'Financial model inputs'!$A$3:$A$89,0),MATCH(F_interface!$D371,'Financial model inputs'!$A$3:$AJ$3,0)),0)</f>
        <v>65.605744212017058</v>
      </c>
      <c r="I371" s="155">
        <f>_xlfn.IFNA(INDEX('Financial model inputs'!$A$3:$AJ$89,MATCH(F_interface!$A371&amp;RIGHT(F_interface!I$2,2),'Financial model inputs'!$A$3:$A$89,0),MATCH(F_interface!$D371,'Financial model inputs'!$A$3:$AJ$3,0)),0)</f>
        <v>70.976556390894018</v>
      </c>
      <c r="J371" s="155">
        <f>_xlfn.IFNA(INDEX('Financial model inputs'!$A$3:$AJ$89,MATCH(F_interface!$A371&amp;RIGHT(F_interface!J$2,2),'Financial model inputs'!$A$3:$A$89,0),MATCH(F_interface!$D371,'Financial model inputs'!$A$3:$AJ$3,0)),0)</f>
        <v>74.837260595309601</v>
      </c>
      <c r="K371" s="155">
        <f>_xlfn.IFNA(INDEX('Financial model inputs'!$A$3:$AJ$89,MATCH(F_interface!$A371&amp;RIGHT(F_interface!K$2,2),'Financial model inputs'!$A$3:$A$89,0),MATCH(F_interface!$D371,'Financial model inputs'!$A$3:$AJ$3,0)),0)</f>
        <v>72.954218985658486</v>
      </c>
      <c r="L371" s="155">
        <f>_xlfn.IFNA(INDEX('Financial model inputs'!$A$3:$AJ$89,MATCH(F_interface!$A371&amp;RIGHT(F_interface!L$2,2),'Financial model inputs'!$A$3:$A$89,0),MATCH(F_interface!$D371,'Financial model inputs'!$A$3:$AJ$3,0)),0)</f>
        <v>73.761401940510311</v>
      </c>
    </row>
    <row r="372" spans="1:12" x14ac:dyDescent="0.25">
      <c r="A372" s="13" t="s">
        <v>9</v>
      </c>
      <c r="B372" s="4" t="str">
        <f t="shared" si="7"/>
        <v>C_WNCAPEX_PR19CA004</v>
      </c>
      <c r="C372" s="12" t="str">
        <f t="shared" si="8"/>
        <v>TMSC_WNCAPEX_PR19CA004</v>
      </c>
      <c r="D372" s="12" t="s">
        <v>253</v>
      </c>
      <c r="E372" s="12" t="s">
        <v>246</v>
      </c>
      <c r="F372" s="12" t="s">
        <v>2</v>
      </c>
      <c r="G372" s="12" t="s">
        <v>59</v>
      </c>
      <c r="H372" s="155">
        <f>_xlfn.IFNA(INDEX('Financial model inputs'!$A$3:$AJ$89,MATCH(F_interface!$A372&amp;RIGHT(F_interface!H$2,2),'Financial model inputs'!$A$3:$A$89,0),MATCH(F_interface!$D372,'Financial model inputs'!$A$3:$AJ$3,0)),0)</f>
        <v>405.43665220088832</v>
      </c>
      <c r="I372" s="155">
        <f>_xlfn.IFNA(INDEX('Financial model inputs'!$A$3:$AJ$89,MATCH(F_interface!$A372&amp;RIGHT(F_interface!I$2,2),'Financial model inputs'!$A$3:$A$89,0),MATCH(F_interface!$D372,'Financial model inputs'!$A$3:$AJ$3,0)),0)</f>
        <v>417.55557086539113</v>
      </c>
      <c r="J372" s="155">
        <f>_xlfn.IFNA(INDEX('Financial model inputs'!$A$3:$AJ$89,MATCH(F_interface!$A372&amp;RIGHT(F_interface!J$2,2),'Financial model inputs'!$A$3:$A$89,0),MATCH(F_interface!$D372,'Financial model inputs'!$A$3:$AJ$3,0)),0)</f>
        <v>396.90572900773287</v>
      </c>
      <c r="K372" s="155">
        <f>_xlfn.IFNA(INDEX('Financial model inputs'!$A$3:$AJ$89,MATCH(F_interface!$A372&amp;RIGHT(F_interface!K$2,2),'Financial model inputs'!$A$3:$A$89,0),MATCH(F_interface!$D372,'Financial model inputs'!$A$3:$AJ$3,0)),0)</f>
        <v>391.02556298595795</v>
      </c>
      <c r="L372" s="155">
        <f>_xlfn.IFNA(INDEX('Financial model inputs'!$A$3:$AJ$89,MATCH(F_interface!$A372&amp;RIGHT(F_interface!L$2,2),'Financial model inputs'!$A$3:$A$89,0),MATCH(F_interface!$D372,'Financial model inputs'!$A$3:$AJ$3,0)),0)</f>
        <v>380.47536855842702</v>
      </c>
    </row>
    <row r="373" spans="1:12" x14ac:dyDescent="0.25">
      <c r="A373" s="13" t="s">
        <v>23</v>
      </c>
      <c r="B373" s="4" t="str">
        <f t="shared" si="7"/>
        <v>C_WNCAPEX_PR19CA004</v>
      </c>
      <c r="C373" s="12" t="str">
        <f t="shared" si="8"/>
        <v>WSHC_WNCAPEX_PR19CA004</v>
      </c>
      <c r="D373" s="12" t="s">
        <v>253</v>
      </c>
      <c r="E373" s="12" t="s">
        <v>246</v>
      </c>
      <c r="F373" s="12" t="s">
        <v>2</v>
      </c>
      <c r="G373" s="12" t="s">
        <v>59</v>
      </c>
      <c r="H373" s="155">
        <f>_xlfn.IFNA(INDEX('Financial model inputs'!$A$3:$AJ$89,MATCH(F_interface!$A373&amp;RIGHT(F_interface!H$2,2),'Financial model inputs'!$A$3:$A$89,0),MATCH(F_interface!$D373,'Financial model inputs'!$A$3:$AJ$3,0)),0)</f>
        <v>94.1053722648807</v>
      </c>
      <c r="I373" s="155">
        <f>_xlfn.IFNA(INDEX('Financial model inputs'!$A$3:$AJ$89,MATCH(F_interface!$A373&amp;RIGHT(F_interface!I$2,2),'Financial model inputs'!$A$3:$A$89,0),MATCH(F_interface!$D373,'Financial model inputs'!$A$3:$AJ$3,0)),0)</f>
        <v>93.326271362865938</v>
      </c>
      <c r="J373" s="155">
        <f>_xlfn.IFNA(INDEX('Financial model inputs'!$A$3:$AJ$89,MATCH(F_interface!$A373&amp;RIGHT(F_interface!J$2,2),'Financial model inputs'!$A$3:$A$89,0),MATCH(F_interface!$D373,'Financial model inputs'!$A$3:$AJ$3,0)),0)</f>
        <v>90.860352175956464</v>
      </c>
      <c r="K373" s="155">
        <f>_xlfn.IFNA(INDEX('Financial model inputs'!$A$3:$AJ$89,MATCH(F_interface!$A373&amp;RIGHT(F_interface!K$2,2),'Financial model inputs'!$A$3:$A$89,0),MATCH(F_interface!$D373,'Financial model inputs'!$A$3:$AJ$3,0)),0)</f>
        <v>90.417408632698638</v>
      </c>
      <c r="L373" s="155">
        <f>_xlfn.IFNA(INDEX('Financial model inputs'!$A$3:$AJ$89,MATCH(F_interface!$A373&amp;RIGHT(F_interface!L$2,2),'Financial model inputs'!$A$3:$A$89,0),MATCH(F_interface!$D373,'Financial model inputs'!$A$3:$AJ$3,0)),0)</f>
        <v>87.761625199648023</v>
      </c>
    </row>
    <row r="374" spans="1:12" x14ac:dyDescent="0.25">
      <c r="A374" s="13" t="s">
        <v>10</v>
      </c>
      <c r="B374" s="4" t="str">
        <f t="shared" si="7"/>
        <v>C_WNCAPEX_PR19CA004</v>
      </c>
      <c r="C374" s="12" t="str">
        <f t="shared" si="8"/>
        <v>WSXC_WNCAPEX_PR19CA004</v>
      </c>
      <c r="D374" s="12" t="s">
        <v>253</v>
      </c>
      <c r="E374" s="12" t="s">
        <v>246</v>
      </c>
      <c r="F374" s="12" t="s">
        <v>2</v>
      </c>
      <c r="G374" s="12" t="s">
        <v>59</v>
      </c>
      <c r="H374" s="155">
        <f>_xlfn.IFNA(INDEX('Financial model inputs'!$A$3:$AJ$89,MATCH(F_interface!$A374&amp;RIGHT(F_interface!H$2,2),'Financial model inputs'!$A$3:$A$89,0),MATCH(F_interface!$D374,'Financial model inputs'!$A$3:$AJ$3,0)),0)</f>
        <v>38.894626400925311</v>
      </c>
      <c r="I374" s="155">
        <f>_xlfn.IFNA(INDEX('Financial model inputs'!$A$3:$AJ$89,MATCH(F_interface!$A374&amp;RIGHT(F_interface!I$2,2),'Financial model inputs'!$A$3:$A$89,0),MATCH(F_interface!$D374,'Financial model inputs'!$A$3:$AJ$3,0)),0)</f>
        <v>35.72706229311747</v>
      </c>
      <c r="J374" s="155">
        <f>_xlfn.IFNA(INDEX('Financial model inputs'!$A$3:$AJ$89,MATCH(F_interface!$A374&amp;RIGHT(F_interface!J$2,2),'Financial model inputs'!$A$3:$A$89,0),MATCH(F_interface!$D374,'Financial model inputs'!$A$3:$AJ$3,0)),0)</f>
        <v>46.759467753828275</v>
      </c>
      <c r="K374" s="155">
        <f>_xlfn.IFNA(INDEX('Financial model inputs'!$A$3:$AJ$89,MATCH(F_interface!$A374&amp;RIGHT(F_interface!K$2,2),'Financial model inputs'!$A$3:$A$89,0),MATCH(F_interface!$D374,'Financial model inputs'!$A$3:$AJ$3,0)),0)</f>
        <v>37.452986889465919</v>
      </c>
      <c r="L374" s="155">
        <f>_xlfn.IFNA(INDEX('Financial model inputs'!$A$3:$AJ$89,MATCH(F_interface!$A374&amp;RIGHT(F_interface!L$2,2),'Financial model inputs'!$A$3:$A$89,0),MATCH(F_interface!$D374,'Financial model inputs'!$A$3:$AJ$3,0)),0)</f>
        <v>33.600622497583856</v>
      </c>
    </row>
    <row r="375" spans="1:12" x14ac:dyDescent="0.25">
      <c r="A375" s="13" t="s">
        <v>11</v>
      </c>
      <c r="B375" s="4" t="str">
        <f t="shared" si="7"/>
        <v>C_WNCAPEX_PR19CA004</v>
      </c>
      <c r="C375" s="12" t="str">
        <f t="shared" si="8"/>
        <v>YKYC_WNCAPEX_PR19CA004</v>
      </c>
      <c r="D375" s="12" t="s">
        <v>253</v>
      </c>
      <c r="E375" s="12" t="s">
        <v>246</v>
      </c>
      <c r="F375" s="12" t="s">
        <v>2</v>
      </c>
      <c r="G375" s="12" t="s">
        <v>59</v>
      </c>
      <c r="H375" s="155">
        <f>_xlfn.IFNA(INDEX('Financial model inputs'!$A$3:$AJ$89,MATCH(F_interface!$A375&amp;RIGHT(F_interface!H$2,2),'Financial model inputs'!$A$3:$A$89,0),MATCH(F_interface!$D375,'Financial model inputs'!$A$3:$AJ$3,0)),0)</f>
        <v>107.78612496524715</v>
      </c>
      <c r="I375" s="155">
        <f>_xlfn.IFNA(INDEX('Financial model inputs'!$A$3:$AJ$89,MATCH(F_interface!$A375&amp;RIGHT(F_interface!I$2,2),'Financial model inputs'!$A$3:$A$89,0),MATCH(F_interface!$D375,'Financial model inputs'!$A$3:$AJ$3,0)),0)</f>
        <v>111.95785206671457</v>
      </c>
      <c r="J375" s="155">
        <f>_xlfn.IFNA(INDEX('Financial model inputs'!$A$3:$AJ$89,MATCH(F_interface!$A375&amp;RIGHT(F_interface!J$2,2),'Financial model inputs'!$A$3:$A$89,0),MATCH(F_interface!$D375,'Financial model inputs'!$A$3:$AJ$3,0)),0)</f>
        <v>116.56823247151138</v>
      </c>
      <c r="K375" s="155">
        <f>_xlfn.IFNA(INDEX('Financial model inputs'!$A$3:$AJ$89,MATCH(F_interface!$A375&amp;RIGHT(F_interface!K$2,2),'Financial model inputs'!$A$3:$A$89,0),MATCH(F_interface!$D375,'Financial model inputs'!$A$3:$AJ$3,0)),0)</f>
        <v>114.22565380971362</v>
      </c>
      <c r="L375" s="155">
        <f>_xlfn.IFNA(INDEX('Financial model inputs'!$A$3:$AJ$89,MATCH(F_interface!$A375&amp;RIGHT(F_interface!L$2,2),'Financial model inputs'!$A$3:$A$89,0),MATCH(F_interface!$D375,'Financial model inputs'!$A$3:$AJ$3,0)),0)</f>
        <v>103.3931420574871</v>
      </c>
    </row>
    <row r="376" spans="1:12" x14ac:dyDescent="0.25">
      <c r="A376" s="13" t="s">
        <v>12</v>
      </c>
      <c r="B376" s="4" t="str">
        <f t="shared" si="7"/>
        <v>C_WNCAPEX_PR19CA004</v>
      </c>
      <c r="C376" s="12" t="str">
        <f t="shared" si="8"/>
        <v>AFWC_WNCAPEX_PR19CA004</v>
      </c>
      <c r="D376" s="12" t="s">
        <v>253</v>
      </c>
      <c r="E376" s="12" t="s">
        <v>246</v>
      </c>
      <c r="F376" s="12" t="s">
        <v>2</v>
      </c>
      <c r="G376" s="12" t="s">
        <v>59</v>
      </c>
      <c r="H376" s="155">
        <f>_xlfn.IFNA(INDEX('Financial model inputs'!$A$3:$AJ$89,MATCH(F_interface!$A376&amp;RIGHT(F_interface!H$2,2),'Financial model inputs'!$A$3:$A$89,0),MATCH(F_interface!$D376,'Financial model inputs'!$A$3:$AJ$3,0)),0)</f>
        <v>93.29489542020498</v>
      </c>
      <c r="I376" s="155">
        <f>_xlfn.IFNA(INDEX('Financial model inputs'!$A$3:$AJ$89,MATCH(F_interface!$A376&amp;RIGHT(F_interface!I$2,2),'Financial model inputs'!$A$3:$A$89,0),MATCH(F_interface!$D376,'Financial model inputs'!$A$3:$AJ$3,0)),0)</f>
        <v>87.32914318360119</v>
      </c>
      <c r="J376" s="155">
        <f>_xlfn.IFNA(INDEX('Financial model inputs'!$A$3:$AJ$89,MATCH(F_interface!$A376&amp;RIGHT(F_interface!J$2,2),'Financial model inputs'!$A$3:$A$89,0),MATCH(F_interface!$D376,'Financial model inputs'!$A$3:$AJ$3,0)),0)</f>
        <v>89.253111310705876</v>
      </c>
      <c r="K376" s="155">
        <f>_xlfn.IFNA(INDEX('Financial model inputs'!$A$3:$AJ$89,MATCH(F_interface!$A376&amp;RIGHT(F_interface!K$2,2),'Financial model inputs'!$A$3:$A$89,0),MATCH(F_interface!$D376,'Financial model inputs'!$A$3:$AJ$3,0)),0)</f>
        <v>77.02042693346479</v>
      </c>
      <c r="L376" s="155">
        <f>_xlfn.IFNA(INDEX('Financial model inputs'!$A$3:$AJ$89,MATCH(F_interface!$A376&amp;RIGHT(F_interface!L$2,2),'Financial model inputs'!$A$3:$A$89,0),MATCH(F_interface!$D376,'Financial model inputs'!$A$3:$AJ$3,0)),0)</f>
        <v>76.151291316782292</v>
      </c>
    </row>
    <row r="377" spans="1:12" x14ac:dyDescent="0.25">
      <c r="A377" s="13" t="s">
        <v>13</v>
      </c>
      <c r="B377" s="4" t="str">
        <f t="shared" si="7"/>
        <v>C_WNCAPEX_PR19CA004</v>
      </c>
      <c r="C377" s="12" t="str">
        <f t="shared" si="8"/>
        <v>BRLC_WNCAPEX_PR19CA004</v>
      </c>
      <c r="D377" s="12" t="s">
        <v>253</v>
      </c>
      <c r="E377" s="12" t="s">
        <v>246</v>
      </c>
      <c r="F377" s="12" t="s">
        <v>2</v>
      </c>
      <c r="G377" s="12" t="s">
        <v>59</v>
      </c>
      <c r="H377" s="155">
        <f>_xlfn.IFNA(INDEX('Financial model inputs'!$A$3:$AJ$89,MATCH(F_interface!$A377&amp;RIGHT(F_interface!H$2,2),'Financial model inputs'!$A$3:$A$89,0),MATCH(F_interface!$D377,'Financial model inputs'!$A$3:$AJ$3,0)),0)</f>
        <v>25.375163738763934</v>
      </c>
      <c r="I377" s="155">
        <f>_xlfn.IFNA(INDEX('Financial model inputs'!$A$3:$AJ$89,MATCH(F_interface!$A377&amp;RIGHT(F_interface!I$2,2),'Financial model inputs'!$A$3:$A$89,0),MATCH(F_interface!$D377,'Financial model inputs'!$A$3:$AJ$3,0)),0)</f>
        <v>25.653934958504749</v>
      </c>
      <c r="J377" s="155">
        <f>_xlfn.IFNA(INDEX('Financial model inputs'!$A$3:$AJ$89,MATCH(F_interface!$A377&amp;RIGHT(F_interface!J$2,2),'Financial model inputs'!$A$3:$A$89,0),MATCH(F_interface!$D377,'Financial model inputs'!$A$3:$AJ$3,0)),0)</f>
        <v>23.587460253514337</v>
      </c>
      <c r="K377" s="155">
        <f>_xlfn.IFNA(INDEX('Financial model inputs'!$A$3:$AJ$89,MATCH(F_interface!$A377&amp;RIGHT(F_interface!K$2,2),'Financial model inputs'!$A$3:$A$89,0),MATCH(F_interface!$D377,'Financial model inputs'!$A$3:$AJ$3,0)),0)</f>
        <v>25.736043689148818</v>
      </c>
      <c r="L377" s="155">
        <f>_xlfn.IFNA(INDEX('Financial model inputs'!$A$3:$AJ$89,MATCH(F_interface!$A377&amp;RIGHT(F_interface!L$2,2),'Financial model inputs'!$A$3:$A$89,0),MATCH(F_interface!$D377,'Financial model inputs'!$A$3:$AJ$3,0)),0)</f>
        <v>25.884757033251717</v>
      </c>
    </row>
    <row r="378" spans="1:12" x14ac:dyDescent="0.25">
      <c r="A378" s="13" t="s">
        <v>14</v>
      </c>
      <c r="B378" s="4" t="str">
        <f t="shared" si="7"/>
        <v>C_WNCAPEX_PR19CA004</v>
      </c>
      <c r="C378" s="12" t="str">
        <f t="shared" si="8"/>
        <v>DVWC_WNCAPEX_PR19CA004</v>
      </c>
      <c r="D378" s="12" t="s">
        <v>253</v>
      </c>
      <c r="E378" s="12" t="s">
        <v>246</v>
      </c>
      <c r="F378" s="12" t="s">
        <v>2</v>
      </c>
      <c r="G378" s="12" t="s">
        <v>59</v>
      </c>
      <c r="H378" s="155">
        <f>_xlfn.IFNA(INDEX('Financial model inputs'!$A$3:$AJ$89,MATCH(F_interface!$A378&amp;RIGHT(F_interface!H$2,2),'Financial model inputs'!$A$3:$A$89,0),MATCH(F_interface!$D378,'Financial model inputs'!$A$3:$AJ$3,0)),0)</f>
        <v>0</v>
      </c>
      <c r="I378" s="155">
        <f>_xlfn.IFNA(INDEX('Financial model inputs'!$A$3:$AJ$89,MATCH(F_interface!$A378&amp;RIGHT(F_interface!I$2,2),'Financial model inputs'!$A$3:$A$89,0),MATCH(F_interface!$D378,'Financial model inputs'!$A$3:$AJ$3,0)),0)</f>
        <v>0</v>
      </c>
      <c r="J378" s="155">
        <f>_xlfn.IFNA(INDEX('Financial model inputs'!$A$3:$AJ$89,MATCH(F_interface!$A378&amp;RIGHT(F_interface!J$2,2),'Financial model inputs'!$A$3:$A$89,0),MATCH(F_interface!$D378,'Financial model inputs'!$A$3:$AJ$3,0)),0)</f>
        <v>0</v>
      </c>
      <c r="K378" s="155">
        <f>_xlfn.IFNA(INDEX('Financial model inputs'!$A$3:$AJ$89,MATCH(F_interface!$A378&amp;RIGHT(F_interface!K$2,2),'Financial model inputs'!$A$3:$A$89,0),MATCH(F_interface!$D378,'Financial model inputs'!$A$3:$AJ$3,0)),0)</f>
        <v>0</v>
      </c>
      <c r="L378" s="155">
        <f>_xlfn.IFNA(INDEX('Financial model inputs'!$A$3:$AJ$89,MATCH(F_interface!$A378&amp;RIGHT(F_interface!L$2,2),'Financial model inputs'!$A$3:$A$89,0),MATCH(F_interface!$D378,'Financial model inputs'!$A$3:$AJ$3,0)),0)</f>
        <v>0</v>
      </c>
    </row>
    <row r="379" spans="1:12" x14ac:dyDescent="0.25">
      <c r="A379" s="13" t="s">
        <v>15</v>
      </c>
      <c r="B379" s="4" t="str">
        <f t="shared" si="7"/>
        <v>C_WNCAPEX_PR19CA004</v>
      </c>
      <c r="C379" s="12" t="str">
        <f t="shared" si="8"/>
        <v>PRTC_WNCAPEX_PR19CA004</v>
      </c>
      <c r="D379" s="12" t="s">
        <v>253</v>
      </c>
      <c r="E379" s="12" t="s">
        <v>246</v>
      </c>
      <c r="F379" s="12" t="s">
        <v>2</v>
      </c>
      <c r="G379" s="12" t="s">
        <v>59</v>
      </c>
      <c r="H379" s="155">
        <f>_xlfn.IFNA(INDEX('Financial model inputs'!$A$3:$AJ$89,MATCH(F_interface!$A379&amp;RIGHT(F_interface!H$2,2),'Financial model inputs'!$A$3:$A$89,0),MATCH(F_interface!$D379,'Financial model inputs'!$A$3:$AJ$3,0)),0)</f>
        <v>7.1175869122373179</v>
      </c>
      <c r="I379" s="155">
        <f>_xlfn.IFNA(INDEX('Financial model inputs'!$A$3:$AJ$89,MATCH(F_interface!$A379&amp;RIGHT(F_interface!I$2,2),'Financial model inputs'!$A$3:$A$89,0),MATCH(F_interface!$D379,'Financial model inputs'!$A$3:$AJ$3,0)),0)</f>
        <v>8.8444388020920623</v>
      </c>
      <c r="J379" s="155">
        <f>_xlfn.IFNA(INDEX('Financial model inputs'!$A$3:$AJ$89,MATCH(F_interface!$A379&amp;RIGHT(F_interface!J$2,2),'Financial model inputs'!$A$3:$A$89,0),MATCH(F_interface!$D379,'Financial model inputs'!$A$3:$AJ$3,0)),0)</f>
        <v>9.9740433630895797</v>
      </c>
      <c r="K379" s="155">
        <f>_xlfn.IFNA(INDEX('Financial model inputs'!$A$3:$AJ$89,MATCH(F_interface!$A379&amp;RIGHT(F_interface!K$2,2),'Financial model inputs'!$A$3:$A$89,0),MATCH(F_interface!$D379,'Financial model inputs'!$A$3:$AJ$3,0)),0)</f>
        <v>7.6629137485784078</v>
      </c>
      <c r="L379" s="155">
        <f>_xlfn.IFNA(INDEX('Financial model inputs'!$A$3:$AJ$89,MATCH(F_interface!$A379&amp;RIGHT(F_interface!L$2,2),'Financial model inputs'!$A$3:$A$89,0),MATCH(F_interface!$D379,'Financial model inputs'!$A$3:$AJ$3,0)),0)</f>
        <v>8.5534948198318865</v>
      </c>
    </row>
    <row r="380" spans="1:12" x14ac:dyDescent="0.25">
      <c r="A380" s="13" t="s">
        <v>16</v>
      </c>
      <c r="B380" s="4" t="str">
        <f t="shared" si="7"/>
        <v>C_WNCAPEX_PR19CA004</v>
      </c>
      <c r="C380" s="12" t="str">
        <f t="shared" si="8"/>
        <v>SESC_WNCAPEX_PR19CA004</v>
      </c>
      <c r="D380" s="12" t="s">
        <v>253</v>
      </c>
      <c r="E380" s="12" t="s">
        <v>246</v>
      </c>
      <c r="F380" s="12" t="s">
        <v>2</v>
      </c>
      <c r="G380" s="12" t="s">
        <v>59</v>
      </c>
      <c r="H380" s="155">
        <f>_xlfn.IFNA(INDEX('Financial model inputs'!$A$3:$AJ$89,MATCH(F_interface!$A380&amp;RIGHT(F_interface!H$2,2),'Financial model inputs'!$A$3:$A$89,0),MATCH(F_interface!$D380,'Financial model inputs'!$A$3:$AJ$3,0)),0)</f>
        <v>17.83674755455386</v>
      </c>
      <c r="I380" s="155">
        <f>_xlfn.IFNA(INDEX('Financial model inputs'!$A$3:$AJ$89,MATCH(F_interface!$A380&amp;RIGHT(F_interface!I$2,2),'Financial model inputs'!$A$3:$A$89,0),MATCH(F_interface!$D380,'Financial model inputs'!$A$3:$AJ$3,0)),0)</f>
        <v>19.008176913122071</v>
      </c>
      <c r="J380" s="155">
        <f>_xlfn.IFNA(INDEX('Financial model inputs'!$A$3:$AJ$89,MATCH(F_interface!$A380&amp;RIGHT(F_interface!J$2,2),'Financial model inputs'!$A$3:$A$89,0),MATCH(F_interface!$D380,'Financial model inputs'!$A$3:$AJ$3,0)),0)</f>
        <v>18.338327709474196</v>
      </c>
      <c r="K380" s="155">
        <f>_xlfn.IFNA(INDEX('Financial model inputs'!$A$3:$AJ$89,MATCH(F_interface!$A380&amp;RIGHT(F_interface!K$2,2),'Financial model inputs'!$A$3:$A$89,0),MATCH(F_interface!$D380,'Financial model inputs'!$A$3:$AJ$3,0)),0)</f>
        <v>16.425826644681806</v>
      </c>
      <c r="L380" s="155">
        <f>_xlfn.IFNA(INDEX('Financial model inputs'!$A$3:$AJ$89,MATCH(F_interface!$A380&amp;RIGHT(F_interface!L$2,2),'Financial model inputs'!$A$3:$A$89,0),MATCH(F_interface!$D380,'Financial model inputs'!$A$3:$AJ$3,0)),0)</f>
        <v>16.339034734376327</v>
      </c>
    </row>
    <row r="381" spans="1:12" x14ac:dyDescent="0.25">
      <c r="A381" s="13" t="s">
        <v>17</v>
      </c>
      <c r="B381" s="4" t="str">
        <f t="shared" si="7"/>
        <v>C_WNCAPEX_PR19CA004</v>
      </c>
      <c r="C381" s="12" t="str">
        <f t="shared" si="8"/>
        <v>SEWC_WNCAPEX_PR19CA004</v>
      </c>
      <c r="D381" s="12" t="s">
        <v>253</v>
      </c>
      <c r="E381" s="12" t="s">
        <v>246</v>
      </c>
      <c r="F381" s="12" t="s">
        <v>2</v>
      </c>
      <c r="G381" s="12" t="s">
        <v>59</v>
      </c>
      <c r="H381" s="155">
        <f>_xlfn.IFNA(INDEX('Financial model inputs'!$A$3:$AJ$89,MATCH(F_interface!$A381&amp;RIGHT(F_interface!H$2,2),'Financial model inputs'!$A$3:$A$89,0),MATCH(F_interface!$D381,'Financial model inputs'!$A$3:$AJ$3,0)),0)</f>
        <v>69.700564003826486</v>
      </c>
      <c r="I381" s="155">
        <f>_xlfn.IFNA(INDEX('Financial model inputs'!$A$3:$AJ$89,MATCH(F_interface!$A381&amp;RIGHT(F_interface!I$2,2),'Financial model inputs'!$A$3:$A$89,0),MATCH(F_interface!$D381,'Financial model inputs'!$A$3:$AJ$3,0)),0)</f>
        <v>68.566371319652688</v>
      </c>
      <c r="J381" s="155">
        <f>_xlfn.IFNA(INDEX('Financial model inputs'!$A$3:$AJ$89,MATCH(F_interface!$A381&amp;RIGHT(F_interface!J$2,2),'Financial model inputs'!$A$3:$A$89,0),MATCH(F_interface!$D381,'Financial model inputs'!$A$3:$AJ$3,0)),0)</f>
        <v>67.733971018939584</v>
      </c>
      <c r="K381" s="155">
        <f>_xlfn.IFNA(INDEX('Financial model inputs'!$A$3:$AJ$89,MATCH(F_interface!$A381&amp;RIGHT(F_interface!K$2,2),'Financial model inputs'!$A$3:$A$89,0),MATCH(F_interface!$D381,'Financial model inputs'!$A$3:$AJ$3,0)),0)</f>
        <v>66.232833180364253</v>
      </c>
      <c r="L381" s="155">
        <f>_xlfn.IFNA(INDEX('Financial model inputs'!$A$3:$AJ$89,MATCH(F_interface!$A381&amp;RIGHT(F_interface!L$2,2),'Financial model inputs'!$A$3:$A$89,0),MATCH(F_interface!$D381,'Financial model inputs'!$A$3:$AJ$3,0)),0)</f>
        <v>64.57280999909554</v>
      </c>
    </row>
    <row r="382" spans="1:12" x14ac:dyDescent="0.25">
      <c r="A382" s="13" t="s">
        <v>18</v>
      </c>
      <c r="B382" s="4" t="str">
        <f t="shared" si="7"/>
        <v>C_WNCAPEX_PR19CA004</v>
      </c>
      <c r="C382" s="12" t="str">
        <f t="shared" si="8"/>
        <v>SSCC_WNCAPEX_PR19CA004</v>
      </c>
      <c r="D382" s="12" t="s">
        <v>253</v>
      </c>
      <c r="E382" s="12" t="s">
        <v>246</v>
      </c>
      <c r="F382" s="12" t="s">
        <v>2</v>
      </c>
      <c r="G382" s="12" t="s">
        <v>59</v>
      </c>
      <c r="H382" s="155">
        <f>_xlfn.IFNA(INDEX('Financial model inputs'!$A$3:$AJ$89,MATCH(F_interface!$A382&amp;RIGHT(F_interface!H$2,2),'Financial model inputs'!$A$3:$A$89,0),MATCH(F_interface!$D382,'Financial model inputs'!$A$3:$AJ$3,0)),0)</f>
        <v>31.423379740316314</v>
      </c>
      <c r="I382" s="155">
        <f>_xlfn.IFNA(INDEX('Financial model inputs'!$A$3:$AJ$89,MATCH(F_interface!$A382&amp;RIGHT(F_interface!I$2,2),'Financial model inputs'!$A$3:$A$89,0),MATCH(F_interface!$D382,'Financial model inputs'!$A$3:$AJ$3,0)),0)</f>
        <v>34.61397661805897</v>
      </c>
      <c r="J382" s="155">
        <f>_xlfn.IFNA(INDEX('Financial model inputs'!$A$3:$AJ$89,MATCH(F_interface!$A382&amp;RIGHT(F_interface!J$2,2),'Financial model inputs'!$A$3:$A$89,0),MATCH(F_interface!$D382,'Financial model inputs'!$A$3:$AJ$3,0)),0)</f>
        <v>35.962742707663381</v>
      </c>
      <c r="K382" s="155">
        <f>_xlfn.IFNA(INDEX('Financial model inputs'!$A$3:$AJ$89,MATCH(F_interface!$A382&amp;RIGHT(F_interface!K$2,2),'Financial model inputs'!$A$3:$A$89,0),MATCH(F_interface!$D382,'Financial model inputs'!$A$3:$AJ$3,0)),0)</f>
        <v>34.860783063338076</v>
      </c>
      <c r="L382" s="155">
        <f>_xlfn.IFNA(INDEX('Financial model inputs'!$A$3:$AJ$89,MATCH(F_interface!$A382&amp;RIGHT(F_interface!L$2,2),'Financial model inputs'!$A$3:$A$89,0),MATCH(F_interface!$D382,'Financial model inputs'!$A$3:$AJ$3,0)),0)</f>
        <v>33.230637311481821</v>
      </c>
    </row>
    <row r="383" spans="1:12" x14ac:dyDescent="0.25">
      <c r="A383" s="13" t="s">
        <v>4</v>
      </c>
      <c r="B383" s="4" t="str">
        <f t="shared" si="7"/>
        <v>C_WNTOTEXFM_PR19CA004</v>
      </c>
      <c r="C383" s="12" t="str">
        <f t="shared" si="8"/>
        <v>ANHC_WNTOTEXFM_PR19CA004</v>
      </c>
      <c r="D383" s="12" t="s">
        <v>254</v>
      </c>
      <c r="E383" s="12" t="s">
        <v>251</v>
      </c>
      <c r="F383" s="12" t="s">
        <v>2</v>
      </c>
      <c r="G383" s="12" t="s">
        <v>59</v>
      </c>
      <c r="H383" s="155">
        <f>_xlfn.IFNA(INDEX('Financial model inputs'!$A$3:$AJ$89,MATCH(F_interface!$A383&amp;RIGHT(F_interface!H$2,2),'Financial model inputs'!$A$3:$A$89,0),MATCH(F_interface!$D383,'Financial model inputs'!$A$3:$AJ$3,0)),0)</f>
        <v>381.28409454017816</v>
      </c>
      <c r="I383" s="155">
        <f>_xlfn.IFNA(INDEX('Financial model inputs'!$A$3:$AJ$89,MATCH(F_interface!$A383&amp;RIGHT(F_interface!I$2,2),'Financial model inputs'!$A$3:$A$89,0),MATCH(F_interface!$D383,'Financial model inputs'!$A$3:$AJ$3,0)),0)</f>
        <v>381.28409454017816</v>
      </c>
      <c r="J383" s="155">
        <f>_xlfn.IFNA(INDEX('Financial model inputs'!$A$3:$AJ$89,MATCH(F_interface!$A383&amp;RIGHT(F_interface!J$2,2),'Financial model inputs'!$A$3:$A$89,0),MATCH(F_interface!$D383,'Financial model inputs'!$A$3:$AJ$3,0)),0)</f>
        <v>381.28409454017816</v>
      </c>
      <c r="K383" s="155">
        <f>_xlfn.IFNA(INDEX('Financial model inputs'!$A$3:$AJ$89,MATCH(F_interface!$A383&amp;RIGHT(F_interface!K$2,2),'Financial model inputs'!$A$3:$A$89,0),MATCH(F_interface!$D383,'Financial model inputs'!$A$3:$AJ$3,0)),0)</f>
        <v>381.28409454017816</v>
      </c>
      <c r="L383" s="155">
        <f>_xlfn.IFNA(INDEX('Financial model inputs'!$A$3:$AJ$89,MATCH(F_interface!$A383&amp;RIGHT(F_interface!L$2,2),'Financial model inputs'!$A$3:$A$89,0),MATCH(F_interface!$D383,'Financial model inputs'!$A$3:$AJ$3,0)),0)</f>
        <v>381.28409454017816</v>
      </c>
    </row>
    <row r="384" spans="1:12" x14ac:dyDescent="0.25">
      <c r="A384" s="13" t="s">
        <v>90</v>
      </c>
      <c r="B384" s="4" t="str">
        <f t="shared" si="7"/>
        <v>C_WNTOTEXFM_PR19CA004</v>
      </c>
      <c r="C384" s="12" t="str">
        <f t="shared" si="8"/>
        <v>HDDC_WNTOTEXFM_PR19CA004</v>
      </c>
      <c r="D384" s="12" t="s">
        <v>254</v>
      </c>
      <c r="E384" s="12" t="s">
        <v>251</v>
      </c>
      <c r="F384" s="12" t="s">
        <v>2</v>
      </c>
      <c r="G384" s="12" t="s">
        <v>59</v>
      </c>
      <c r="H384" s="155">
        <f>_xlfn.IFNA(INDEX('Financial model inputs'!$A$3:$AJ$89,MATCH(F_interface!$A384&amp;RIGHT(F_interface!H$2,2),'Financial model inputs'!$A$3:$A$89,0),MATCH(F_interface!$D384,'Financial model inputs'!$A$3:$AJ$3,0)),0)</f>
        <v>22.537782469417529</v>
      </c>
      <c r="I384" s="155">
        <f>_xlfn.IFNA(INDEX('Financial model inputs'!$A$3:$AJ$89,MATCH(F_interface!$A384&amp;RIGHT(F_interface!I$2,2),'Financial model inputs'!$A$3:$A$89,0),MATCH(F_interface!$D384,'Financial model inputs'!$A$3:$AJ$3,0)),0)</f>
        <v>22.537782469417529</v>
      </c>
      <c r="J384" s="155">
        <f>_xlfn.IFNA(INDEX('Financial model inputs'!$A$3:$AJ$89,MATCH(F_interface!$A384&amp;RIGHT(F_interface!J$2,2),'Financial model inputs'!$A$3:$A$89,0),MATCH(F_interface!$D384,'Financial model inputs'!$A$3:$AJ$3,0)),0)</f>
        <v>22.537782469417529</v>
      </c>
      <c r="K384" s="155">
        <f>_xlfn.IFNA(INDEX('Financial model inputs'!$A$3:$AJ$89,MATCH(F_interface!$A384&amp;RIGHT(F_interface!K$2,2),'Financial model inputs'!$A$3:$A$89,0),MATCH(F_interface!$D384,'Financial model inputs'!$A$3:$AJ$3,0)),0)</f>
        <v>22.537782469417529</v>
      </c>
      <c r="L384" s="155">
        <f>_xlfn.IFNA(INDEX('Financial model inputs'!$A$3:$AJ$89,MATCH(F_interface!$A384&amp;RIGHT(F_interface!L$2,2),'Financial model inputs'!$A$3:$A$89,0),MATCH(F_interface!$D384,'Financial model inputs'!$A$3:$AJ$3,0)),0)</f>
        <v>22.537782469417529</v>
      </c>
    </row>
    <row r="385" spans="1:12" x14ac:dyDescent="0.25">
      <c r="A385" s="13" t="s">
        <v>5</v>
      </c>
      <c r="B385" s="4" t="str">
        <f t="shared" si="7"/>
        <v>C_WNTOTEXFM_PR19CA004</v>
      </c>
      <c r="C385" s="12" t="str">
        <f t="shared" si="8"/>
        <v>NESC_WNTOTEXFM_PR19CA004</v>
      </c>
      <c r="D385" s="12" t="s">
        <v>254</v>
      </c>
      <c r="E385" s="12" t="s">
        <v>251</v>
      </c>
      <c r="F385" s="12" t="s">
        <v>2</v>
      </c>
      <c r="G385" s="12" t="s">
        <v>59</v>
      </c>
      <c r="H385" s="155">
        <f>_xlfn.IFNA(INDEX('Financial model inputs'!$A$3:$AJ$89,MATCH(F_interface!$A385&amp;RIGHT(F_interface!H$2,2),'Financial model inputs'!$A$3:$A$89,0),MATCH(F_interface!$D385,'Financial model inputs'!$A$3:$AJ$3,0)),0)</f>
        <v>277.92690035793044</v>
      </c>
      <c r="I385" s="155">
        <f>_xlfn.IFNA(INDEX('Financial model inputs'!$A$3:$AJ$89,MATCH(F_interface!$A385&amp;RIGHT(F_interface!I$2,2),'Financial model inputs'!$A$3:$A$89,0),MATCH(F_interface!$D385,'Financial model inputs'!$A$3:$AJ$3,0)),0)</f>
        <v>277.92690035793044</v>
      </c>
      <c r="J385" s="155">
        <f>_xlfn.IFNA(INDEX('Financial model inputs'!$A$3:$AJ$89,MATCH(F_interface!$A385&amp;RIGHT(F_interface!J$2,2),'Financial model inputs'!$A$3:$A$89,0),MATCH(F_interface!$D385,'Financial model inputs'!$A$3:$AJ$3,0)),0)</f>
        <v>277.92690035793044</v>
      </c>
      <c r="K385" s="155">
        <f>_xlfn.IFNA(INDEX('Financial model inputs'!$A$3:$AJ$89,MATCH(F_interface!$A385&amp;RIGHT(F_interface!K$2,2),'Financial model inputs'!$A$3:$A$89,0),MATCH(F_interface!$D385,'Financial model inputs'!$A$3:$AJ$3,0)),0)</f>
        <v>277.92690035793044</v>
      </c>
      <c r="L385" s="155">
        <f>_xlfn.IFNA(INDEX('Financial model inputs'!$A$3:$AJ$89,MATCH(F_interface!$A385&amp;RIGHT(F_interface!L$2,2),'Financial model inputs'!$A$3:$A$89,0),MATCH(F_interface!$D385,'Financial model inputs'!$A$3:$AJ$3,0)),0)</f>
        <v>277.92690035793044</v>
      </c>
    </row>
    <row r="386" spans="1:12" x14ac:dyDescent="0.25">
      <c r="A386" s="13" t="s">
        <v>6</v>
      </c>
      <c r="B386" s="4" t="str">
        <f t="shared" si="7"/>
        <v>C_WNTOTEXFM_PR19CA004</v>
      </c>
      <c r="C386" s="12" t="str">
        <f t="shared" si="8"/>
        <v>NWTC_WNTOTEXFM_PR19CA004</v>
      </c>
      <c r="D386" s="12" t="s">
        <v>254</v>
      </c>
      <c r="E386" s="12" t="s">
        <v>251</v>
      </c>
      <c r="F386" s="12" t="s">
        <v>2</v>
      </c>
      <c r="G386" s="12" t="s">
        <v>59</v>
      </c>
      <c r="H386" s="155">
        <f>_xlfn.IFNA(INDEX('Financial model inputs'!$A$3:$AJ$89,MATCH(F_interface!$A386&amp;RIGHT(F_interface!H$2,2),'Financial model inputs'!$A$3:$A$89,0),MATCH(F_interface!$D386,'Financial model inputs'!$A$3:$AJ$3,0)),0)</f>
        <v>425.30395389606213</v>
      </c>
      <c r="I386" s="155">
        <f>_xlfn.IFNA(INDEX('Financial model inputs'!$A$3:$AJ$89,MATCH(F_interface!$A386&amp;RIGHT(F_interface!I$2,2),'Financial model inputs'!$A$3:$A$89,0),MATCH(F_interface!$D386,'Financial model inputs'!$A$3:$AJ$3,0)),0)</f>
        <v>425.30395389606213</v>
      </c>
      <c r="J386" s="155">
        <f>_xlfn.IFNA(INDEX('Financial model inputs'!$A$3:$AJ$89,MATCH(F_interface!$A386&amp;RIGHT(F_interface!J$2,2),'Financial model inputs'!$A$3:$A$89,0),MATCH(F_interface!$D386,'Financial model inputs'!$A$3:$AJ$3,0)),0)</f>
        <v>425.30395389606213</v>
      </c>
      <c r="K386" s="155">
        <f>_xlfn.IFNA(INDEX('Financial model inputs'!$A$3:$AJ$89,MATCH(F_interface!$A386&amp;RIGHT(F_interface!K$2,2),'Financial model inputs'!$A$3:$A$89,0),MATCH(F_interface!$D386,'Financial model inputs'!$A$3:$AJ$3,0)),0)</f>
        <v>425.30395389606213</v>
      </c>
      <c r="L386" s="155">
        <f>_xlfn.IFNA(INDEX('Financial model inputs'!$A$3:$AJ$89,MATCH(F_interface!$A386&amp;RIGHT(F_interface!L$2,2),'Financial model inputs'!$A$3:$A$89,0),MATCH(F_interface!$D386,'Financial model inputs'!$A$3:$AJ$3,0)),0)</f>
        <v>425.30395389606213</v>
      </c>
    </row>
    <row r="387" spans="1:12" x14ac:dyDescent="0.25">
      <c r="A387" s="13" t="s">
        <v>7</v>
      </c>
      <c r="B387" s="4" t="str">
        <f t="shared" si="7"/>
        <v>C_WNTOTEXFM_PR19CA004</v>
      </c>
      <c r="C387" s="12" t="str">
        <f t="shared" si="8"/>
        <v>SRNC_WNTOTEXFM_PR19CA004</v>
      </c>
      <c r="D387" s="12" t="s">
        <v>254</v>
      </c>
      <c r="E387" s="12" t="s">
        <v>251</v>
      </c>
      <c r="F387" s="12" t="s">
        <v>2</v>
      </c>
      <c r="G387" s="12" t="s">
        <v>59</v>
      </c>
      <c r="H387" s="155">
        <f>_xlfn.IFNA(INDEX('Financial model inputs'!$A$3:$AJ$89,MATCH(F_interface!$A387&amp;RIGHT(F_interface!H$2,2),'Financial model inputs'!$A$3:$A$89,0),MATCH(F_interface!$D387,'Financial model inputs'!$A$3:$AJ$3,0)),0)</f>
        <v>196.69925403929693</v>
      </c>
      <c r="I387" s="155">
        <f>_xlfn.IFNA(INDEX('Financial model inputs'!$A$3:$AJ$89,MATCH(F_interface!$A387&amp;RIGHT(F_interface!I$2,2),'Financial model inputs'!$A$3:$A$89,0),MATCH(F_interface!$D387,'Financial model inputs'!$A$3:$AJ$3,0)),0)</f>
        <v>196.69925403929693</v>
      </c>
      <c r="J387" s="155">
        <f>_xlfn.IFNA(INDEX('Financial model inputs'!$A$3:$AJ$89,MATCH(F_interface!$A387&amp;RIGHT(F_interface!J$2,2),'Financial model inputs'!$A$3:$A$89,0),MATCH(F_interface!$D387,'Financial model inputs'!$A$3:$AJ$3,0)),0)</f>
        <v>196.69925403929693</v>
      </c>
      <c r="K387" s="155">
        <f>_xlfn.IFNA(INDEX('Financial model inputs'!$A$3:$AJ$89,MATCH(F_interface!$A387&amp;RIGHT(F_interface!K$2,2),'Financial model inputs'!$A$3:$A$89,0),MATCH(F_interface!$D387,'Financial model inputs'!$A$3:$AJ$3,0)),0)</f>
        <v>196.69925403929693</v>
      </c>
      <c r="L387" s="155">
        <f>_xlfn.IFNA(INDEX('Financial model inputs'!$A$3:$AJ$89,MATCH(F_interface!$A387&amp;RIGHT(F_interface!L$2,2),'Financial model inputs'!$A$3:$A$89,0),MATCH(F_interface!$D387,'Financial model inputs'!$A$3:$AJ$3,0)),0)</f>
        <v>196.69925403929693</v>
      </c>
    </row>
    <row r="388" spans="1:12" x14ac:dyDescent="0.25">
      <c r="A388" s="13" t="s">
        <v>89</v>
      </c>
      <c r="B388" s="4" t="str">
        <f t="shared" si="7"/>
        <v>C_WNTOTEXFM_PR19CA004</v>
      </c>
      <c r="C388" s="12" t="str">
        <f t="shared" si="8"/>
        <v>SVEC_WNTOTEXFM_PR19CA004</v>
      </c>
      <c r="D388" s="12" t="s">
        <v>254</v>
      </c>
      <c r="E388" s="12" t="s">
        <v>251</v>
      </c>
      <c r="F388" s="12" t="s">
        <v>2</v>
      </c>
      <c r="G388" s="12" t="s">
        <v>59</v>
      </c>
      <c r="H388" s="155">
        <f>_xlfn.IFNA(INDEX('Financial model inputs'!$A$3:$AJ$89,MATCH(F_interface!$A388&amp;RIGHT(F_interface!H$2,2),'Financial model inputs'!$A$3:$A$89,0),MATCH(F_interface!$D388,'Financial model inputs'!$A$3:$AJ$3,0)),0)</f>
        <v>514.35161321751605</v>
      </c>
      <c r="I388" s="155">
        <f>_xlfn.IFNA(INDEX('Financial model inputs'!$A$3:$AJ$89,MATCH(F_interface!$A388&amp;RIGHT(F_interface!I$2,2),'Financial model inputs'!$A$3:$A$89,0),MATCH(F_interface!$D388,'Financial model inputs'!$A$3:$AJ$3,0)),0)</f>
        <v>514.35161321751605</v>
      </c>
      <c r="J388" s="155">
        <f>_xlfn.IFNA(INDEX('Financial model inputs'!$A$3:$AJ$89,MATCH(F_interface!$A388&amp;RIGHT(F_interface!J$2,2),'Financial model inputs'!$A$3:$A$89,0),MATCH(F_interface!$D388,'Financial model inputs'!$A$3:$AJ$3,0)),0)</f>
        <v>514.35161321751605</v>
      </c>
      <c r="K388" s="155">
        <f>_xlfn.IFNA(INDEX('Financial model inputs'!$A$3:$AJ$89,MATCH(F_interface!$A388&amp;RIGHT(F_interface!K$2,2),'Financial model inputs'!$A$3:$A$89,0),MATCH(F_interface!$D388,'Financial model inputs'!$A$3:$AJ$3,0)),0)</f>
        <v>514.35161321751605</v>
      </c>
      <c r="L388" s="155">
        <f>_xlfn.IFNA(INDEX('Financial model inputs'!$A$3:$AJ$89,MATCH(F_interface!$A388&amp;RIGHT(F_interface!L$2,2),'Financial model inputs'!$A$3:$A$89,0),MATCH(F_interface!$D388,'Financial model inputs'!$A$3:$AJ$3,0)),0)</f>
        <v>514.35161321751605</v>
      </c>
    </row>
    <row r="389" spans="1:12" x14ac:dyDescent="0.25">
      <c r="A389" s="13" t="s">
        <v>93</v>
      </c>
      <c r="B389" s="4" t="str">
        <f t="shared" si="7"/>
        <v>C_WNTOTEXFM_PR19CA004</v>
      </c>
      <c r="C389" s="12" t="str">
        <f t="shared" si="8"/>
        <v>SVHC_WNTOTEXFM_PR19CA004</v>
      </c>
      <c r="D389" s="12" t="s">
        <v>254</v>
      </c>
      <c r="E389" s="12" t="s">
        <v>251</v>
      </c>
      <c r="F389" s="12" t="s">
        <v>2</v>
      </c>
      <c r="G389" s="12" t="s">
        <v>59</v>
      </c>
      <c r="H389" s="155">
        <f>_xlfn.IFNA(INDEX('Financial model inputs'!$A$3:$AJ$89,MATCH(F_interface!$A389&amp;RIGHT(F_interface!H$2,2),'Financial model inputs'!$A$3:$A$89,0),MATCH(F_interface!$D389,'Financial model inputs'!$A$3:$AJ$3,0)),0)</f>
        <v>0</v>
      </c>
      <c r="I389" s="155">
        <f>_xlfn.IFNA(INDEX('Financial model inputs'!$A$3:$AJ$89,MATCH(F_interface!$A389&amp;RIGHT(F_interface!I$2,2),'Financial model inputs'!$A$3:$A$89,0),MATCH(F_interface!$D389,'Financial model inputs'!$A$3:$AJ$3,0)),0)</f>
        <v>0</v>
      </c>
      <c r="J389" s="155">
        <f>_xlfn.IFNA(INDEX('Financial model inputs'!$A$3:$AJ$89,MATCH(F_interface!$A389&amp;RIGHT(F_interface!J$2,2),'Financial model inputs'!$A$3:$A$89,0),MATCH(F_interface!$D389,'Financial model inputs'!$A$3:$AJ$3,0)),0)</f>
        <v>0</v>
      </c>
      <c r="K389" s="155">
        <f>_xlfn.IFNA(INDEX('Financial model inputs'!$A$3:$AJ$89,MATCH(F_interface!$A389&amp;RIGHT(F_interface!K$2,2),'Financial model inputs'!$A$3:$A$89,0),MATCH(F_interface!$D389,'Financial model inputs'!$A$3:$AJ$3,0)),0)</f>
        <v>0</v>
      </c>
      <c r="L389" s="155">
        <f>_xlfn.IFNA(INDEX('Financial model inputs'!$A$3:$AJ$89,MATCH(F_interface!$A389&amp;RIGHT(F_interface!L$2,2),'Financial model inputs'!$A$3:$A$89,0),MATCH(F_interface!$D389,'Financial model inputs'!$A$3:$AJ$3,0)),0)</f>
        <v>0</v>
      </c>
    </row>
    <row r="390" spans="1:12" x14ac:dyDescent="0.25">
      <c r="A390" s="13" t="s">
        <v>8</v>
      </c>
      <c r="B390" s="4" t="str">
        <f t="shared" si="7"/>
        <v>C_WNTOTEXFM_PR19CA004</v>
      </c>
      <c r="C390" s="12" t="str">
        <f t="shared" si="8"/>
        <v>SVTC_WNTOTEXFM_PR19CA004</v>
      </c>
      <c r="D390" s="12" t="s">
        <v>254</v>
      </c>
      <c r="E390" s="12" t="s">
        <v>251</v>
      </c>
      <c r="F390" s="12" t="s">
        <v>2</v>
      </c>
      <c r="G390" s="12" t="s">
        <v>59</v>
      </c>
      <c r="H390" s="155">
        <f>_xlfn.IFNA(INDEX('Financial model inputs'!$A$3:$AJ$89,MATCH(F_interface!$A390&amp;RIGHT(F_interface!H$2,2),'Financial model inputs'!$A$3:$A$89,0),MATCH(F_interface!$D390,'Financial model inputs'!$A$3:$AJ$3,0)),0)</f>
        <v>0</v>
      </c>
      <c r="I390" s="155">
        <f>_xlfn.IFNA(INDEX('Financial model inputs'!$A$3:$AJ$89,MATCH(F_interface!$A390&amp;RIGHT(F_interface!I$2,2),'Financial model inputs'!$A$3:$A$89,0),MATCH(F_interface!$D390,'Financial model inputs'!$A$3:$AJ$3,0)),0)</f>
        <v>0</v>
      </c>
      <c r="J390" s="155">
        <f>_xlfn.IFNA(INDEX('Financial model inputs'!$A$3:$AJ$89,MATCH(F_interface!$A390&amp;RIGHT(F_interface!J$2,2),'Financial model inputs'!$A$3:$A$89,0),MATCH(F_interface!$D390,'Financial model inputs'!$A$3:$AJ$3,0)),0)</f>
        <v>0</v>
      </c>
      <c r="K390" s="155">
        <f>_xlfn.IFNA(INDEX('Financial model inputs'!$A$3:$AJ$89,MATCH(F_interface!$A390&amp;RIGHT(F_interface!K$2,2),'Financial model inputs'!$A$3:$A$89,0),MATCH(F_interface!$D390,'Financial model inputs'!$A$3:$AJ$3,0)),0)</f>
        <v>0</v>
      </c>
      <c r="L390" s="155">
        <f>_xlfn.IFNA(INDEX('Financial model inputs'!$A$3:$AJ$89,MATCH(F_interface!$A390&amp;RIGHT(F_interface!L$2,2),'Financial model inputs'!$A$3:$A$89,0),MATCH(F_interface!$D390,'Financial model inputs'!$A$3:$AJ$3,0)),0)</f>
        <v>0</v>
      </c>
    </row>
    <row r="391" spans="1:12" x14ac:dyDescent="0.25">
      <c r="A391" s="13" t="s">
        <v>19</v>
      </c>
      <c r="B391" s="4" t="str">
        <f t="shared" si="7"/>
        <v>C_WNTOTEXFM_PR19CA004</v>
      </c>
      <c r="C391" s="12" t="str">
        <f t="shared" si="8"/>
        <v>SWBC_WNTOTEXFM_PR19CA004</v>
      </c>
      <c r="D391" s="12" t="s">
        <v>254</v>
      </c>
      <c r="E391" s="12" t="s">
        <v>251</v>
      </c>
      <c r="F391" s="12" t="s">
        <v>2</v>
      </c>
      <c r="G391" s="12" t="s">
        <v>59</v>
      </c>
      <c r="H391" s="155">
        <f>_xlfn.IFNA(INDEX('Financial model inputs'!$A$3:$AJ$89,MATCH(F_interface!$A391&amp;RIGHT(F_interface!H$2,2),'Financial model inputs'!$A$3:$A$89,0),MATCH(F_interface!$D391,'Financial model inputs'!$A$3:$AJ$3,0)),0)</f>
        <v>169.5019051956362</v>
      </c>
      <c r="I391" s="155">
        <f>_xlfn.IFNA(INDEX('Financial model inputs'!$A$3:$AJ$89,MATCH(F_interface!$A391&amp;RIGHT(F_interface!I$2,2),'Financial model inputs'!$A$3:$A$89,0),MATCH(F_interface!$D391,'Financial model inputs'!$A$3:$AJ$3,0)),0)</f>
        <v>169.5019051956362</v>
      </c>
      <c r="J391" s="155">
        <f>_xlfn.IFNA(INDEX('Financial model inputs'!$A$3:$AJ$89,MATCH(F_interface!$A391&amp;RIGHT(F_interface!J$2,2),'Financial model inputs'!$A$3:$A$89,0),MATCH(F_interface!$D391,'Financial model inputs'!$A$3:$AJ$3,0)),0)</f>
        <v>169.5019051956362</v>
      </c>
      <c r="K391" s="155">
        <f>_xlfn.IFNA(INDEX('Financial model inputs'!$A$3:$AJ$89,MATCH(F_interface!$A391&amp;RIGHT(F_interface!K$2,2),'Financial model inputs'!$A$3:$A$89,0),MATCH(F_interface!$D391,'Financial model inputs'!$A$3:$AJ$3,0)),0)</f>
        <v>169.5019051956362</v>
      </c>
      <c r="L391" s="155">
        <f>_xlfn.IFNA(INDEX('Financial model inputs'!$A$3:$AJ$89,MATCH(F_interface!$A391&amp;RIGHT(F_interface!L$2,2),'Financial model inputs'!$A$3:$A$89,0),MATCH(F_interface!$D391,'Financial model inputs'!$A$3:$AJ$3,0)),0)</f>
        <v>169.5019051956362</v>
      </c>
    </row>
    <row r="392" spans="1:12" x14ac:dyDescent="0.25">
      <c r="A392" s="13" t="s">
        <v>9</v>
      </c>
      <c r="B392" s="4" t="str">
        <f t="shared" si="7"/>
        <v>C_WNTOTEXFM_PR19CA004</v>
      </c>
      <c r="C392" s="12" t="str">
        <f t="shared" si="8"/>
        <v>TMSC_WNTOTEXFM_PR19CA004</v>
      </c>
      <c r="D392" s="12" t="s">
        <v>254</v>
      </c>
      <c r="E392" s="12" t="s">
        <v>251</v>
      </c>
      <c r="F392" s="12" t="s">
        <v>2</v>
      </c>
      <c r="G392" s="12" t="s">
        <v>59</v>
      </c>
      <c r="H392" s="155">
        <f>_xlfn.IFNA(INDEX('Financial model inputs'!$A$3:$AJ$89,MATCH(F_interface!$A392&amp;RIGHT(F_interface!H$2,2),'Financial model inputs'!$A$3:$A$89,0),MATCH(F_interface!$D392,'Financial model inputs'!$A$3:$AJ$3,0)),0)</f>
        <v>748.02666732237265</v>
      </c>
      <c r="I392" s="155">
        <f>_xlfn.IFNA(INDEX('Financial model inputs'!$A$3:$AJ$89,MATCH(F_interface!$A392&amp;RIGHT(F_interface!I$2,2),'Financial model inputs'!$A$3:$A$89,0),MATCH(F_interface!$D392,'Financial model inputs'!$A$3:$AJ$3,0)),0)</f>
        <v>748.02666732237265</v>
      </c>
      <c r="J392" s="155">
        <f>_xlfn.IFNA(INDEX('Financial model inputs'!$A$3:$AJ$89,MATCH(F_interface!$A392&amp;RIGHT(F_interface!J$2,2),'Financial model inputs'!$A$3:$A$89,0),MATCH(F_interface!$D392,'Financial model inputs'!$A$3:$AJ$3,0)),0)</f>
        <v>748.02666732237265</v>
      </c>
      <c r="K392" s="155">
        <f>_xlfn.IFNA(INDEX('Financial model inputs'!$A$3:$AJ$89,MATCH(F_interface!$A392&amp;RIGHT(F_interface!K$2,2),'Financial model inputs'!$A$3:$A$89,0),MATCH(F_interface!$D392,'Financial model inputs'!$A$3:$AJ$3,0)),0)</f>
        <v>748.02666732237265</v>
      </c>
      <c r="L392" s="155">
        <f>_xlfn.IFNA(INDEX('Financial model inputs'!$A$3:$AJ$89,MATCH(F_interface!$A392&amp;RIGHT(F_interface!L$2,2),'Financial model inputs'!$A$3:$A$89,0),MATCH(F_interface!$D392,'Financial model inputs'!$A$3:$AJ$3,0)),0)</f>
        <v>748.02666732237265</v>
      </c>
    </row>
    <row r="393" spans="1:12" x14ac:dyDescent="0.25">
      <c r="A393" s="13" t="s">
        <v>23</v>
      </c>
      <c r="B393" s="4" t="str">
        <f t="shared" si="7"/>
        <v>C_WNTOTEXFM_PR19CA004</v>
      </c>
      <c r="C393" s="12" t="str">
        <f t="shared" si="8"/>
        <v>WSHC_WNTOTEXFM_PR19CA004</v>
      </c>
      <c r="D393" s="12" t="s">
        <v>254</v>
      </c>
      <c r="E393" s="12" t="s">
        <v>251</v>
      </c>
      <c r="F393" s="12" t="s">
        <v>2</v>
      </c>
      <c r="G393" s="12" t="s">
        <v>59</v>
      </c>
      <c r="H393" s="155">
        <f>_xlfn.IFNA(INDEX('Financial model inputs'!$A$3:$AJ$89,MATCH(F_interface!$A393&amp;RIGHT(F_interface!H$2,2),'Financial model inputs'!$A$3:$A$89,0),MATCH(F_interface!$D393,'Financial model inputs'!$A$3:$AJ$3,0)),0)</f>
        <v>212.2726970332545</v>
      </c>
      <c r="I393" s="155">
        <f>_xlfn.IFNA(INDEX('Financial model inputs'!$A$3:$AJ$89,MATCH(F_interface!$A393&amp;RIGHT(F_interface!I$2,2),'Financial model inputs'!$A$3:$A$89,0),MATCH(F_interface!$D393,'Financial model inputs'!$A$3:$AJ$3,0)),0)</f>
        <v>212.2726970332545</v>
      </c>
      <c r="J393" s="155">
        <f>_xlfn.IFNA(INDEX('Financial model inputs'!$A$3:$AJ$89,MATCH(F_interface!$A393&amp;RIGHT(F_interface!J$2,2),'Financial model inputs'!$A$3:$A$89,0),MATCH(F_interface!$D393,'Financial model inputs'!$A$3:$AJ$3,0)),0)</f>
        <v>212.2726970332545</v>
      </c>
      <c r="K393" s="155">
        <f>_xlfn.IFNA(INDEX('Financial model inputs'!$A$3:$AJ$89,MATCH(F_interface!$A393&amp;RIGHT(F_interface!K$2,2),'Financial model inputs'!$A$3:$A$89,0),MATCH(F_interface!$D393,'Financial model inputs'!$A$3:$AJ$3,0)),0)</f>
        <v>212.2726970332545</v>
      </c>
      <c r="L393" s="155">
        <f>_xlfn.IFNA(INDEX('Financial model inputs'!$A$3:$AJ$89,MATCH(F_interface!$A393&amp;RIGHT(F_interface!L$2,2),'Financial model inputs'!$A$3:$A$89,0),MATCH(F_interface!$D393,'Financial model inputs'!$A$3:$AJ$3,0)),0)</f>
        <v>212.2726970332545</v>
      </c>
    </row>
    <row r="394" spans="1:12" x14ac:dyDescent="0.25">
      <c r="A394" s="13" t="s">
        <v>10</v>
      </c>
      <c r="B394" s="4" t="str">
        <f t="shared" si="7"/>
        <v>C_WNTOTEXFM_PR19CA004</v>
      </c>
      <c r="C394" s="12" t="str">
        <f t="shared" si="8"/>
        <v>WSXC_WNTOTEXFM_PR19CA004</v>
      </c>
      <c r="D394" s="12" t="s">
        <v>254</v>
      </c>
      <c r="E394" s="12" t="s">
        <v>251</v>
      </c>
      <c r="F394" s="12" t="s">
        <v>2</v>
      </c>
      <c r="G394" s="12" t="s">
        <v>59</v>
      </c>
      <c r="H394" s="155">
        <f>_xlfn.IFNA(INDEX('Financial model inputs'!$A$3:$AJ$89,MATCH(F_interface!$A394&amp;RIGHT(F_interface!H$2,2),'Financial model inputs'!$A$3:$A$89,0),MATCH(F_interface!$D394,'Financial model inputs'!$A$3:$AJ$3,0)),0)</f>
        <v>107.26493921434216</v>
      </c>
      <c r="I394" s="155">
        <f>_xlfn.IFNA(INDEX('Financial model inputs'!$A$3:$AJ$89,MATCH(F_interface!$A394&amp;RIGHT(F_interface!I$2,2),'Financial model inputs'!$A$3:$A$89,0),MATCH(F_interface!$D394,'Financial model inputs'!$A$3:$AJ$3,0)),0)</f>
        <v>107.26493921434216</v>
      </c>
      <c r="J394" s="155">
        <f>_xlfn.IFNA(INDEX('Financial model inputs'!$A$3:$AJ$89,MATCH(F_interface!$A394&amp;RIGHT(F_interface!J$2,2),'Financial model inputs'!$A$3:$A$89,0),MATCH(F_interface!$D394,'Financial model inputs'!$A$3:$AJ$3,0)),0)</f>
        <v>107.26493921434216</v>
      </c>
      <c r="K394" s="155">
        <f>_xlfn.IFNA(INDEX('Financial model inputs'!$A$3:$AJ$89,MATCH(F_interface!$A394&amp;RIGHT(F_interface!K$2,2),'Financial model inputs'!$A$3:$A$89,0),MATCH(F_interface!$D394,'Financial model inputs'!$A$3:$AJ$3,0)),0)</f>
        <v>107.26493921434216</v>
      </c>
      <c r="L394" s="155">
        <f>_xlfn.IFNA(INDEX('Financial model inputs'!$A$3:$AJ$89,MATCH(F_interface!$A394&amp;RIGHT(F_interface!L$2,2),'Financial model inputs'!$A$3:$A$89,0),MATCH(F_interface!$D394,'Financial model inputs'!$A$3:$AJ$3,0)),0)</f>
        <v>107.26493921434216</v>
      </c>
    </row>
    <row r="395" spans="1:12" x14ac:dyDescent="0.25">
      <c r="A395" s="13" t="s">
        <v>11</v>
      </c>
      <c r="B395" s="4" t="str">
        <f t="shared" si="7"/>
        <v>C_WNTOTEXFM_PR19CA004</v>
      </c>
      <c r="C395" s="12" t="str">
        <f t="shared" si="8"/>
        <v>YKYC_WNTOTEXFM_PR19CA004</v>
      </c>
      <c r="D395" s="12" t="s">
        <v>254</v>
      </c>
      <c r="E395" s="12" t="s">
        <v>251</v>
      </c>
      <c r="F395" s="12" t="s">
        <v>2</v>
      </c>
      <c r="G395" s="12" t="s">
        <v>59</v>
      </c>
      <c r="H395" s="155">
        <f>_xlfn.IFNA(INDEX('Financial model inputs'!$A$3:$AJ$89,MATCH(F_interface!$A395&amp;RIGHT(F_interface!H$2,2),'Financial model inputs'!$A$3:$A$89,0),MATCH(F_interface!$D395,'Financial model inputs'!$A$3:$AJ$3,0)),0)</f>
        <v>292.18874910189936</v>
      </c>
      <c r="I395" s="155">
        <f>_xlfn.IFNA(INDEX('Financial model inputs'!$A$3:$AJ$89,MATCH(F_interface!$A395&amp;RIGHT(F_interface!I$2,2),'Financial model inputs'!$A$3:$A$89,0),MATCH(F_interface!$D395,'Financial model inputs'!$A$3:$AJ$3,0)),0)</f>
        <v>292.18874910189936</v>
      </c>
      <c r="J395" s="155">
        <f>_xlfn.IFNA(INDEX('Financial model inputs'!$A$3:$AJ$89,MATCH(F_interface!$A395&amp;RIGHT(F_interface!J$2,2),'Financial model inputs'!$A$3:$A$89,0),MATCH(F_interface!$D395,'Financial model inputs'!$A$3:$AJ$3,0)),0)</f>
        <v>292.18874910189936</v>
      </c>
      <c r="K395" s="155">
        <f>_xlfn.IFNA(INDEX('Financial model inputs'!$A$3:$AJ$89,MATCH(F_interface!$A395&amp;RIGHT(F_interface!K$2,2),'Financial model inputs'!$A$3:$A$89,0),MATCH(F_interface!$D395,'Financial model inputs'!$A$3:$AJ$3,0)),0)</f>
        <v>292.18874910189936</v>
      </c>
      <c r="L395" s="155">
        <f>_xlfn.IFNA(INDEX('Financial model inputs'!$A$3:$AJ$89,MATCH(F_interface!$A395&amp;RIGHT(F_interface!L$2,2),'Financial model inputs'!$A$3:$A$89,0),MATCH(F_interface!$D395,'Financial model inputs'!$A$3:$AJ$3,0)),0)</f>
        <v>292.18874910189936</v>
      </c>
    </row>
    <row r="396" spans="1:12" x14ac:dyDescent="0.25">
      <c r="A396" s="13" t="s">
        <v>12</v>
      </c>
      <c r="B396" s="4" t="str">
        <f t="shared" si="7"/>
        <v>C_WNTOTEXFM_PR19CA004</v>
      </c>
      <c r="C396" s="12" t="str">
        <f t="shared" si="8"/>
        <v>AFWC_WNTOTEXFM_PR19CA004</v>
      </c>
      <c r="D396" s="12" t="s">
        <v>254</v>
      </c>
      <c r="E396" s="12" t="s">
        <v>251</v>
      </c>
      <c r="F396" s="12" t="s">
        <v>2</v>
      </c>
      <c r="G396" s="12" t="s">
        <v>59</v>
      </c>
      <c r="H396" s="155">
        <f>_xlfn.IFNA(INDEX('Financial model inputs'!$A$3:$AJ$89,MATCH(F_interface!$A396&amp;RIGHT(F_interface!H$2,2),'Financial model inputs'!$A$3:$A$89,0),MATCH(F_interface!$D396,'Financial model inputs'!$A$3:$AJ$3,0)),0)</f>
        <v>220.57234059298338</v>
      </c>
      <c r="I396" s="155">
        <f>_xlfn.IFNA(INDEX('Financial model inputs'!$A$3:$AJ$89,MATCH(F_interface!$A396&amp;RIGHT(F_interface!I$2,2),'Financial model inputs'!$A$3:$A$89,0),MATCH(F_interface!$D396,'Financial model inputs'!$A$3:$AJ$3,0)),0)</f>
        <v>220.57234059298338</v>
      </c>
      <c r="J396" s="155">
        <f>_xlfn.IFNA(INDEX('Financial model inputs'!$A$3:$AJ$89,MATCH(F_interface!$A396&amp;RIGHT(F_interface!J$2,2),'Financial model inputs'!$A$3:$A$89,0),MATCH(F_interface!$D396,'Financial model inputs'!$A$3:$AJ$3,0)),0)</f>
        <v>220.57234059298338</v>
      </c>
      <c r="K396" s="155">
        <f>_xlfn.IFNA(INDEX('Financial model inputs'!$A$3:$AJ$89,MATCH(F_interface!$A396&amp;RIGHT(F_interface!K$2,2),'Financial model inputs'!$A$3:$A$89,0),MATCH(F_interface!$D396,'Financial model inputs'!$A$3:$AJ$3,0)),0)</f>
        <v>220.57234059298338</v>
      </c>
      <c r="L396" s="155">
        <f>_xlfn.IFNA(INDEX('Financial model inputs'!$A$3:$AJ$89,MATCH(F_interface!$A396&amp;RIGHT(F_interface!L$2,2),'Financial model inputs'!$A$3:$A$89,0),MATCH(F_interface!$D396,'Financial model inputs'!$A$3:$AJ$3,0)),0)</f>
        <v>220.57234059298338</v>
      </c>
    </row>
    <row r="397" spans="1:12" x14ac:dyDescent="0.25">
      <c r="A397" s="13" t="s">
        <v>13</v>
      </c>
      <c r="B397" s="4" t="str">
        <f t="shared" si="7"/>
        <v>C_WNTOTEXFM_PR19CA004</v>
      </c>
      <c r="C397" s="12" t="str">
        <f t="shared" si="8"/>
        <v>BRLC_WNTOTEXFM_PR19CA004</v>
      </c>
      <c r="D397" s="12" t="s">
        <v>254</v>
      </c>
      <c r="E397" s="12" t="s">
        <v>251</v>
      </c>
      <c r="F397" s="12" t="s">
        <v>2</v>
      </c>
      <c r="G397" s="12" t="s">
        <v>59</v>
      </c>
      <c r="H397" s="155">
        <f>_xlfn.IFNA(INDEX('Financial model inputs'!$A$3:$AJ$89,MATCH(F_interface!$A397&amp;RIGHT(F_interface!H$2,2),'Financial model inputs'!$A$3:$A$89,0),MATCH(F_interface!$D397,'Financial model inputs'!$A$3:$AJ$3,0)),0)</f>
        <v>65.164574345875181</v>
      </c>
      <c r="I397" s="155">
        <f>_xlfn.IFNA(INDEX('Financial model inputs'!$A$3:$AJ$89,MATCH(F_interface!$A397&amp;RIGHT(F_interface!I$2,2),'Financial model inputs'!$A$3:$A$89,0),MATCH(F_interface!$D397,'Financial model inputs'!$A$3:$AJ$3,0)),0)</f>
        <v>65.164574345875181</v>
      </c>
      <c r="J397" s="155">
        <f>_xlfn.IFNA(INDEX('Financial model inputs'!$A$3:$AJ$89,MATCH(F_interface!$A397&amp;RIGHT(F_interface!J$2,2),'Financial model inputs'!$A$3:$A$89,0),MATCH(F_interface!$D397,'Financial model inputs'!$A$3:$AJ$3,0)),0)</f>
        <v>65.164574345875181</v>
      </c>
      <c r="K397" s="155">
        <f>_xlfn.IFNA(INDEX('Financial model inputs'!$A$3:$AJ$89,MATCH(F_interface!$A397&amp;RIGHT(F_interface!K$2,2),'Financial model inputs'!$A$3:$A$89,0),MATCH(F_interface!$D397,'Financial model inputs'!$A$3:$AJ$3,0)),0)</f>
        <v>65.164574345875181</v>
      </c>
      <c r="L397" s="155">
        <f>_xlfn.IFNA(INDEX('Financial model inputs'!$A$3:$AJ$89,MATCH(F_interface!$A397&amp;RIGHT(F_interface!L$2,2),'Financial model inputs'!$A$3:$A$89,0),MATCH(F_interface!$D397,'Financial model inputs'!$A$3:$AJ$3,0)),0)</f>
        <v>65.164574345875181</v>
      </c>
    </row>
    <row r="398" spans="1:12" x14ac:dyDescent="0.25">
      <c r="A398" s="13" t="s">
        <v>14</v>
      </c>
      <c r="B398" s="4" t="str">
        <f t="shared" si="7"/>
        <v>C_WNTOTEXFM_PR19CA004</v>
      </c>
      <c r="C398" s="12" t="str">
        <f t="shared" si="8"/>
        <v>DVWC_WNTOTEXFM_PR19CA004</v>
      </c>
      <c r="D398" s="12" t="s">
        <v>254</v>
      </c>
      <c r="E398" s="12" t="s">
        <v>251</v>
      </c>
      <c r="F398" s="12" t="s">
        <v>2</v>
      </c>
      <c r="G398" s="12" t="s">
        <v>59</v>
      </c>
      <c r="H398" s="155">
        <f>_xlfn.IFNA(INDEX('Financial model inputs'!$A$3:$AJ$89,MATCH(F_interface!$A398&amp;RIGHT(F_interface!H$2,2),'Financial model inputs'!$A$3:$A$89,0),MATCH(F_interface!$D398,'Financial model inputs'!$A$3:$AJ$3,0)),0)</f>
        <v>0</v>
      </c>
      <c r="I398" s="155">
        <f>_xlfn.IFNA(INDEX('Financial model inputs'!$A$3:$AJ$89,MATCH(F_interface!$A398&amp;RIGHT(F_interface!I$2,2),'Financial model inputs'!$A$3:$A$89,0),MATCH(F_interface!$D398,'Financial model inputs'!$A$3:$AJ$3,0)),0)</f>
        <v>0</v>
      </c>
      <c r="J398" s="155">
        <f>_xlfn.IFNA(INDEX('Financial model inputs'!$A$3:$AJ$89,MATCH(F_interface!$A398&amp;RIGHT(F_interface!J$2,2),'Financial model inputs'!$A$3:$A$89,0),MATCH(F_interface!$D398,'Financial model inputs'!$A$3:$AJ$3,0)),0)</f>
        <v>0</v>
      </c>
      <c r="K398" s="155">
        <f>_xlfn.IFNA(INDEX('Financial model inputs'!$A$3:$AJ$89,MATCH(F_interface!$A398&amp;RIGHT(F_interface!K$2,2),'Financial model inputs'!$A$3:$A$89,0),MATCH(F_interface!$D398,'Financial model inputs'!$A$3:$AJ$3,0)),0)</f>
        <v>0</v>
      </c>
      <c r="L398" s="155">
        <f>_xlfn.IFNA(INDEX('Financial model inputs'!$A$3:$AJ$89,MATCH(F_interface!$A398&amp;RIGHT(F_interface!L$2,2),'Financial model inputs'!$A$3:$A$89,0),MATCH(F_interface!$D398,'Financial model inputs'!$A$3:$AJ$3,0)),0)</f>
        <v>0</v>
      </c>
    </row>
    <row r="399" spans="1:12" x14ac:dyDescent="0.25">
      <c r="A399" s="13" t="s">
        <v>15</v>
      </c>
      <c r="B399" s="4" t="str">
        <f t="shared" si="7"/>
        <v>C_WNTOTEXFM_PR19CA004</v>
      </c>
      <c r="C399" s="12" t="str">
        <f t="shared" si="8"/>
        <v>PRTC_WNTOTEXFM_PR19CA004</v>
      </c>
      <c r="D399" s="12" t="s">
        <v>254</v>
      </c>
      <c r="E399" s="12" t="s">
        <v>251</v>
      </c>
      <c r="F399" s="12" t="s">
        <v>2</v>
      </c>
      <c r="G399" s="12" t="s">
        <v>59</v>
      </c>
      <c r="H399" s="155">
        <f>_xlfn.IFNA(INDEX('Financial model inputs'!$A$3:$AJ$89,MATCH(F_interface!$A399&amp;RIGHT(F_interface!H$2,2),'Financial model inputs'!$A$3:$A$89,0),MATCH(F_interface!$D399,'Financial model inputs'!$A$3:$AJ$3,0)),0)</f>
        <v>30.380593318230133</v>
      </c>
      <c r="I399" s="155">
        <f>_xlfn.IFNA(INDEX('Financial model inputs'!$A$3:$AJ$89,MATCH(F_interface!$A399&amp;RIGHT(F_interface!I$2,2),'Financial model inputs'!$A$3:$A$89,0),MATCH(F_interface!$D399,'Financial model inputs'!$A$3:$AJ$3,0)),0)</f>
        <v>30.380593318230133</v>
      </c>
      <c r="J399" s="155">
        <f>_xlfn.IFNA(INDEX('Financial model inputs'!$A$3:$AJ$89,MATCH(F_interface!$A399&amp;RIGHT(F_interface!J$2,2),'Financial model inputs'!$A$3:$A$89,0),MATCH(F_interface!$D399,'Financial model inputs'!$A$3:$AJ$3,0)),0)</f>
        <v>30.380593318230133</v>
      </c>
      <c r="K399" s="155">
        <f>_xlfn.IFNA(INDEX('Financial model inputs'!$A$3:$AJ$89,MATCH(F_interface!$A399&amp;RIGHT(F_interface!K$2,2),'Financial model inputs'!$A$3:$A$89,0),MATCH(F_interface!$D399,'Financial model inputs'!$A$3:$AJ$3,0)),0)</f>
        <v>30.380593318230133</v>
      </c>
      <c r="L399" s="155">
        <f>_xlfn.IFNA(INDEX('Financial model inputs'!$A$3:$AJ$89,MATCH(F_interface!$A399&amp;RIGHT(F_interface!L$2,2),'Financial model inputs'!$A$3:$A$89,0),MATCH(F_interface!$D399,'Financial model inputs'!$A$3:$AJ$3,0)),0)</f>
        <v>30.380593318230133</v>
      </c>
    </row>
    <row r="400" spans="1:12" x14ac:dyDescent="0.25">
      <c r="A400" s="13" t="s">
        <v>16</v>
      </c>
      <c r="B400" s="4" t="str">
        <f t="shared" si="7"/>
        <v>C_WNTOTEXFM_PR19CA004</v>
      </c>
      <c r="C400" s="12" t="str">
        <f t="shared" si="8"/>
        <v>SESC_WNTOTEXFM_PR19CA004</v>
      </c>
      <c r="D400" s="12" t="s">
        <v>254</v>
      </c>
      <c r="E400" s="12" t="s">
        <v>251</v>
      </c>
      <c r="F400" s="12" t="s">
        <v>2</v>
      </c>
      <c r="G400" s="12" t="s">
        <v>59</v>
      </c>
      <c r="H400" s="155">
        <f>_xlfn.IFNA(INDEX('Financial model inputs'!$A$3:$AJ$89,MATCH(F_interface!$A400&amp;RIGHT(F_interface!H$2,2),'Financial model inputs'!$A$3:$A$89,0),MATCH(F_interface!$D400,'Financial model inputs'!$A$3:$AJ$3,0)),0)</f>
        <v>40.398953412912078</v>
      </c>
      <c r="I400" s="155">
        <f>_xlfn.IFNA(INDEX('Financial model inputs'!$A$3:$AJ$89,MATCH(F_interface!$A400&amp;RIGHT(F_interface!I$2,2),'Financial model inputs'!$A$3:$A$89,0),MATCH(F_interface!$D400,'Financial model inputs'!$A$3:$AJ$3,0)),0)</f>
        <v>40.398953412912078</v>
      </c>
      <c r="J400" s="155">
        <f>_xlfn.IFNA(INDEX('Financial model inputs'!$A$3:$AJ$89,MATCH(F_interface!$A400&amp;RIGHT(F_interface!J$2,2),'Financial model inputs'!$A$3:$A$89,0),MATCH(F_interface!$D400,'Financial model inputs'!$A$3:$AJ$3,0)),0)</f>
        <v>40.398953412912078</v>
      </c>
      <c r="K400" s="155">
        <f>_xlfn.IFNA(INDEX('Financial model inputs'!$A$3:$AJ$89,MATCH(F_interface!$A400&amp;RIGHT(F_interface!K$2,2),'Financial model inputs'!$A$3:$A$89,0),MATCH(F_interface!$D400,'Financial model inputs'!$A$3:$AJ$3,0)),0)</f>
        <v>40.398953412912078</v>
      </c>
      <c r="L400" s="155">
        <f>_xlfn.IFNA(INDEX('Financial model inputs'!$A$3:$AJ$89,MATCH(F_interface!$A400&amp;RIGHT(F_interface!L$2,2),'Financial model inputs'!$A$3:$A$89,0),MATCH(F_interface!$D400,'Financial model inputs'!$A$3:$AJ$3,0)),0)</f>
        <v>40.398953412912078</v>
      </c>
    </row>
    <row r="401" spans="1:12" x14ac:dyDescent="0.25">
      <c r="A401" s="13" t="s">
        <v>17</v>
      </c>
      <c r="B401" s="4" t="str">
        <f t="shared" si="7"/>
        <v>C_WNTOTEXFM_PR19CA004</v>
      </c>
      <c r="C401" s="12" t="str">
        <f t="shared" si="8"/>
        <v>SEWC_WNTOTEXFM_PR19CA004</v>
      </c>
      <c r="D401" s="12" t="s">
        <v>254</v>
      </c>
      <c r="E401" s="12" t="s">
        <v>251</v>
      </c>
      <c r="F401" s="12" t="s">
        <v>2</v>
      </c>
      <c r="G401" s="12" t="s">
        <v>59</v>
      </c>
      <c r="H401" s="155">
        <f>_xlfn.IFNA(INDEX('Financial model inputs'!$A$3:$AJ$89,MATCH(F_interface!$A401&amp;RIGHT(F_interface!H$2,2),'Financial model inputs'!$A$3:$A$89,0),MATCH(F_interface!$D401,'Financial model inputs'!$A$3:$AJ$3,0)),0)</f>
        <v>153.63240782019847</v>
      </c>
      <c r="I401" s="155">
        <f>_xlfn.IFNA(INDEX('Financial model inputs'!$A$3:$AJ$89,MATCH(F_interface!$A401&amp;RIGHT(F_interface!I$2,2),'Financial model inputs'!$A$3:$A$89,0),MATCH(F_interface!$D401,'Financial model inputs'!$A$3:$AJ$3,0)),0)</f>
        <v>153.63240782019847</v>
      </c>
      <c r="J401" s="155">
        <f>_xlfn.IFNA(INDEX('Financial model inputs'!$A$3:$AJ$89,MATCH(F_interface!$A401&amp;RIGHT(F_interface!J$2,2),'Financial model inputs'!$A$3:$A$89,0),MATCH(F_interface!$D401,'Financial model inputs'!$A$3:$AJ$3,0)),0)</f>
        <v>153.63240782019847</v>
      </c>
      <c r="K401" s="155">
        <f>_xlfn.IFNA(INDEX('Financial model inputs'!$A$3:$AJ$89,MATCH(F_interface!$A401&amp;RIGHT(F_interface!K$2,2),'Financial model inputs'!$A$3:$A$89,0),MATCH(F_interface!$D401,'Financial model inputs'!$A$3:$AJ$3,0)),0)</f>
        <v>153.63240782019847</v>
      </c>
      <c r="L401" s="155">
        <f>_xlfn.IFNA(INDEX('Financial model inputs'!$A$3:$AJ$89,MATCH(F_interface!$A401&amp;RIGHT(F_interface!L$2,2),'Financial model inputs'!$A$3:$A$89,0),MATCH(F_interface!$D401,'Financial model inputs'!$A$3:$AJ$3,0)),0)</f>
        <v>153.63240782019847</v>
      </c>
    </row>
    <row r="402" spans="1:12" x14ac:dyDescent="0.25">
      <c r="A402" s="13" t="s">
        <v>18</v>
      </c>
      <c r="B402" s="4" t="str">
        <f t="shared" si="7"/>
        <v>C_WNTOTEXFM_PR19CA004</v>
      </c>
      <c r="C402" s="12" t="str">
        <f t="shared" si="8"/>
        <v>SSCC_WNTOTEXFM_PR19CA004</v>
      </c>
      <c r="D402" s="12" t="s">
        <v>254</v>
      </c>
      <c r="E402" s="12" t="s">
        <v>251</v>
      </c>
      <c r="F402" s="12" t="s">
        <v>2</v>
      </c>
      <c r="G402" s="12" t="s">
        <v>59</v>
      </c>
      <c r="H402" s="155">
        <f>_xlfn.IFNA(INDEX('Financial model inputs'!$A$3:$AJ$89,MATCH(F_interface!$A402&amp;RIGHT(F_interface!H$2,2),'Financial model inputs'!$A$3:$A$89,0),MATCH(F_interface!$D402,'Financial model inputs'!$A$3:$AJ$3,0)),0)</f>
        <v>98.476075990915177</v>
      </c>
      <c r="I402" s="155">
        <f>_xlfn.IFNA(INDEX('Financial model inputs'!$A$3:$AJ$89,MATCH(F_interface!$A402&amp;RIGHT(F_interface!I$2,2),'Financial model inputs'!$A$3:$A$89,0),MATCH(F_interface!$D402,'Financial model inputs'!$A$3:$AJ$3,0)),0)</f>
        <v>98.476075990915177</v>
      </c>
      <c r="J402" s="155">
        <f>_xlfn.IFNA(INDEX('Financial model inputs'!$A$3:$AJ$89,MATCH(F_interface!$A402&amp;RIGHT(F_interface!J$2,2),'Financial model inputs'!$A$3:$A$89,0),MATCH(F_interface!$D402,'Financial model inputs'!$A$3:$AJ$3,0)),0)</f>
        <v>98.476075990915177</v>
      </c>
      <c r="K402" s="155">
        <f>_xlfn.IFNA(INDEX('Financial model inputs'!$A$3:$AJ$89,MATCH(F_interface!$A402&amp;RIGHT(F_interface!K$2,2),'Financial model inputs'!$A$3:$A$89,0),MATCH(F_interface!$D402,'Financial model inputs'!$A$3:$AJ$3,0)),0)</f>
        <v>98.476075990915177</v>
      </c>
      <c r="L402" s="155">
        <f>_xlfn.IFNA(INDEX('Financial model inputs'!$A$3:$AJ$89,MATCH(F_interface!$A402&amp;RIGHT(F_interface!L$2,2),'Financial model inputs'!$A$3:$A$89,0),MATCH(F_interface!$D402,'Financial model inputs'!$A$3:$AJ$3,0)),0)</f>
        <v>98.476075990915177</v>
      </c>
    </row>
    <row r="403" spans="1:12" x14ac:dyDescent="0.25">
      <c r="A403" s="13" t="s">
        <v>4</v>
      </c>
      <c r="B403" s="4" t="str">
        <f t="shared" si="7"/>
        <v>C_WRPDR_PR19CA004</v>
      </c>
      <c r="C403" s="12" t="str">
        <f t="shared" si="8"/>
        <v>ANHC_WRPDR_PR19CA004</v>
      </c>
      <c r="D403" s="12" t="s">
        <v>257</v>
      </c>
      <c r="E403" s="12" t="s">
        <v>255</v>
      </c>
      <c r="F403" s="12" t="s">
        <v>2</v>
      </c>
      <c r="G403" s="12" t="s">
        <v>59</v>
      </c>
      <c r="H403" s="155">
        <f>_xlfn.IFNA(INDEX('Financial model inputs'!$A$3:$AJ$89,MATCH(F_interface!$A403&amp;RIGHT(F_interface!H$2,2),'Financial model inputs'!$A$3:$A$89,0),MATCH(F_interface!$D403,'Financial model inputs'!$A$3:$AJ$3,0)),0)</f>
        <v>0.9865525380656881</v>
      </c>
      <c r="I403" s="155">
        <f>_xlfn.IFNA(INDEX('Financial model inputs'!$A$3:$AJ$89,MATCH(F_interface!$A403&amp;RIGHT(F_interface!I$2,2),'Financial model inputs'!$A$3:$A$89,0),MATCH(F_interface!$D403,'Financial model inputs'!$A$3:$AJ$3,0)),0)</f>
        <v>0.98527617035977466</v>
      </c>
      <c r="J403" s="155">
        <f>_xlfn.IFNA(INDEX('Financial model inputs'!$A$3:$AJ$89,MATCH(F_interface!$A403&amp;RIGHT(F_interface!J$2,2),'Financial model inputs'!$A$3:$A$89,0),MATCH(F_interface!$D403,'Financial model inputs'!$A$3:$AJ$3,0)),0)</f>
        <v>0.98588332254954447</v>
      </c>
      <c r="K403" s="155">
        <f>_xlfn.IFNA(INDEX('Financial model inputs'!$A$3:$AJ$89,MATCH(F_interface!$A403&amp;RIGHT(F_interface!K$2,2),'Financial model inputs'!$A$3:$A$89,0),MATCH(F_interface!$D403,'Financial model inputs'!$A$3:$AJ$3,0)),0)</f>
        <v>0</v>
      </c>
      <c r="L403" s="155">
        <f>_xlfn.IFNA(INDEX('Financial model inputs'!$A$3:$AJ$89,MATCH(F_interface!$A403&amp;RIGHT(F_interface!L$2,2),'Financial model inputs'!$A$3:$A$89,0),MATCH(F_interface!$D403,'Financial model inputs'!$A$3:$AJ$3,0)),0)</f>
        <v>0</v>
      </c>
    </row>
    <row r="404" spans="1:12" x14ac:dyDescent="0.25">
      <c r="A404" s="13" t="s">
        <v>90</v>
      </c>
      <c r="B404" s="4" t="str">
        <f t="shared" si="7"/>
        <v>C_WRPDR_PR19CA004</v>
      </c>
      <c r="C404" s="12" t="str">
        <f t="shared" si="8"/>
        <v>HDDC_WRPDR_PR19CA004</v>
      </c>
      <c r="D404" s="12" t="s">
        <v>257</v>
      </c>
      <c r="E404" s="12" t="s">
        <v>255</v>
      </c>
      <c r="F404" s="12" t="s">
        <v>2</v>
      </c>
      <c r="G404" s="12" t="s">
        <v>59</v>
      </c>
      <c r="H404" s="155">
        <f>_xlfn.IFNA(INDEX('Financial model inputs'!$A$3:$AJ$89,MATCH(F_interface!$A404&amp;RIGHT(F_interface!H$2,2),'Financial model inputs'!$A$3:$A$89,0),MATCH(F_interface!$D404,'Financial model inputs'!$A$3:$AJ$3,0)),0)</f>
        <v>6.1149306095021748E-4</v>
      </c>
      <c r="I404" s="155">
        <f>_xlfn.IFNA(INDEX('Financial model inputs'!$A$3:$AJ$89,MATCH(F_interface!$A404&amp;RIGHT(F_interface!I$2,2),'Financial model inputs'!$A$3:$A$89,0),MATCH(F_interface!$D404,'Financial model inputs'!$A$3:$AJ$3,0)),0)</f>
        <v>6.1149306095021748E-4</v>
      </c>
      <c r="J404" s="155">
        <f>_xlfn.IFNA(INDEX('Financial model inputs'!$A$3:$AJ$89,MATCH(F_interface!$A404&amp;RIGHT(F_interface!J$2,2),'Financial model inputs'!$A$3:$A$89,0),MATCH(F_interface!$D404,'Financial model inputs'!$A$3:$AJ$3,0)),0)</f>
        <v>6.1149306095021748E-4</v>
      </c>
      <c r="K404" s="155">
        <f>_xlfn.IFNA(INDEX('Financial model inputs'!$A$3:$AJ$89,MATCH(F_interface!$A404&amp;RIGHT(F_interface!K$2,2),'Financial model inputs'!$A$3:$A$89,0),MATCH(F_interface!$D404,'Financial model inputs'!$A$3:$AJ$3,0)),0)</f>
        <v>6.1149306095021748E-4</v>
      </c>
      <c r="L404" s="155">
        <f>_xlfn.IFNA(INDEX('Financial model inputs'!$A$3:$AJ$89,MATCH(F_interface!$A404&amp;RIGHT(F_interface!L$2,2),'Financial model inputs'!$A$3:$A$89,0),MATCH(F_interface!$D404,'Financial model inputs'!$A$3:$AJ$3,0)),0)</f>
        <v>0</v>
      </c>
    </row>
    <row r="405" spans="1:12" x14ac:dyDescent="0.25">
      <c r="A405" s="13" t="s">
        <v>5</v>
      </c>
      <c r="B405" s="4" t="str">
        <f t="shared" si="7"/>
        <v>C_WRPDR_PR19CA004</v>
      </c>
      <c r="C405" s="12" t="str">
        <f t="shared" si="8"/>
        <v>NESC_WRPDR_PR19CA004</v>
      </c>
      <c r="D405" s="12" t="s">
        <v>257</v>
      </c>
      <c r="E405" s="12" t="s">
        <v>255</v>
      </c>
      <c r="F405" s="12" t="s">
        <v>2</v>
      </c>
      <c r="G405" s="12" t="s">
        <v>59</v>
      </c>
      <c r="H405" s="155">
        <f>_xlfn.IFNA(INDEX('Financial model inputs'!$A$3:$AJ$89,MATCH(F_interface!$A405&amp;RIGHT(F_interface!H$2,2),'Financial model inputs'!$A$3:$A$89,0),MATCH(F_interface!$D405,'Financial model inputs'!$A$3:$AJ$3,0)),0)</f>
        <v>0.32397461046052983</v>
      </c>
      <c r="I405" s="155">
        <f>_xlfn.IFNA(INDEX('Financial model inputs'!$A$3:$AJ$89,MATCH(F_interface!$A405&amp;RIGHT(F_interface!I$2,2),'Financial model inputs'!$A$3:$A$89,0),MATCH(F_interface!$D405,'Financial model inputs'!$A$3:$AJ$3,0)),0)</f>
        <v>0.32422160194256472</v>
      </c>
      <c r="J405" s="155">
        <f>_xlfn.IFNA(INDEX('Financial model inputs'!$A$3:$AJ$89,MATCH(F_interface!$A405&amp;RIGHT(F_interface!J$2,2),'Financial model inputs'!$A$3:$A$89,0),MATCH(F_interface!$D405,'Financial model inputs'!$A$3:$AJ$3,0)),0)</f>
        <v>0.32433658792528092</v>
      </c>
      <c r="K405" s="155">
        <f>_xlfn.IFNA(INDEX('Financial model inputs'!$A$3:$AJ$89,MATCH(F_interface!$A405&amp;RIGHT(F_interface!K$2,2),'Financial model inputs'!$A$3:$A$89,0),MATCH(F_interface!$D405,'Financial model inputs'!$A$3:$AJ$3,0)),0)</f>
        <v>0.3243927688435389</v>
      </c>
      <c r="L405" s="155">
        <f>_xlfn.IFNA(INDEX('Financial model inputs'!$A$3:$AJ$89,MATCH(F_interface!$A405&amp;RIGHT(F_interface!L$2,2),'Financial model inputs'!$A$3:$A$89,0),MATCH(F_interface!$D405,'Financial model inputs'!$A$3:$AJ$3,0)),0)</f>
        <v>0.32389311771656648</v>
      </c>
    </row>
    <row r="406" spans="1:12" x14ac:dyDescent="0.25">
      <c r="A406" s="13" t="s">
        <v>6</v>
      </c>
      <c r="B406" s="4" t="str">
        <f t="shared" si="7"/>
        <v>C_WRPDR_PR19CA004</v>
      </c>
      <c r="C406" s="12" t="str">
        <f t="shared" si="8"/>
        <v>NWTC_WRPDR_PR19CA004</v>
      </c>
      <c r="D406" s="12" t="s">
        <v>257</v>
      </c>
      <c r="E406" s="12" t="s">
        <v>255</v>
      </c>
      <c r="F406" s="12" t="s">
        <v>2</v>
      </c>
      <c r="G406" s="12" t="s">
        <v>59</v>
      </c>
      <c r="H406" s="155">
        <f>_xlfn.IFNA(INDEX('Financial model inputs'!$A$3:$AJ$89,MATCH(F_interface!$A406&amp;RIGHT(F_interface!H$2,2),'Financial model inputs'!$A$3:$A$89,0),MATCH(F_interface!$D406,'Financial model inputs'!$A$3:$AJ$3,0)),0)</f>
        <v>0</v>
      </c>
      <c r="I406" s="155">
        <f>_xlfn.IFNA(INDEX('Financial model inputs'!$A$3:$AJ$89,MATCH(F_interface!$A406&amp;RIGHT(F_interface!I$2,2),'Financial model inputs'!$A$3:$A$89,0),MATCH(F_interface!$D406,'Financial model inputs'!$A$3:$AJ$3,0)),0)</f>
        <v>0</v>
      </c>
      <c r="J406" s="155">
        <f>_xlfn.IFNA(INDEX('Financial model inputs'!$A$3:$AJ$89,MATCH(F_interface!$A406&amp;RIGHT(F_interface!J$2,2),'Financial model inputs'!$A$3:$A$89,0),MATCH(F_interface!$D406,'Financial model inputs'!$A$3:$AJ$3,0)),0)</f>
        <v>0</v>
      </c>
      <c r="K406" s="155">
        <f>_xlfn.IFNA(INDEX('Financial model inputs'!$A$3:$AJ$89,MATCH(F_interface!$A406&amp;RIGHT(F_interface!K$2,2),'Financial model inputs'!$A$3:$A$89,0),MATCH(F_interface!$D406,'Financial model inputs'!$A$3:$AJ$3,0)),0)</f>
        <v>0</v>
      </c>
      <c r="L406" s="155">
        <f>_xlfn.IFNA(INDEX('Financial model inputs'!$A$3:$AJ$89,MATCH(F_interface!$A406&amp;RIGHT(F_interface!L$2,2),'Financial model inputs'!$A$3:$A$89,0),MATCH(F_interface!$D406,'Financial model inputs'!$A$3:$AJ$3,0)),0)</f>
        <v>0</v>
      </c>
    </row>
    <row r="407" spans="1:12" x14ac:dyDescent="0.25">
      <c r="A407" s="13" t="s">
        <v>7</v>
      </c>
      <c r="B407" s="4" t="str">
        <f t="shared" si="7"/>
        <v>C_WRPDR_PR19CA004</v>
      </c>
      <c r="C407" s="12" t="str">
        <f t="shared" si="8"/>
        <v>SRNC_WRPDR_PR19CA004</v>
      </c>
      <c r="D407" s="12" t="s">
        <v>257</v>
      </c>
      <c r="E407" s="12" t="s">
        <v>255</v>
      </c>
      <c r="F407" s="12" t="s">
        <v>2</v>
      </c>
      <c r="G407" s="12" t="s">
        <v>59</v>
      </c>
      <c r="H407" s="155">
        <f>_xlfn.IFNA(INDEX('Financial model inputs'!$A$3:$AJ$89,MATCH(F_interface!$A407&amp;RIGHT(F_interface!H$2,2),'Financial model inputs'!$A$3:$A$89,0),MATCH(F_interface!$D407,'Financial model inputs'!$A$3:$AJ$3,0)),0)</f>
        <v>0.10870919699497539</v>
      </c>
      <c r="I407" s="155">
        <f>_xlfn.IFNA(INDEX('Financial model inputs'!$A$3:$AJ$89,MATCH(F_interface!$A407&amp;RIGHT(F_interface!I$2,2),'Financial model inputs'!$A$3:$A$89,0),MATCH(F_interface!$D407,'Financial model inputs'!$A$3:$AJ$3,0)),0)</f>
        <v>0.10578402512131681</v>
      </c>
      <c r="J407" s="155">
        <f>_xlfn.IFNA(INDEX('Financial model inputs'!$A$3:$AJ$89,MATCH(F_interface!$A407&amp;RIGHT(F_interface!J$2,2),'Financial model inputs'!$A$3:$A$89,0),MATCH(F_interface!$D407,'Financial model inputs'!$A$3:$AJ$3,0)),0)</f>
        <v>0.1036114686414919</v>
      </c>
      <c r="K407" s="155">
        <f>_xlfn.IFNA(INDEX('Financial model inputs'!$A$3:$AJ$89,MATCH(F_interface!$A407&amp;RIGHT(F_interface!K$2,2),'Financial model inputs'!$A$3:$A$89,0),MATCH(F_interface!$D407,'Financial model inputs'!$A$3:$AJ$3,0)),0)</f>
        <v>0.10091395605965631</v>
      </c>
      <c r="L407" s="155">
        <f>_xlfn.IFNA(INDEX('Financial model inputs'!$A$3:$AJ$89,MATCH(F_interface!$A407&amp;RIGHT(F_interface!L$2,2),'Financial model inputs'!$A$3:$A$89,0),MATCH(F_interface!$D407,'Financial model inputs'!$A$3:$AJ$3,0)),0)</f>
        <v>9.8421552515605082E-2</v>
      </c>
    </row>
    <row r="408" spans="1:12" x14ac:dyDescent="0.25">
      <c r="A408" s="13" t="s">
        <v>89</v>
      </c>
      <c r="B408" s="4" t="str">
        <f t="shared" si="7"/>
        <v>C_WRPDR_PR19CA004</v>
      </c>
      <c r="C408" s="12" t="str">
        <f t="shared" si="8"/>
        <v>SVEC_WRPDR_PR19CA004</v>
      </c>
      <c r="D408" s="12" t="s">
        <v>257</v>
      </c>
      <c r="E408" s="12" t="s">
        <v>255</v>
      </c>
      <c r="F408" s="12" t="s">
        <v>2</v>
      </c>
      <c r="G408" s="12" t="s">
        <v>59</v>
      </c>
      <c r="H408" s="155">
        <f>_xlfn.IFNA(INDEX('Financial model inputs'!$A$3:$AJ$89,MATCH(F_interface!$A408&amp;RIGHT(F_interface!H$2,2),'Financial model inputs'!$A$3:$A$89,0),MATCH(F_interface!$D408,'Financial model inputs'!$A$3:$AJ$3,0)),0)</f>
        <v>0.69838028336575209</v>
      </c>
      <c r="I408" s="155">
        <f>_xlfn.IFNA(INDEX('Financial model inputs'!$A$3:$AJ$89,MATCH(F_interface!$A408&amp;RIGHT(F_interface!I$2,2),'Financial model inputs'!$A$3:$A$89,0),MATCH(F_interface!$D408,'Financial model inputs'!$A$3:$AJ$3,0)),0)</f>
        <v>0.6983802833657512</v>
      </c>
      <c r="J408" s="155">
        <f>_xlfn.IFNA(INDEX('Financial model inputs'!$A$3:$AJ$89,MATCH(F_interface!$A408&amp;RIGHT(F_interface!J$2,2),'Financial model inputs'!$A$3:$A$89,0),MATCH(F_interface!$D408,'Financial model inputs'!$A$3:$AJ$3,0)),0)</f>
        <v>0.69838028336575153</v>
      </c>
      <c r="K408" s="155">
        <f>_xlfn.IFNA(INDEX('Financial model inputs'!$A$3:$AJ$89,MATCH(F_interface!$A408&amp;RIGHT(F_interface!K$2,2),'Financial model inputs'!$A$3:$A$89,0),MATCH(F_interface!$D408,'Financial model inputs'!$A$3:$AJ$3,0)),0)</f>
        <v>0.69838028336575109</v>
      </c>
      <c r="L408" s="155">
        <f>_xlfn.IFNA(INDEX('Financial model inputs'!$A$3:$AJ$89,MATCH(F_interface!$A408&amp;RIGHT(F_interface!L$2,2),'Financial model inputs'!$A$3:$A$89,0),MATCH(F_interface!$D408,'Financial model inputs'!$A$3:$AJ$3,0)),0)</f>
        <v>0.69838028336575109</v>
      </c>
    </row>
    <row r="409" spans="1:12" x14ac:dyDescent="0.25">
      <c r="A409" s="13" t="s">
        <v>93</v>
      </c>
      <c r="B409" s="4" t="str">
        <f t="shared" si="7"/>
        <v>C_WRPDR_PR19CA004</v>
      </c>
      <c r="C409" s="12" t="str">
        <f t="shared" si="8"/>
        <v>SVHC_WRPDR_PR19CA004</v>
      </c>
      <c r="D409" s="12" t="s">
        <v>257</v>
      </c>
      <c r="E409" s="12" t="s">
        <v>255</v>
      </c>
      <c r="F409" s="12" t="s">
        <v>2</v>
      </c>
      <c r="G409" s="12" t="s">
        <v>59</v>
      </c>
      <c r="H409" s="155">
        <f>_xlfn.IFNA(INDEX('Financial model inputs'!$A$3:$AJ$89,MATCH(F_interface!$A409&amp;RIGHT(F_interface!H$2,2),'Financial model inputs'!$A$3:$A$89,0),MATCH(F_interface!$D409,'Financial model inputs'!$A$3:$AJ$3,0)),0)</f>
        <v>0</v>
      </c>
      <c r="I409" s="155">
        <f>_xlfn.IFNA(INDEX('Financial model inputs'!$A$3:$AJ$89,MATCH(F_interface!$A409&amp;RIGHT(F_interface!I$2,2),'Financial model inputs'!$A$3:$A$89,0),MATCH(F_interface!$D409,'Financial model inputs'!$A$3:$AJ$3,0)),0)</f>
        <v>0</v>
      </c>
      <c r="J409" s="155">
        <f>_xlfn.IFNA(INDEX('Financial model inputs'!$A$3:$AJ$89,MATCH(F_interface!$A409&amp;RIGHT(F_interface!J$2,2),'Financial model inputs'!$A$3:$A$89,0),MATCH(F_interface!$D409,'Financial model inputs'!$A$3:$AJ$3,0)),0)</f>
        <v>0</v>
      </c>
      <c r="K409" s="155">
        <f>_xlfn.IFNA(INDEX('Financial model inputs'!$A$3:$AJ$89,MATCH(F_interface!$A409&amp;RIGHT(F_interface!K$2,2),'Financial model inputs'!$A$3:$A$89,0),MATCH(F_interface!$D409,'Financial model inputs'!$A$3:$AJ$3,0)),0)</f>
        <v>0</v>
      </c>
      <c r="L409" s="155">
        <f>_xlfn.IFNA(INDEX('Financial model inputs'!$A$3:$AJ$89,MATCH(F_interface!$A409&amp;RIGHT(F_interface!L$2,2),'Financial model inputs'!$A$3:$A$89,0),MATCH(F_interface!$D409,'Financial model inputs'!$A$3:$AJ$3,0)),0)</f>
        <v>0</v>
      </c>
    </row>
    <row r="410" spans="1:12" x14ac:dyDescent="0.25">
      <c r="A410" s="13" t="s">
        <v>8</v>
      </c>
      <c r="B410" s="4" t="str">
        <f t="shared" si="7"/>
        <v>C_WRPDR_PR19CA004</v>
      </c>
      <c r="C410" s="12" t="str">
        <f t="shared" si="8"/>
        <v>SVTC_WRPDR_PR19CA004</v>
      </c>
      <c r="D410" s="12" t="s">
        <v>257</v>
      </c>
      <c r="E410" s="12" t="s">
        <v>255</v>
      </c>
      <c r="F410" s="12" t="s">
        <v>2</v>
      </c>
      <c r="G410" s="12" t="s">
        <v>59</v>
      </c>
      <c r="H410" s="155">
        <f>_xlfn.IFNA(INDEX('Financial model inputs'!$A$3:$AJ$89,MATCH(F_interface!$A410&amp;RIGHT(F_interface!H$2,2),'Financial model inputs'!$A$3:$A$89,0),MATCH(F_interface!$D410,'Financial model inputs'!$A$3:$AJ$3,0)),0)</f>
        <v>0</v>
      </c>
      <c r="I410" s="155">
        <f>_xlfn.IFNA(INDEX('Financial model inputs'!$A$3:$AJ$89,MATCH(F_interface!$A410&amp;RIGHT(F_interface!I$2,2),'Financial model inputs'!$A$3:$A$89,0),MATCH(F_interface!$D410,'Financial model inputs'!$A$3:$AJ$3,0)),0)</f>
        <v>0</v>
      </c>
      <c r="J410" s="155">
        <f>_xlfn.IFNA(INDEX('Financial model inputs'!$A$3:$AJ$89,MATCH(F_interface!$A410&amp;RIGHT(F_interface!J$2,2),'Financial model inputs'!$A$3:$A$89,0),MATCH(F_interface!$D410,'Financial model inputs'!$A$3:$AJ$3,0)),0)</f>
        <v>0</v>
      </c>
      <c r="K410" s="155">
        <f>_xlfn.IFNA(INDEX('Financial model inputs'!$A$3:$AJ$89,MATCH(F_interface!$A410&amp;RIGHT(F_interface!K$2,2),'Financial model inputs'!$A$3:$A$89,0),MATCH(F_interface!$D410,'Financial model inputs'!$A$3:$AJ$3,0)),0)</f>
        <v>0</v>
      </c>
      <c r="L410" s="155">
        <f>_xlfn.IFNA(INDEX('Financial model inputs'!$A$3:$AJ$89,MATCH(F_interface!$A410&amp;RIGHT(F_interface!L$2,2),'Financial model inputs'!$A$3:$A$89,0),MATCH(F_interface!$D410,'Financial model inputs'!$A$3:$AJ$3,0)),0)</f>
        <v>0</v>
      </c>
    </row>
    <row r="411" spans="1:12" x14ac:dyDescent="0.25">
      <c r="A411" s="13" t="s">
        <v>19</v>
      </c>
      <c r="B411" s="4" t="str">
        <f t="shared" si="7"/>
        <v>C_WRPDR_PR19CA004</v>
      </c>
      <c r="C411" s="12" t="str">
        <f t="shared" si="8"/>
        <v>SWBC_WRPDR_PR19CA004</v>
      </c>
      <c r="D411" s="12" t="s">
        <v>257</v>
      </c>
      <c r="E411" s="12" t="s">
        <v>255</v>
      </c>
      <c r="F411" s="12" t="s">
        <v>2</v>
      </c>
      <c r="G411" s="12" t="s">
        <v>59</v>
      </c>
      <c r="H411" s="155">
        <f>_xlfn.IFNA(INDEX('Financial model inputs'!$A$3:$AJ$89,MATCH(F_interface!$A411&amp;RIGHT(F_interface!H$2,2),'Financial model inputs'!$A$3:$A$89,0),MATCH(F_interface!$D411,'Financial model inputs'!$A$3:$AJ$3,0)),0)</f>
        <v>0.20303680109070174</v>
      </c>
      <c r="I411" s="155">
        <f>_xlfn.IFNA(INDEX('Financial model inputs'!$A$3:$AJ$89,MATCH(F_interface!$A411&amp;RIGHT(F_interface!I$2,2),'Financial model inputs'!$A$3:$A$89,0),MATCH(F_interface!$D411,'Financial model inputs'!$A$3:$AJ$3,0)),0)</f>
        <v>0.20300455196075509</v>
      </c>
      <c r="J411" s="155">
        <f>_xlfn.IFNA(INDEX('Financial model inputs'!$A$3:$AJ$89,MATCH(F_interface!$A411&amp;RIGHT(F_interface!J$2,2),'Financial model inputs'!$A$3:$A$89,0),MATCH(F_interface!$D411,'Financial model inputs'!$A$3:$AJ$3,0)),0)</f>
        <v>0</v>
      </c>
      <c r="K411" s="155">
        <f>_xlfn.IFNA(INDEX('Financial model inputs'!$A$3:$AJ$89,MATCH(F_interface!$A411&amp;RIGHT(F_interface!K$2,2),'Financial model inputs'!$A$3:$A$89,0),MATCH(F_interface!$D411,'Financial model inputs'!$A$3:$AJ$3,0)),0)</f>
        <v>0</v>
      </c>
      <c r="L411" s="155">
        <f>_xlfn.IFNA(INDEX('Financial model inputs'!$A$3:$AJ$89,MATCH(F_interface!$A411&amp;RIGHT(F_interface!L$2,2),'Financial model inputs'!$A$3:$A$89,0),MATCH(F_interface!$D411,'Financial model inputs'!$A$3:$AJ$3,0)),0)</f>
        <v>0</v>
      </c>
    </row>
    <row r="412" spans="1:12" x14ac:dyDescent="0.25">
      <c r="A412" s="13" t="s">
        <v>9</v>
      </c>
      <c r="B412" s="4" t="str">
        <f t="shared" ref="B412:B555" si="9">D412</f>
        <v>C_WRPDR_PR19CA004</v>
      </c>
      <c r="C412" s="12" t="str">
        <f t="shared" si="8"/>
        <v>TMSC_WRPDR_PR19CA004</v>
      </c>
      <c r="D412" s="12" t="s">
        <v>257</v>
      </c>
      <c r="E412" s="12" t="s">
        <v>255</v>
      </c>
      <c r="F412" s="12" t="s">
        <v>2</v>
      </c>
      <c r="G412" s="12" t="s">
        <v>59</v>
      </c>
      <c r="H412" s="155">
        <f>_xlfn.IFNA(INDEX('Financial model inputs'!$A$3:$AJ$89,MATCH(F_interface!$A412&amp;RIGHT(F_interface!H$2,2),'Financial model inputs'!$A$3:$A$89,0),MATCH(F_interface!$D412,'Financial model inputs'!$A$3:$AJ$3,0)),0)</f>
        <v>1.1368805550205505</v>
      </c>
      <c r="I412" s="155">
        <f>_xlfn.IFNA(INDEX('Financial model inputs'!$A$3:$AJ$89,MATCH(F_interface!$A412&amp;RIGHT(F_interface!I$2,2),'Financial model inputs'!$A$3:$A$89,0),MATCH(F_interface!$D412,'Financial model inputs'!$A$3:$AJ$3,0)),0)</f>
        <v>1.1368805550205463</v>
      </c>
      <c r="J412" s="155">
        <f>_xlfn.IFNA(INDEX('Financial model inputs'!$A$3:$AJ$89,MATCH(F_interface!$A412&amp;RIGHT(F_interface!J$2,2),'Financial model inputs'!$A$3:$A$89,0),MATCH(F_interface!$D412,'Financial model inputs'!$A$3:$AJ$3,0)),0)</f>
        <v>1.1368805550205534</v>
      </c>
      <c r="K412" s="155">
        <f>_xlfn.IFNA(INDEX('Financial model inputs'!$A$3:$AJ$89,MATCH(F_interface!$A412&amp;RIGHT(F_interface!K$2,2),'Financial model inputs'!$A$3:$A$89,0),MATCH(F_interface!$D412,'Financial model inputs'!$A$3:$AJ$3,0)),0)</f>
        <v>0</v>
      </c>
      <c r="L412" s="155">
        <f>_xlfn.IFNA(INDEX('Financial model inputs'!$A$3:$AJ$89,MATCH(F_interface!$A412&amp;RIGHT(F_interface!L$2,2),'Financial model inputs'!$A$3:$A$89,0),MATCH(F_interface!$D412,'Financial model inputs'!$A$3:$AJ$3,0)),0)</f>
        <v>0</v>
      </c>
    </row>
    <row r="413" spans="1:12" x14ac:dyDescent="0.25">
      <c r="A413" s="13" t="s">
        <v>23</v>
      </c>
      <c r="B413" s="4" t="str">
        <f t="shared" si="9"/>
        <v>C_WRPDR_PR19CA004</v>
      </c>
      <c r="C413" s="12" t="str">
        <f t="shared" si="8"/>
        <v>WSHC_WRPDR_PR19CA004</v>
      </c>
      <c r="D413" s="12" t="s">
        <v>257</v>
      </c>
      <c r="E413" s="12" t="s">
        <v>255</v>
      </c>
      <c r="F413" s="12" t="s">
        <v>2</v>
      </c>
      <c r="G413" s="12" t="s">
        <v>59</v>
      </c>
      <c r="H413" s="155">
        <f>_xlfn.IFNA(INDEX('Financial model inputs'!$A$3:$AJ$89,MATCH(F_interface!$A413&amp;RIGHT(F_interface!H$2,2),'Financial model inputs'!$A$3:$A$89,0),MATCH(F_interface!$D413,'Financial model inputs'!$A$3:$AJ$3,0)),0)</f>
        <v>0</v>
      </c>
      <c r="I413" s="155">
        <f>_xlfn.IFNA(INDEX('Financial model inputs'!$A$3:$AJ$89,MATCH(F_interface!$A413&amp;RIGHT(F_interface!I$2,2),'Financial model inputs'!$A$3:$A$89,0),MATCH(F_interface!$D413,'Financial model inputs'!$A$3:$AJ$3,0)),0)</f>
        <v>0</v>
      </c>
      <c r="J413" s="155">
        <f>_xlfn.IFNA(INDEX('Financial model inputs'!$A$3:$AJ$89,MATCH(F_interface!$A413&amp;RIGHT(F_interface!J$2,2),'Financial model inputs'!$A$3:$A$89,0),MATCH(F_interface!$D413,'Financial model inputs'!$A$3:$AJ$3,0)),0)</f>
        <v>0</v>
      </c>
      <c r="K413" s="155">
        <f>_xlfn.IFNA(INDEX('Financial model inputs'!$A$3:$AJ$89,MATCH(F_interface!$A413&amp;RIGHT(F_interface!K$2,2),'Financial model inputs'!$A$3:$A$89,0),MATCH(F_interface!$D413,'Financial model inputs'!$A$3:$AJ$3,0)),0)</f>
        <v>0</v>
      </c>
      <c r="L413" s="155">
        <f>_xlfn.IFNA(INDEX('Financial model inputs'!$A$3:$AJ$89,MATCH(F_interface!$A413&amp;RIGHT(F_interface!L$2,2),'Financial model inputs'!$A$3:$A$89,0),MATCH(F_interface!$D413,'Financial model inputs'!$A$3:$AJ$3,0)),0)</f>
        <v>0</v>
      </c>
    </row>
    <row r="414" spans="1:12" x14ac:dyDescent="0.25">
      <c r="A414" s="13" t="s">
        <v>10</v>
      </c>
      <c r="B414" s="4" t="str">
        <f t="shared" si="9"/>
        <v>C_WRPDR_PR19CA004</v>
      </c>
      <c r="C414" s="12" t="str">
        <f t="shared" si="8"/>
        <v>WSXC_WRPDR_PR19CA004</v>
      </c>
      <c r="D414" s="12" t="s">
        <v>257</v>
      </c>
      <c r="E414" s="12" t="s">
        <v>255</v>
      </c>
      <c r="F414" s="12" t="s">
        <v>2</v>
      </c>
      <c r="G414" s="12" t="s">
        <v>59</v>
      </c>
      <c r="H414" s="155">
        <f>_xlfn.IFNA(INDEX('Financial model inputs'!$A$3:$AJ$89,MATCH(F_interface!$A414&amp;RIGHT(F_interface!H$2,2),'Financial model inputs'!$A$3:$A$89,0),MATCH(F_interface!$D414,'Financial model inputs'!$A$3:$AJ$3,0)),0)</f>
        <v>0.22915166393699976</v>
      </c>
      <c r="I414" s="155">
        <f>_xlfn.IFNA(INDEX('Financial model inputs'!$A$3:$AJ$89,MATCH(F_interface!$A414&amp;RIGHT(F_interface!I$2,2),'Financial model inputs'!$A$3:$A$89,0),MATCH(F_interface!$D414,'Financial model inputs'!$A$3:$AJ$3,0)),0)</f>
        <v>0.22289932897759576</v>
      </c>
      <c r="J414" s="155">
        <f>_xlfn.IFNA(INDEX('Financial model inputs'!$A$3:$AJ$89,MATCH(F_interface!$A414&amp;RIGHT(F_interface!J$2,2),'Financial model inputs'!$A$3:$A$89,0),MATCH(F_interface!$D414,'Financial model inputs'!$A$3:$AJ$3,0)),0)</f>
        <v>0.21652862181102139</v>
      </c>
      <c r="K414" s="155">
        <f>_xlfn.IFNA(INDEX('Financial model inputs'!$A$3:$AJ$89,MATCH(F_interface!$A414&amp;RIGHT(F_interface!K$2,2),'Financial model inputs'!$A$3:$A$89,0),MATCH(F_interface!$D414,'Financial model inputs'!$A$3:$AJ$3,0)),0)</f>
        <v>0</v>
      </c>
      <c r="L414" s="155">
        <f>_xlfn.IFNA(INDEX('Financial model inputs'!$A$3:$AJ$89,MATCH(F_interface!$A414&amp;RIGHT(F_interface!L$2,2),'Financial model inputs'!$A$3:$A$89,0),MATCH(F_interface!$D414,'Financial model inputs'!$A$3:$AJ$3,0)),0)</f>
        <v>0</v>
      </c>
    </row>
    <row r="415" spans="1:12" x14ac:dyDescent="0.25">
      <c r="A415" s="13" t="s">
        <v>11</v>
      </c>
      <c r="B415" s="4" t="str">
        <f t="shared" si="9"/>
        <v>C_WRPDR_PR19CA004</v>
      </c>
      <c r="C415" s="12" t="str">
        <f t="shared" si="8"/>
        <v>YKYC_WRPDR_PR19CA004</v>
      </c>
      <c r="D415" s="12" t="s">
        <v>257</v>
      </c>
      <c r="E415" s="12" t="s">
        <v>255</v>
      </c>
      <c r="F415" s="12" t="s">
        <v>2</v>
      </c>
      <c r="G415" s="12" t="s">
        <v>59</v>
      </c>
      <c r="H415" s="155">
        <f>_xlfn.IFNA(INDEX('Financial model inputs'!$A$3:$AJ$89,MATCH(F_interface!$A415&amp;RIGHT(F_interface!H$2,2),'Financial model inputs'!$A$3:$A$89,0),MATCH(F_interface!$D415,'Financial model inputs'!$A$3:$AJ$3,0)),0)</f>
        <v>0.37870200781843089</v>
      </c>
      <c r="I415" s="155">
        <f>_xlfn.IFNA(INDEX('Financial model inputs'!$A$3:$AJ$89,MATCH(F_interface!$A415&amp;RIGHT(F_interface!I$2,2),'Financial model inputs'!$A$3:$A$89,0),MATCH(F_interface!$D415,'Financial model inputs'!$A$3:$AJ$3,0)),0)</f>
        <v>0.37870200781843089</v>
      </c>
      <c r="J415" s="155">
        <f>_xlfn.IFNA(INDEX('Financial model inputs'!$A$3:$AJ$89,MATCH(F_interface!$A415&amp;RIGHT(F_interface!J$2,2),'Financial model inputs'!$A$3:$A$89,0),MATCH(F_interface!$D415,'Financial model inputs'!$A$3:$AJ$3,0)),0)</f>
        <v>0</v>
      </c>
      <c r="K415" s="155">
        <f>_xlfn.IFNA(INDEX('Financial model inputs'!$A$3:$AJ$89,MATCH(F_interface!$A415&amp;RIGHT(F_interface!K$2,2),'Financial model inputs'!$A$3:$A$89,0),MATCH(F_interface!$D415,'Financial model inputs'!$A$3:$AJ$3,0)),0)</f>
        <v>0</v>
      </c>
      <c r="L415" s="155">
        <f>_xlfn.IFNA(INDEX('Financial model inputs'!$A$3:$AJ$89,MATCH(F_interface!$A415&amp;RIGHT(F_interface!L$2,2),'Financial model inputs'!$A$3:$A$89,0),MATCH(F_interface!$D415,'Financial model inputs'!$A$3:$AJ$3,0)),0)</f>
        <v>0</v>
      </c>
    </row>
    <row r="416" spans="1:12" x14ac:dyDescent="0.25">
      <c r="A416" s="13" t="s">
        <v>12</v>
      </c>
      <c r="B416" s="4" t="str">
        <f t="shared" si="9"/>
        <v>C_WRPDR_PR19CA004</v>
      </c>
      <c r="C416" s="12" t="str">
        <f t="shared" si="8"/>
        <v>AFWC_WRPDR_PR19CA004</v>
      </c>
      <c r="D416" s="12" t="s">
        <v>257</v>
      </c>
      <c r="E416" s="12" t="s">
        <v>255</v>
      </c>
      <c r="F416" s="12" t="s">
        <v>2</v>
      </c>
      <c r="G416" s="12" t="s">
        <v>59</v>
      </c>
      <c r="H416" s="155">
        <f>_xlfn.IFNA(INDEX('Financial model inputs'!$A$3:$AJ$89,MATCH(F_interface!$A416&amp;RIGHT(F_interface!H$2,2),'Financial model inputs'!$A$3:$A$89,0),MATCH(F_interface!$D416,'Financial model inputs'!$A$3:$AJ$3,0)),0)</f>
        <v>0</v>
      </c>
      <c r="I416" s="155">
        <f>_xlfn.IFNA(INDEX('Financial model inputs'!$A$3:$AJ$89,MATCH(F_interface!$A416&amp;RIGHT(F_interface!I$2,2),'Financial model inputs'!$A$3:$A$89,0),MATCH(F_interface!$D416,'Financial model inputs'!$A$3:$AJ$3,0)),0)</f>
        <v>0</v>
      </c>
      <c r="J416" s="155">
        <f>_xlfn.IFNA(INDEX('Financial model inputs'!$A$3:$AJ$89,MATCH(F_interface!$A416&amp;RIGHT(F_interface!J$2,2),'Financial model inputs'!$A$3:$A$89,0),MATCH(F_interface!$D416,'Financial model inputs'!$A$3:$AJ$3,0)),0)</f>
        <v>0</v>
      </c>
      <c r="K416" s="155">
        <f>_xlfn.IFNA(INDEX('Financial model inputs'!$A$3:$AJ$89,MATCH(F_interface!$A416&amp;RIGHT(F_interface!K$2,2),'Financial model inputs'!$A$3:$A$89,0),MATCH(F_interface!$D416,'Financial model inputs'!$A$3:$AJ$3,0)),0)</f>
        <v>0</v>
      </c>
      <c r="L416" s="155">
        <f>_xlfn.IFNA(INDEX('Financial model inputs'!$A$3:$AJ$89,MATCH(F_interface!$A416&amp;RIGHT(F_interface!L$2,2),'Financial model inputs'!$A$3:$A$89,0),MATCH(F_interface!$D416,'Financial model inputs'!$A$3:$AJ$3,0)),0)</f>
        <v>0</v>
      </c>
    </row>
    <row r="417" spans="1:12" x14ac:dyDescent="0.25">
      <c r="A417" s="13" t="s">
        <v>13</v>
      </c>
      <c r="B417" s="4" t="str">
        <f t="shared" si="9"/>
        <v>C_WRPDR_PR19CA004</v>
      </c>
      <c r="C417" s="12" t="str">
        <f t="shared" si="8"/>
        <v>BRLC_WRPDR_PR19CA004</v>
      </c>
      <c r="D417" s="12" t="s">
        <v>257</v>
      </c>
      <c r="E417" s="12" t="s">
        <v>255</v>
      </c>
      <c r="F417" s="12" t="s">
        <v>2</v>
      </c>
      <c r="G417" s="12" t="s">
        <v>59</v>
      </c>
      <c r="H417" s="155">
        <f>_xlfn.IFNA(INDEX('Financial model inputs'!$A$3:$AJ$89,MATCH(F_interface!$A417&amp;RIGHT(F_interface!H$2,2),'Financial model inputs'!$A$3:$A$89,0),MATCH(F_interface!$D417,'Financial model inputs'!$A$3:$AJ$3,0)),0)</f>
        <v>0</v>
      </c>
      <c r="I417" s="155">
        <f>_xlfn.IFNA(INDEX('Financial model inputs'!$A$3:$AJ$89,MATCH(F_interface!$A417&amp;RIGHT(F_interface!I$2,2),'Financial model inputs'!$A$3:$A$89,0),MATCH(F_interface!$D417,'Financial model inputs'!$A$3:$AJ$3,0)),0)</f>
        <v>0</v>
      </c>
      <c r="J417" s="155">
        <f>_xlfn.IFNA(INDEX('Financial model inputs'!$A$3:$AJ$89,MATCH(F_interface!$A417&amp;RIGHT(F_interface!J$2,2),'Financial model inputs'!$A$3:$A$89,0),MATCH(F_interface!$D417,'Financial model inputs'!$A$3:$AJ$3,0)),0)</f>
        <v>0</v>
      </c>
      <c r="K417" s="155">
        <f>_xlfn.IFNA(INDEX('Financial model inputs'!$A$3:$AJ$89,MATCH(F_interface!$A417&amp;RIGHT(F_interface!K$2,2),'Financial model inputs'!$A$3:$A$89,0),MATCH(F_interface!$D417,'Financial model inputs'!$A$3:$AJ$3,0)),0)</f>
        <v>0</v>
      </c>
      <c r="L417" s="155">
        <f>_xlfn.IFNA(INDEX('Financial model inputs'!$A$3:$AJ$89,MATCH(F_interface!$A417&amp;RIGHT(F_interface!L$2,2),'Financial model inputs'!$A$3:$A$89,0),MATCH(F_interface!$D417,'Financial model inputs'!$A$3:$AJ$3,0)),0)</f>
        <v>0</v>
      </c>
    </row>
    <row r="418" spans="1:12" x14ac:dyDescent="0.25">
      <c r="A418" s="13" t="s">
        <v>14</v>
      </c>
      <c r="B418" s="4" t="str">
        <f t="shared" si="9"/>
        <v>C_WRPDR_PR19CA004</v>
      </c>
      <c r="C418" s="12" t="str">
        <f t="shared" ref="C418:C561" si="10">A418&amp;B418</f>
        <v>DVWC_WRPDR_PR19CA004</v>
      </c>
      <c r="D418" s="12" t="s">
        <v>257</v>
      </c>
      <c r="E418" s="12" t="s">
        <v>255</v>
      </c>
      <c r="F418" s="12" t="s">
        <v>2</v>
      </c>
      <c r="G418" s="12" t="s">
        <v>59</v>
      </c>
      <c r="H418" s="155">
        <f>_xlfn.IFNA(INDEX('Financial model inputs'!$A$3:$AJ$89,MATCH(F_interface!$A418&amp;RIGHT(F_interface!H$2,2),'Financial model inputs'!$A$3:$A$89,0),MATCH(F_interface!$D418,'Financial model inputs'!$A$3:$AJ$3,0)),0)</f>
        <v>0</v>
      </c>
      <c r="I418" s="155">
        <f>_xlfn.IFNA(INDEX('Financial model inputs'!$A$3:$AJ$89,MATCH(F_interface!$A418&amp;RIGHT(F_interface!I$2,2),'Financial model inputs'!$A$3:$A$89,0),MATCH(F_interface!$D418,'Financial model inputs'!$A$3:$AJ$3,0)),0)</f>
        <v>0</v>
      </c>
      <c r="J418" s="155">
        <f>_xlfn.IFNA(INDEX('Financial model inputs'!$A$3:$AJ$89,MATCH(F_interface!$A418&amp;RIGHT(F_interface!J$2,2),'Financial model inputs'!$A$3:$A$89,0),MATCH(F_interface!$D418,'Financial model inputs'!$A$3:$AJ$3,0)),0)</f>
        <v>0</v>
      </c>
      <c r="K418" s="155">
        <f>_xlfn.IFNA(INDEX('Financial model inputs'!$A$3:$AJ$89,MATCH(F_interface!$A418&amp;RIGHT(F_interface!K$2,2),'Financial model inputs'!$A$3:$A$89,0),MATCH(F_interface!$D418,'Financial model inputs'!$A$3:$AJ$3,0)),0)</f>
        <v>0</v>
      </c>
      <c r="L418" s="155">
        <f>_xlfn.IFNA(INDEX('Financial model inputs'!$A$3:$AJ$89,MATCH(F_interface!$A418&amp;RIGHT(F_interface!L$2,2),'Financial model inputs'!$A$3:$A$89,0),MATCH(F_interface!$D418,'Financial model inputs'!$A$3:$AJ$3,0)),0)</f>
        <v>0</v>
      </c>
    </row>
    <row r="419" spans="1:12" x14ac:dyDescent="0.25">
      <c r="A419" s="13" t="s">
        <v>15</v>
      </c>
      <c r="B419" s="4" t="str">
        <f t="shared" si="9"/>
        <v>C_WRPDR_PR19CA004</v>
      </c>
      <c r="C419" s="12" t="str">
        <f t="shared" si="10"/>
        <v>PRTC_WRPDR_PR19CA004</v>
      </c>
      <c r="D419" s="12" t="s">
        <v>257</v>
      </c>
      <c r="E419" s="12" t="s">
        <v>255</v>
      </c>
      <c r="F419" s="12" t="s">
        <v>2</v>
      </c>
      <c r="G419" s="12" t="s">
        <v>59</v>
      </c>
      <c r="H419" s="155">
        <f>_xlfn.IFNA(INDEX('Financial model inputs'!$A$3:$AJ$89,MATCH(F_interface!$A419&amp;RIGHT(F_interface!H$2,2),'Financial model inputs'!$A$3:$A$89,0),MATCH(F_interface!$D419,'Financial model inputs'!$A$3:$AJ$3,0)),0)</f>
        <v>0</v>
      </c>
      <c r="I419" s="155">
        <f>_xlfn.IFNA(INDEX('Financial model inputs'!$A$3:$AJ$89,MATCH(F_interface!$A419&amp;RIGHT(F_interface!I$2,2),'Financial model inputs'!$A$3:$A$89,0),MATCH(F_interface!$D419,'Financial model inputs'!$A$3:$AJ$3,0)),0)</f>
        <v>0</v>
      </c>
      <c r="J419" s="155">
        <f>_xlfn.IFNA(INDEX('Financial model inputs'!$A$3:$AJ$89,MATCH(F_interface!$A419&amp;RIGHT(F_interface!J$2,2),'Financial model inputs'!$A$3:$A$89,0),MATCH(F_interface!$D419,'Financial model inputs'!$A$3:$AJ$3,0)),0)</f>
        <v>0</v>
      </c>
      <c r="K419" s="155">
        <f>_xlfn.IFNA(INDEX('Financial model inputs'!$A$3:$AJ$89,MATCH(F_interface!$A419&amp;RIGHT(F_interface!K$2,2),'Financial model inputs'!$A$3:$A$89,0),MATCH(F_interface!$D419,'Financial model inputs'!$A$3:$AJ$3,0)),0)</f>
        <v>0</v>
      </c>
      <c r="L419" s="155">
        <f>_xlfn.IFNA(INDEX('Financial model inputs'!$A$3:$AJ$89,MATCH(F_interface!$A419&amp;RIGHT(F_interface!L$2,2),'Financial model inputs'!$A$3:$A$89,0),MATCH(F_interface!$D419,'Financial model inputs'!$A$3:$AJ$3,0)),0)</f>
        <v>0</v>
      </c>
    </row>
    <row r="420" spans="1:12" x14ac:dyDescent="0.25">
      <c r="A420" s="13" t="s">
        <v>16</v>
      </c>
      <c r="B420" s="4" t="str">
        <f t="shared" si="9"/>
        <v>C_WRPDR_PR19CA004</v>
      </c>
      <c r="C420" s="12" t="str">
        <f t="shared" si="10"/>
        <v>SESC_WRPDR_PR19CA004</v>
      </c>
      <c r="D420" s="12" t="s">
        <v>257</v>
      </c>
      <c r="E420" s="12" t="s">
        <v>255</v>
      </c>
      <c r="F420" s="12" t="s">
        <v>2</v>
      </c>
      <c r="G420" s="12" t="s">
        <v>59</v>
      </c>
      <c r="H420" s="155">
        <f>_xlfn.IFNA(INDEX('Financial model inputs'!$A$3:$AJ$89,MATCH(F_interface!$A420&amp;RIGHT(F_interface!H$2,2),'Financial model inputs'!$A$3:$A$89,0),MATCH(F_interface!$D420,'Financial model inputs'!$A$3:$AJ$3,0)),0)</f>
        <v>0</v>
      </c>
      <c r="I420" s="155">
        <f>_xlfn.IFNA(INDEX('Financial model inputs'!$A$3:$AJ$89,MATCH(F_interface!$A420&amp;RIGHT(F_interface!I$2,2),'Financial model inputs'!$A$3:$A$89,0),MATCH(F_interface!$D420,'Financial model inputs'!$A$3:$AJ$3,0)),0)</f>
        <v>0</v>
      </c>
      <c r="J420" s="155">
        <f>_xlfn.IFNA(INDEX('Financial model inputs'!$A$3:$AJ$89,MATCH(F_interface!$A420&amp;RIGHT(F_interface!J$2,2),'Financial model inputs'!$A$3:$A$89,0),MATCH(F_interface!$D420,'Financial model inputs'!$A$3:$AJ$3,0)),0)</f>
        <v>0</v>
      </c>
      <c r="K420" s="155">
        <f>_xlfn.IFNA(INDEX('Financial model inputs'!$A$3:$AJ$89,MATCH(F_interface!$A420&amp;RIGHT(F_interface!K$2,2),'Financial model inputs'!$A$3:$A$89,0),MATCH(F_interface!$D420,'Financial model inputs'!$A$3:$AJ$3,0)),0)</f>
        <v>0</v>
      </c>
      <c r="L420" s="155">
        <f>_xlfn.IFNA(INDEX('Financial model inputs'!$A$3:$AJ$89,MATCH(F_interface!$A420&amp;RIGHT(F_interface!L$2,2),'Financial model inputs'!$A$3:$A$89,0),MATCH(F_interface!$D420,'Financial model inputs'!$A$3:$AJ$3,0)),0)</f>
        <v>0</v>
      </c>
    </row>
    <row r="421" spans="1:12" x14ac:dyDescent="0.25">
      <c r="A421" s="13" t="s">
        <v>17</v>
      </c>
      <c r="B421" s="4" t="str">
        <f t="shared" si="9"/>
        <v>C_WRPDR_PR19CA004</v>
      </c>
      <c r="C421" s="12" t="str">
        <f t="shared" si="10"/>
        <v>SEWC_WRPDR_PR19CA004</v>
      </c>
      <c r="D421" s="12" t="s">
        <v>257</v>
      </c>
      <c r="E421" s="12" t="s">
        <v>255</v>
      </c>
      <c r="F421" s="12" t="s">
        <v>2</v>
      </c>
      <c r="G421" s="12" t="s">
        <v>59</v>
      </c>
      <c r="H421" s="155">
        <f>_xlfn.IFNA(INDEX('Financial model inputs'!$A$3:$AJ$89,MATCH(F_interface!$A421&amp;RIGHT(F_interface!H$2,2),'Financial model inputs'!$A$3:$A$89,0),MATCH(F_interface!$D421,'Financial model inputs'!$A$3:$AJ$3,0)),0)</f>
        <v>0.52471961619994423</v>
      </c>
      <c r="I421" s="155">
        <f>_xlfn.IFNA(INDEX('Financial model inputs'!$A$3:$AJ$89,MATCH(F_interface!$A421&amp;RIGHT(F_interface!I$2,2),'Financial model inputs'!$A$3:$A$89,0),MATCH(F_interface!$D421,'Financial model inputs'!$A$3:$AJ$3,0)),0)</f>
        <v>0.51030531439236149</v>
      </c>
      <c r="J421" s="155">
        <f>_xlfn.IFNA(INDEX('Financial model inputs'!$A$3:$AJ$89,MATCH(F_interface!$A421&amp;RIGHT(F_interface!J$2,2),'Financial model inputs'!$A$3:$A$89,0),MATCH(F_interface!$D421,'Financial model inputs'!$A$3:$AJ$3,0)),0)</f>
        <v>0.49623695582816091</v>
      </c>
      <c r="K421" s="155">
        <f>_xlfn.IFNA(INDEX('Financial model inputs'!$A$3:$AJ$89,MATCH(F_interface!$A421&amp;RIGHT(F_interface!K$2,2),'Financial model inputs'!$A$3:$A$89,0),MATCH(F_interface!$D421,'Financial model inputs'!$A$3:$AJ$3,0)),0)</f>
        <v>0.48250623786950098</v>
      </c>
      <c r="L421" s="155">
        <f>_xlfn.IFNA(INDEX('Financial model inputs'!$A$3:$AJ$89,MATCH(F_interface!$A421&amp;RIGHT(F_interface!L$2,2),'Financial model inputs'!$A$3:$A$89,0),MATCH(F_interface!$D421,'Financial model inputs'!$A$3:$AJ$3,0)),0)</f>
        <v>0.46910505714184897</v>
      </c>
    </row>
    <row r="422" spans="1:12" x14ac:dyDescent="0.25">
      <c r="A422" s="13" t="s">
        <v>18</v>
      </c>
      <c r="B422" s="4" t="str">
        <f t="shared" si="9"/>
        <v>C_WRPDR_PR19CA004</v>
      </c>
      <c r="C422" s="12" t="str">
        <f t="shared" si="10"/>
        <v>SSCC_WRPDR_PR19CA004</v>
      </c>
      <c r="D422" s="12" t="s">
        <v>257</v>
      </c>
      <c r="E422" s="12" t="s">
        <v>255</v>
      </c>
      <c r="F422" s="12" t="s">
        <v>2</v>
      </c>
      <c r="G422" s="12" t="s">
        <v>59</v>
      </c>
      <c r="H422" s="155">
        <f>_xlfn.IFNA(INDEX('Financial model inputs'!$A$3:$AJ$89,MATCH(F_interface!$A422&amp;RIGHT(F_interface!H$2,2),'Financial model inputs'!$A$3:$A$89,0),MATCH(F_interface!$D422,'Financial model inputs'!$A$3:$AJ$3,0)),0)</f>
        <v>0.16476876289022505</v>
      </c>
      <c r="I422" s="155">
        <f>_xlfn.IFNA(INDEX('Financial model inputs'!$A$3:$AJ$89,MATCH(F_interface!$A422&amp;RIGHT(F_interface!I$2,2),'Financial model inputs'!$A$3:$A$89,0),MATCH(F_interface!$D422,'Financial model inputs'!$A$3:$AJ$3,0)),0)</f>
        <v>0.16476876289022505</v>
      </c>
      <c r="J422" s="155">
        <f>_xlfn.IFNA(INDEX('Financial model inputs'!$A$3:$AJ$89,MATCH(F_interface!$A422&amp;RIGHT(F_interface!J$2,2),'Financial model inputs'!$A$3:$A$89,0),MATCH(F_interface!$D422,'Financial model inputs'!$A$3:$AJ$3,0)),0)</f>
        <v>0.16476876289022505</v>
      </c>
      <c r="K422" s="155">
        <f>_xlfn.IFNA(INDEX('Financial model inputs'!$A$3:$AJ$89,MATCH(F_interface!$A422&amp;RIGHT(F_interface!K$2,2),'Financial model inputs'!$A$3:$A$89,0),MATCH(F_interface!$D422,'Financial model inputs'!$A$3:$AJ$3,0)),0)</f>
        <v>0.16476876289022505</v>
      </c>
      <c r="L422" s="155">
        <f>_xlfn.IFNA(INDEX('Financial model inputs'!$A$3:$AJ$89,MATCH(F_interface!$A422&amp;RIGHT(F_interface!L$2,2),'Financial model inputs'!$A$3:$A$89,0),MATCH(F_interface!$D422,'Financial model inputs'!$A$3:$AJ$3,0)),0)</f>
        <v>0.16476876289022505</v>
      </c>
    </row>
    <row r="423" spans="1:12" x14ac:dyDescent="0.25">
      <c r="A423" s="13" t="s">
        <v>4</v>
      </c>
      <c r="B423" s="4" t="str">
        <f t="shared" si="9"/>
        <v>C_WNPDR_PR19CA004</v>
      </c>
      <c r="C423" s="12" t="str">
        <f t="shared" si="10"/>
        <v>ANHC_WNPDR_PR19CA004</v>
      </c>
      <c r="D423" s="12" t="s">
        <v>258</v>
      </c>
      <c r="E423" s="12" t="s">
        <v>256</v>
      </c>
      <c r="F423" s="12" t="s">
        <v>2</v>
      </c>
      <c r="G423" s="12" t="s">
        <v>59</v>
      </c>
      <c r="H423" s="155">
        <f>_xlfn.IFNA(INDEX('Financial model inputs'!$A$3:$AJ$89,MATCH(F_interface!$A423&amp;RIGHT(F_interface!H$2,2),'Financial model inputs'!$A$3:$A$89,0),MATCH(F_interface!$D423,'Financial model inputs'!$A$3:$AJ$3,0)),0)</f>
        <v>8.128695492213506</v>
      </c>
      <c r="I423" s="155">
        <f>_xlfn.IFNA(INDEX('Financial model inputs'!$A$3:$AJ$89,MATCH(F_interface!$A423&amp;RIGHT(F_interface!I$2,2),'Financial model inputs'!$A$3:$A$89,0),MATCH(F_interface!$D423,'Financial model inputs'!$A$3:$AJ$3,0)),0)</f>
        <v>8.1285284054681419</v>
      </c>
      <c r="J423" s="155">
        <f>_xlfn.IFNA(INDEX('Financial model inputs'!$A$3:$AJ$89,MATCH(F_interface!$A423&amp;RIGHT(F_interface!J$2,2),'Financial model inputs'!$A$3:$A$89,0),MATCH(F_interface!$D423,'Financial model inputs'!$A$3:$AJ$3,0)),0)</f>
        <v>8.1289637255167584</v>
      </c>
      <c r="K423" s="155">
        <f>_xlfn.IFNA(INDEX('Financial model inputs'!$A$3:$AJ$89,MATCH(F_interface!$A423&amp;RIGHT(F_interface!K$2,2),'Financial model inputs'!$A$3:$A$89,0),MATCH(F_interface!$D423,'Financial model inputs'!$A$3:$AJ$3,0)),0)</f>
        <v>0</v>
      </c>
      <c r="L423" s="155">
        <f>_xlfn.IFNA(INDEX('Financial model inputs'!$A$3:$AJ$89,MATCH(F_interface!$A423&amp;RIGHT(F_interface!L$2,2),'Financial model inputs'!$A$3:$A$89,0),MATCH(F_interface!$D423,'Financial model inputs'!$A$3:$AJ$3,0)),0)</f>
        <v>0</v>
      </c>
    </row>
    <row r="424" spans="1:12" x14ac:dyDescent="0.25">
      <c r="A424" s="13" t="s">
        <v>90</v>
      </c>
      <c r="B424" s="4" t="str">
        <f t="shared" si="9"/>
        <v>C_WNPDR_PR19CA004</v>
      </c>
      <c r="C424" s="12" t="str">
        <f t="shared" si="10"/>
        <v>HDDC_WNPDR_PR19CA004</v>
      </c>
      <c r="D424" s="12" t="s">
        <v>258</v>
      </c>
      <c r="E424" s="12" t="s">
        <v>256</v>
      </c>
      <c r="F424" s="12" t="s">
        <v>2</v>
      </c>
      <c r="G424" s="12" t="s">
        <v>59</v>
      </c>
      <c r="H424" s="155">
        <f>_xlfn.IFNA(INDEX('Financial model inputs'!$A$3:$AJ$89,MATCH(F_interface!$A424&amp;RIGHT(F_interface!H$2,2),'Financial model inputs'!$A$3:$A$89,0),MATCH(F_interface!$D424,'Financial model inputs'!$A$3:$AJ$3,0)),0)</f>
        <v>0.25010066192863895</v>
      </c>
      <c r="I424" s="155">
        <f>_xlfn.IFNA(INDEX('Financial model inputs'!$A$3:$AJ$89,MATCH(F_interface!$A424&amp;RIGHT(F_interface!I$2,2),'Financial model inputs'!$A$3:$A$89,0),MATCH(F_interface!$D424,'Financial model inputs'!$A$3:$AJ$3,0)),0)</f>
        <v>0.25010066192863895</v>
      </c>
      <c r="J424" s="155">
        <f>_xlfn.IFNA(INDEX('Financial model inputs'!$A$3:$AJ$89,MATCH(F_interface!$A424&amp;RIGHT(F_interface!J$2,2),'Financial model inputs'!$A$3:$A$89,0),MATCH(F_interface!$D424,'Financial model inputs'!$A$3:$AJ$3,0)),0)</f>
        <v>0.25010066192863895</v>
      </c>
      <c r="K424" s="155">
        <f>_xlfn.IFNA(INDEX('Financial model inputs'!$A$3:$AJ$89,MATCH(F_interface!$A424&amp;RIGHT(F_interface!K$2,2),'Financial model inputs'!$A$3:$A$89,0),MATCH(F_interface!$D424,'Financial model inputs'!$A$3:$AJ$3,0)),0)</f>
        <v>0.25010066192863895</v>
      </c>
      <c r="L424" s="155">
        <f>_xlfn.IFNA(INDEX('Financial model inputs'!$A$3:$AJ$89,MATCH(F_interface!$A424&amp;RIGHT(F_interface!L$2,2),'Financial model inputs'!$A$3:$A$89,0),MATCH(F_interface!$D424,'Financial model inputs'!$A$3:$AJ$3,0)),0)</f>
        <v>0</v>
      </c>
    </row>
    <row r="425" spans="1:12" x14ac:dyDescent="0.25">
      <c r="A425" s="13" t="s">
        <v>5</v>
      </c>
      <c r="B425" s="4" t="str">
        <f t="shared" si="9"/>
        <v>C_WNPDR_PR19CA004</v>
      </c>
      <c r="C425" s="12" t="str">
        <f t="shared" si="10"/>
        <v>NESC_WNPDR_PR19CA004</v>
      </c>
      <c r="D425" s="12" t="s">
        <v>258</v>
      </c>
      <c r="E425" s="12" t="s">
        <v>256</v>
      </c>
      <c r="F425" s="12" t="s">
        <v>2</v>
      </c>
      <c r="G425" s="12" t="s">
        <v>59</v>
      </c>
      <c r="H425" s="155">
        <f>_xlfn.IFNA(INDEX('Financial model inputs'!$A$3:$AJ$89,MATCH(F_interface!$A425&amp;RIGHT(F_interface!H$2,2),'Financial model inputs'!$A$3:$A$89,0),MATCH(F_interface!$D425,'Financial model inputs'!$A$3:$AJ$3,0)),0)</f>
        <v>4.8237106409702033</v>
      </c>
      <c r="I425" s="155">
        <f>_xlfn.IFNA(INDEX('Financial model inputs'!$A$3:$AJ$89,MATCH(F_interface!$A425&amp;RIGHT(F_interface!I$2,2),'Financial model inputs'!$A$3:$A$89,0),MATCH(F_interface!$D425,'Financial model inputs'!$A$3:$AJ$3,0)),0)</f>
        <v>4.8238650106464762</v>
      </c>
      <c r="J425" s="155">
        <f>_xlfn.IFNA(INDEX('Financial model inputs'!$A$3:$AJ$89,MATCH(F_interface!$A425&amp;RIGHT(F_interface!J$2,2),'Financial model inputs'!$A$3:$A$89,0),MATCH(F_interface!$D425,'Financial model inputs'!$A$3:$AJ$3,0)),0)</f>
        <v>4.8233670083827915</v>
      </c>
      <c r="K425" s="155">
        <f>_xlfn.IFNA(INDEX('Financial model inputs'!$A$3:$AJ$89,MATCH(F_interface!$A425&amp;RIGHT(F_interface!K$2,2),'Financial model inputs'!$A$3:$A$89,0),MATCH(F_interface!$D425,'Financial model inputs'!$A$3:$AJ$3,0)),0)</f>
        <v>4.8233270739181462</v>
      </c>
      <c r="L425" s="155">
        <f>_xlfn.IFNA(INDEX('Financial model inputs'!$A$3:$AJ$89,MATCH(F_interface!$A425&amp;RIGHT(F_interface!L$2,2),'Financial model inputs'!$A$3:$A$89,0),MATCH(F_interface!$D425,'Financial model inputs'!$A$3:$AJ$3,0)),0)</f>
        <v>4.8238992739206976</v>
      </c>
    </row>
    <row r="426" spans="1:12" x14ac:dyDescent="0.25">
      <c r="A426" s="13" t="s">
        <v>6</v>
      </c>
      <c r="B426" s="4" t="str">
        <f t="shared" si="9"/>
        <v>C_WNPDR_PR19CA004</v>
      </c>
      <c r="C426" s="12" t="str">
        <f t="shared" si="10"/>
        <v>NWTC_WNPDR_PR19CA004</v>
      </c>
      <c r="D426" s="12" t="s">
        <v>258</v>
      </c>
      <c r="E426" s="12" t="s">
        <v>256</v>
      </c>
      <c r="F426" s="12" t="s">
        <v>2</v>
      </c>
      <c r="G426" s="12" t="s">
        <v>59</v>
      </c>
      <c r="H426" s="155">
        <f>_xlfn.IFNA(INDEX('Financial model inputs'!$A$3:$AJ$89,MATCH(F_interface!$A426&amp;RIGHT(F_interface!H$2,2),'Financial model inputs'!$A$3:$A$89,0),MATCH(F_interface!$D426,'Financial model inputs'!$A$3:$AJ$3,0)),0)</f>
        <v>0</v>
      </c>
      <c r="I426" s="155">
        <f>_xlfn.IFNA(INDEX('Financial model inputs'!$A$3:$AJ$89,MATCH(F_interface!$A426&amp;RIGHT(F_interface!I$2,2),'Financial model inputs'!$A$3:$A$89,0),MATCH(F_interface!$D426,'Financial model inputs'!$A$3:$AJ$3,0)),0)</f>
        <v>0</v>
      </c>
      <c r="J426" s="155">
        <f>_xlfn.IFNA(INDEX('Financial model inputs'!$A$3:$AJ$89,MATCH(F_interface!$A426&amp;RIGHT(F_interface!J$2,2),'Financial model inputs'!$A$3:$A$89,0),MATCH(F_interface!$D426,'Financial model inputs'!$A$3:$AJ$3,0)),0)</f>
        <v>0</v>
      </c>
      <c r="K426" s="155">
        <f>_xlfn.IFNA(INDEX('Financial model inputs'!$A$3:$AJ$89,MATCH(F_interface!$A426&amp;RIGHT(F_interface!K$2,2),'Financial model inputs'!$A$3:$A$89,0),MATCH(F_interface!$D426,'Financial model inputs'!$A$3:$AJ$3,0)),0)</f>
        <v>0</v>
      </c>
      <c r="L426" s="155">
        <f>_xlfn.IFNA(INDEX('Financial model inputs'!$A$3:$AJ$89,MATCH(F_interface!$A426&amp;RIGHT(F_interface!L$2,2),'Financial model inputs'!$A$3:$A$89,0),MATCH(F_interface!$D426,'Financial model inputs'!$A$3:$AJ$3,0)),0)</f>
        <v>0</v>
      </c>
    </row>
    <row r="427" spans="1:12" x14ac:dyDescent="0.25">
      <c r="A427" s="13" t="s">
        <v>7</v>
      </c>
      <c r="B427" s="4" t="str">
        <f t="shared" si="9"/>
        <v>C_WNPDR_PR19CA004</v>
      </c>
      <c r="C427" s="12" t="str">
        <f t="shared" si="10"/>
        <v>SRNC_WNPDR_PR19CA004</v>
      </c>
      <c r="D427" s="12" t="s">
        <v>258</v>
      </c>
      <c r="E427" s="12" t="s">
        <v>256</v>
      </c>
      <c r="F427" s="12" t="s">
        <v>2</v>
      </c>
      <c r="G427" s="12" t="s">
        <v>59</v>
      </c>
      <c r="H427" s="155">
        <f>_xlfn.IFNA(INDEX('Financial model inputs'!$A$3:$AJ$89,MATCH(F_interface!$A427&amp;RIGHT(F_interface!H$2,2),'Financial model inputs'!$A$3:$A$89,0),MATCH(F_interface!$D427,'Financial model inputs'!$A$3:$AJ$3,0)),0)</f>
        <v>2.8679684780247441</v>
      </c>
      <c r="I427" s="155">
        <f>_xlfn.IFNA(INDEX('Financial model inputs'!$A$3:$AJ$89,MATCH(F_interface!$A427&amp;RIGHT(F_interface!I$2,2),'Financial model inputs'!$A$3:$A$89,0),MATCH(F_interface!$D427,'Financial model inputs'!$A$3:$AJ$3,0)),0)</f>
        <v>2.7962243973734746</v>
      </c>
      <c r="J427" s="155">
        <f>_xlfn.IFNA(INDEX('Financial model inputs'!$A$3:$AJ$89,MATCH(F_interface!$A427&amp;RIGHT(F_interface!J$2,2),'Financial model inputs'!$A$3:$A$89,0),MATCH(F_interface!$D427,'Financial model inputs'!$A$3:$AJ$3,0)),0)</f>
        <v>2.7259952157253382</v>
      </c>
      <c r="K427" s="155">
        <f>_xlfn.IFNA(INDEX('Financial model inputs'!$A$3:$AJ$89,MATCH(F_interface!$A427&amp;RIGHT(F_interface!K$2,2),'Financial model inputs'!$A$3:$A$89,0),MATCH(F_interface!$D427,'Financial model inputs'!$A$3:$AJ$3,0)),0)</f>
        <v>2.6579522852871231</v>
      </c>
      <c r="L427" s="155">
        <f>_xlfn.IFNA(INDEX('Financial model inputs'!$A$3:$AJ$89,MATCH(F_interface!$A427&amp;RIGHT(F_interface!L$2,2),'Financial model inputs'!$A$3:$A$89,0),MATCH(F_interface!$D427,'Financial model inputs'!$A$3:$AJ$3,0)),0)</f>
        <v>2.5914128773162832</v>
      </c>
    </row>
    <row r="428" spans="1:12" x14ac:dyDescent="0.25">
      <c r="A428" s="13" t="s">
        <v>89</v>
      </c>
      <c r="B428" s="4" t="str">
        <f t="shared" si="9"/>
        <v>C_WNPDR_PR19CA004</v>
      </c>
      <c r="C428" s="12" t="str">
        <f t="shared" si="10"/>
        <v>SVEC_WNPDR_PR19CA004</v>
      </c>
      <c r="D428" s="12" t="s">
        <v>258</v>
      </c>
      <c r="E428" s="12" t="s">
        <v>256</v>
      </c>
      <c r="F428" s="12" t="s">
        <v>2</v>
      </c>
      <c r="G428" s="12" t="s">
        <v>59</v>
      </c>
      <c r="H428" s="155">
        <f>_xlfn.IFNA(INDEX('Financial model inputs'!$A$3:$AJ$89,MATCH(F_interface!$A428&amp;RIGHT(F_interface!H$2,2),'Financial model inputs'!$A$3:$A$89,0),MATCH(F_interface!$D428,'Financial model inputs'!$A$3:$AJ$3,0)),0)</f>
        <v>5.3593095658284859</v>
      </c>
      <c r="I428" s="155">
        <f>_xlfn.IFNA(INDEX('Financial model inputs'!$A$3:$AJ$89,MATCH(F_interface!$A428&amp;RIGHT(F_interface!I$2,2),'Financial model inputs'!$A$3:$A$89,0),MATCH(F_interface!$D428,'Financial model inputs'!$A$3:$AJ$3,0)),0)</f>
        <v>5.3593095658284966</v>
      </c>
      <c r="J428" s="155">
        <f>_xlfn.IFNA(INDEX('Financial model inputs'!$A$3:$AJ$89,MATCH(F_interface!$A428&amp;RIGHT(F_interface!J$2,2),'Financial model inputs'!$A$3:$A$89,0),MATCH(F_interface!$D428,'Financial model inputs'!$A$3:$AJ$3,0)),0)</f>
        <v>5.3593095658284833</v>
      </c>
      <c r="K428" s="155">
        <f>_xlfn.IFNA(INDEX('Financial model inputs'!$A$3:$AJ$89,MATCH(F_interface!$A428&amp;RIGHT(F_interface!K$2,2),'Financial model inputs'!$A$3:$A$89,0),MATCH(F_interface!$D428,'Financial model inputs'!$A$3:$AJ$3,0)),0)</f>
        <v>5.3593095658284851</v>
      </c>
      <c r="L428" s="155">
        <f>_xlfn.IFNA(INDEX('Financial model inputs'!$A$3:$AJ$89,MATCH(F_interface!$A428&amp;RIGHT(F_interface!L$2,2),'Financial model inputs'!$A$3:$A$89,0),MATCH(F_interface!$D428,'Financial model inputs'!$A$3:$AJ$3,0)),0)</f>
        <v>5.3593095658284833</v>
      </c>
    </row>
    <row r="429" spans="1:12" x14ac:dyDescent="0.25">
      <c r="A429" s="13" t="s">
        <v>93</v>
      </c>
      <c r="B429" s="4" t="str">
        <f t="shared" si="9"/>
        <v>C_WNPDR_PR19CA004</v>
      </c>
      <c r="C429" s="12" t="str">
        <f t="shared" si="10"/>
        <v>SVHC_WNPDR_PR19CA004</v>
      </c>
      <c r="D429" s="12" t="s">
        <v>258</v>
      </c>
      <c r="E429" s="12" t="s">
        <v>256</v>
      </c>
      <c r="F429" s="12" t="s">
        <v>2</v>
      </c>
      <c r="G429" s="12" t="s">
        <v>59</v>
      </c>
      <c r="H429" s="155">
        <f>_xlfn.IFNA(INDEX('Financial model inputs'!$A$3:$AJ$89,MATCH(F_interface!$A429&amp;RIGHT(F_interface!H$2,2),'Financial model inputs'!$A$3:$A$89,0),MATCH(F_interface!$D429,'Financial model inputs'!$A$3:$AJ$3,0)),0)</f>
        <v>0</v>
      </c>
      <c r="I429" s="155">
        <f>_xlfn.IFNA(INDEX('Financial model inputs'!$A$3:$AJ$89,MATCH(F_interface!$A429&amp;RIGHT(F_interface!I$2,2),'Financial model inputs'!$A$3:$A$89,0),MATCH(F_interface!$D429,'Financial model inputs'!$A$3:$AJ$3,0)),0)</f>
        <v>0</v>
      </c>
      <c r="J429" s="155">
        <f>_xlfn.IFNA(INDEX('Financial model inputs'!$A$3:$AJ$89,MATCH(F_interface!$A429&amp;RIGHT(F_interface!J$2,2),'Financial model inputs'!$A$3:$A$89,0),MATCH(F_interface!$D429,'Financial model inputs'!$A$3:$AJ$3,0)),0)</f>
        <v>0</v>
      </c>
      <c r="K429" s="155">
        <f>_xlfn.IFNA(INDEX('Financial model inputs'!$A$3:$AJ$89,MATCH(F_interface!$A429&amp;RIGHT(F_interface!K$2,2),'Financial model inputs'!$A$3:$A$89,0),MATCH(F_interface!$D429,'Financial model inputs'!$A$3:$AJ$3,0)),0)</f>
        <v>0</v>
      </c>
      <c r="L429" s="155">
        <f>_xlfn.IFNA(INDEX('Financial model inputs'!$A$3:$AJ$89,MATCH(F_interface!$A429&amp;RIGHT(F_interface!L$2,2),'Financial model inputs'!$A$3:$A$89,0),MATCH(F_interface!$D429,'Financial model inputs'!$A$3:$AJ$3,0)),0)</f>
        <v>0</v>
      </c>
    </row>
    <row r="430" spans="1:12" x14ac:dyDescent="0.25">
      <c r="A430" s="13" t="s">
        <v>8</v>
      </c>
      <c r="B430" s="4" t="str">
        <f t="shared" si="9"/>
        <v>C_WNPDR_PR19CA004</v>
      </c>
      <c r="C430" s="12" t="str">
        <f t="shared" si="10"/>
        <v>SVTC_WNPDR_PR19CA004</v>
      </c>
      <c r="D430" s="12" t="s">
        <v>258</v>
      </c>
      <c r="E430" s="12" t="s">
        <v>256</v>
      </c>
      <c r="F430" s="12" t="s">
        <v>2</v>
      </c>
      <c r="G430" s="12" t="s">
        <v>59</v>
      </c>
      <c r="H430" s="155">
        <f>_xlfn.IFNA(INDEX('Financial model inputs'!$A$3:$AJ$89,MATCH(F_interface!$A430&amp;RIGHT(F_interface!H$2,2),'Financial model inputs'!$A$3:$A$89,0),MATCH(F_interface!$D430,'Financial model inputs'!$A$3:$AJ$3,0)),0)</f>
        <v>0</v>
      </c>
      <c r="I430" s="155">
        <f>_xlfn.IFNA(INDEX('Financial model inputs'!$A$3:$AJ$89,MATCH(F_interface!$A430&amp;RIGHT(F_interface!I$2,2),'Financial model inputs'!$A$3:$A$89,0),MATCH(F_interface!$D430,'Financial model inputs'!$A$3:$AJ$3,0)),0)</f>
        <v>0</v>
      </c>
      <c r="J430" s="155">
        <f>_xlfn.IFNA(INDEX('Financial model inputs'!$A$3:$AJ$89,MATCH(F_interface!$A430&amp;RIGHT(F_interface!J$2,2),'Financial model inputs'!$A$3:$A$89,0),MATCH(F_interface!$D430,'Financial model inputs'!$A$3:$AJ$3,0)),0)</f>
        <v>0</v>
      </c>
      <c r="K430" s="155">
        <f>_xlfn.IFNA(INDEX('Financial model inputs'!$A$3:$AJ$89,MATCH(F_interface!$A430&amp;RIGHT(F_interface!K$2,2),'Financial model inputs'!$A$3:$A$89,0),MATCH(F_interface!$D430,'Financial model inputs'!$A$3:$AJ$3,0)),0)</f>
        <v>0</v>
      </c>
      <c r="L430" s="155">
        <f>_xlfn.IFNA(INDEX('Financial model inputs'!$A$3:$AJ$89,MATCH(F_interface!$A430&amp;RIGHT(F_interface!L$2,2),'Financial model inputs'!$A$3:$A$89,0),MATCH(F_interface!$D430,'Financial model inputs'!$A$3:$AJ$3,0)),0)</f>
        <v>0</v>
      </c>
    </row>
    <row r="431" spans="1:12" x14ac:dyDescent="0.25">
      <c r="A431" s="13" t="s">
        <v>19</v>
      </c>
      <c r="B431" s="4" t="str">
        <f t="shared" si="9"/>
        <v>C_WNPDR_PR19CA004</v>
      </c>
      <c r="C431" s="12" t="str">
        <f t="shared" si="10"/>
        <v>SWBC_WNPDR_PR19CA004</v>
      </c>
      <c r="D431" s="12" t="s">
        <v>258</v>
      </c>
      <c r="E431" s="12" t="s">
        <v>256</v>
      </c>
      <c r="F431" s="12" t="s">
        <v>2</v>
      </c>
      <c r="G431" s="12" t="s">
        <v>59</v>
      </c>
      <c r="H431" s="155">
        <f>_xlfn.IFNA(INDEX('Financial model inputs'!$A$3:$AJ$89,MATCH(F_interface!$A431&amp;RIGHT(F_interface!H$2,2),'Financial model inputs'!$A$3:$A$89,0),MATCH(F_interface!$D431,'Financial model inputs'!$A$3:$AJ$3,0)),0)</f>
        <v>4.4299843218368311</v>
      </c>
      <c r="I431" s="155">
        <f>_xlfn.IFNA(INDEX('Financial model inputs'!$A$3:$AJ$89,MATCH(F_interface!$A431&amp;RIGHT(F_interface!I$2,2),'Financial model inputs'!$A$3:$A$89,0),MATCH(F_interface!$D431,'Financial model inputs'!$A$3:$AJ$3,0)),0)</f>
        <v>4.4296381605028845</v>
      </c>
      <c r="J431" s="155">
        <f>_xlfn.IFNA(INDEX('Financial model inputs'!$A$3:$AJ$89,MATCH(F_interface!$A431&amp;RIGHT(F_interface!J$2,2),'Financial model inputs'!$A$3:$A$89,0),MATCH(F_interface!$D431,'Financial model inputs'!$A$3:$AJ$3,0)),0)</f>
        <v>0</v>
      </c>
      <c r="K431" s="155">
        <f>_xlfn.IFNA(INDEX('Financial model inputs'!$A$3:$AJ$89,MATCH(F_interface!$A431&amp;RIGHT(F_interface!K$2,2),'Financial model inputs'!$A$3:$A$89,0),MATCH(F_interface!$D431,'Financial model inputs'!$A$3:$AJ$3,0)),0)</f>
        <v>0</v>
      </c>
      <c r="L431" s="155">
        <f>_xlfn.IFNA(INDEX('Financial model inputs'!$A$3:$AJ$89,MATCH(F_interface!$A431&amp;RIGHT(F_interface!L$2,2),'Financial model inputs'!$A$3:$A$89,0),MATCH(F_interface!$D431,'Financial model inputs'!$A$3:$AJ$3,0)),0)</f>
        <v>0</v>
      </c>
    </row>
    <row r="432" spans="1:12" x14ac:dyDescent="0.25">
      <c r="A432" s="13" t="s">
        <v>9</v>
      </c>
      <c r="B432" s="4" t="str">
        <f t="shared" si="9"/>
        <v>C_WNPDR_PR19CA004</v>
      </c>
      <c r="C432" s="12" t="str">
        <f t="shared" si="10"/>
        <v>TMSC_WNPDR_PR19CA004</v>
      </c>
      <c r="D432" s="12" t="s">
        <v>258</v>
      </c>
      <c r="E432" s="12" t="s">
        <v>256</v>
      </c>
      <c r="F432" s="12" t="s">
        <v>2</v>
      </c>
      <c r="G432" s="12" t="s">
        <v>59</v>
      </c>
      <c r="H432" s="155">
        <f>_xlfn.IFNA(INDEX('Financial model inputs'!$A$3:$AJ$89,MATCH(F_interface!$A432&amp;RIGHT(F_interface!H$2,2),'Financial model inputs'!$A$3:$A$89,0),MATCH(F_interface!$D432,'Financial model inputs'!$A$3:$AJ$3,0)),0)</f>
        <v>9.9512285700137646</v>
      </c>
      <c r="I432" s="155">
        <f>_xlfn.IFNA(INDEX('Financial model inputs'!$A$3:$AJ$89,MATCH(F_interface!$A432&amp;RIGHT(F_interface!I$2,2),'Financial model inputs'!$A$3:$A$89,0),MATCH(F_interface!$D432,'Financial model inputs'!$A$3:$AJ$3,0)),0)</f>
        <v>9.951228570013738</v>
      </c>
      <c r="J432" s="155">
        <f>_xlfn.IFNA(INDEX('Financial model inputs'!$A$3:$AJ$89,MATCH(F_interface!$A432&amp;RIGHT(F_interface!J$2,2),'Financial model inputs'!$A$3:$A$89,0),MATCH(F_interface!$D432,'Financial model inputs'!$A$3:$AJ$3,0)),0)</f>
        <v>9.9512285700137433</v>
      </c>
      <c r="K432" s="155">
        <f>_xlfn.IFNA(INDEX('Financial model inputs'!$A$3:$AJ$89,MATCH(F_interface!$A432&amp;RIGHT(F_interface!K$2,2),'Financial model inputs'!$A$3:$A$89,0),MATCH(F_interface!$D432,'Financial model inputs'!$A$3:$AJ$3,0)),0)</f>
        <v>0</v>
      </c>
      <c r="L432" s="155">
        <f>_xlfn.IFNA(INDEX('Financial model inputs'!$A$3:$AJ$89,MATCH(F_interface!$A432&amp;RIGHT(F_interface!L$2,2),'Financial model inputs'!$A$3:$A$89,0),MATCH(F_interface!$D432,'Financial model inputs'!$A$3:$AJ$3,0)),0)</f>
        <v>0</v>
      </c>
    </row>
    <row r="433" spans="1:12" x14ac:dyDescent="0.25">
      <c r="A433" s="13" t="s">
        <v>23</v>
      </c>
      <c r="B433" s="4" t="str">
        <f t="shared" si="9"/>
        <v>C_WNPDR_PR19CA004</v>
      </c>
      <c r="C433" s="12" t="str">
        <f t="shared" si="10"/>
        <v>WSHC_WNPDR_PR19CA004</v>
      </c>
      <c r="D433" s="12" t="s">
        <v>258</v>
      </c>
      <c r="E433" s="12" t="s">
        <v>256</v>
      </c>
      <c r="F433" s="12" t="s">
        <v>2</v>
      </c>
      <c r="G433" s="12" t="s">
        <v>59</v>
      </c>
      <c r="H433" s="155">
        <f>_xlfn.IFNA(INDEX('Financial model inputs'!$A$3:$AJ$89,MATCH(F_interface!$A433&amp;RIGHT(F_interface!H$2,2),'Financial model inputs'!$A$3:$A$89,0),MATCH(F_interface!$D433,'Financial model inputs'!$A$3:$AJ$3,0)),0)</f>
        <v>0</v>
      </c>
      <c r="I433" s="155">
        <f>_xlfn.IFNA(INDEX('Financial model inputs'!$A$3:$AJ$89,MATCH(F_interface!$A433&amp;RIGHT(F_interface!I$2,2),'Financial model inputs'!$A$3:$A$89,0),MATCH(F_interface!$D433,'Financial model inputs'!$A$3:$AJ$3,0)),0)</f>
        <v>0</v>
      </c>
      <c r="J433" s="155">
        <f>_xlfn.IFNA(INDEX('Financial model inputs'!$A$3:$AJ$89,MATCH(F_interface!$A433&amp;RIGHT(F_interface!J$2,2),'Financial model inputs'!$A$3:$A$89,0),MATCH(F_interface!$D433,'Financial model inputs'!$A$3:$AJ$3,0)),0)</f>
        <v>0</v>
      </c>
      <c r="K433" s="155">
        <f>_xlfn.IFNA(INDEX('Financial model inputs'!$A$3:$AJ$89,MATCH(F_interface!$A433&amp;RIGHT(F_interface!K$2,2),'Financial model inputs'!$A$3:$A$89,0),MATCH(F_interface!$D433,'Financial model inputs'!$A$3:$AJ$3,0)),0)</f>
        <v>0</v>
      </c>
      <c r="L433" s="155">
        <f>_xlfn.IFNA(INDEX('Financial model inputs'!$A$3:$AJ$89,MATCH(F_interface!$A433&amp;RIGHT(F_interface!L$2,2),'Financial model inputs'!$A$3:$A$89,0),MATCH(F_interface!$D433,'Financial model inputs'!$A$3:$AJ$3,0)),0)</f>
        <v>0</v>
      </c>
    </row>
    <row r="434" spans="1:12" x14ac:dyDescent="0.25">
      <c r="A434" s="13" t="s">
        <v>10</v>
      </c>
      <c r="B434" s="4" t="str">
        <f t="shared" si="9"/>
        <v>C_WNPDR_PR19CA004</v>
      </c>
      <c r="C434" s="12" t="str">
        <f t="shared" si="10"/>
        <v>WSXC_WNPDR_PR19CA004</v>
      </c>
      <c r="D434" s="12" t="s">
        <v>258</v>
      </c>
      <c r="E434" s="12" t="s">
        <v>256</v>
      </c>
      <c r="F434" s="12" t="s">
        <v>2</v>
      </c>
      <c r="G434" s="12" t="s">
        <v>59</v>
      </c>
      <c r="H434" s="155">
        <f>_xlfn.IFNA(INDEX('Financial model inputs'!$A$3:$AJ$89,MATCH(F_interface!$A434&amp;RIGHT(F_interface!H$2,2),'Financial model inputs'!$A$3:$A$89,0),MATCH(F_interface!$D434,'Financial model inputs'!$A$3:$AJ$3,0)),0)</f>
        <v>1.7099988255298733</v>
      </c>
      <c r="I434" s="155">
        <f>_xlfn.IFNA(INDEX('Financial model inputs'!$A$3:$AJ$89,MATCH(F_interface!$A434&amp;RIGHT(F_interface!I$2,2),'Financial model inputs'!$A$3:$A$89,0),MATCH(F_interface!$D434,'Financial model inputs'!$A$3:$AJ$3,0)),0)</f>
        <v>1.6620536921590292</v>
      </c>
      <c r="J434" s="155">
        <f>_xlfn.IFNA(INDEX('Financial model inputs'!$A$3:$AJ$89,MATCH(F_interface!$A434&amp;RIGHT(F_interface!J$2,2),'Financial model inputs'!$A$3:$A$89,0),MATCH(F_interface!$D434,'Financial model inputs'!$A$3:$AJ$3,0)),0)</f>
        <v>1.6156366396668518</v>
      </c>
      <c r="K434" s="155">
        <f>_xlfn.IFNA(INDEX('Financial model inputs'!$A$3:$AJ$89,MATCH(F_interface!$A434&amp;RIGHT(F_interface!K$2,2),'Financial model inputs'!$A$3:$A$89,0),MATCH(F_interface!$D434,'Financial model inputs'!$A$3:$AJ$3,0)),0)</f>
        <v>0</v>
      </c>
      <c r="L434" s="155">
        <f>_xlfn.IFNA(INDEX('Financial model inputs'!$A$3:$AJ$89,MATCH(F_interface!$A434&amp;RIGHT(F_interface!L$2,2),'Financial model inputs'!$A$3:$A$89,0),MATCH(F_interface!$D434,'Financial model inputs'!$A$3:$AJ$3,0)),0)</f>
        <v>0</v>
      </c>
    </row>
    <row r="435" spans="1:12" x14ac:dyDescent="0.25">
      <c r="A435" s="13" t="s">
        <v>11</v>
      </c>
      <c r="B435" s="4" t="str">
        <f t="shared" si="9"/>
        <v>C_WNPDR_PR19CA004</v>
      </c>
      <c r="C435" s="12" t="str">
        <f t="shared" si="10"/>
        <v>YKYC_WNPDR_PR19CA004</v>
      </c>
      <c r="D435" s="12" t="s">
        <v>258</v>
      </c>
      <c r="E435" s="12" t="s">
        <v>256</v>
      </c>
      <c r="F435" s="12" t="s">
        <v>2</v>
      </c>
      <c r="G435" s="12" t="s">
        <v>59</v>
      </c>
      <c r="H435" s="155">
        <f>_xlfn.IFNA(INDEX('Financial model inputs'!$A$3:$AJ$89,MATCH(F_interface!$A435&amp;RIGHT(F_interface!H$2,2),'Financial model inputs'!$A$3:$A$89,0),MATCH(F_interface!$D435,'Financial model inputs'!$A$3:$AJ$3,0)),0)</f>
        <v>5.9574059054699999</v>
      </c>
      <c r="I435" s="155">
        <f>_xlfn.IFNA(INDEX('Financial model inputs'!$A$3:$AJ$89,MATCH(F_interface!$A435&amp;RIGHT(F_interface!I$2,2),'Financial model inputs'!$A$3:$A$89,0),MATCH(F_interface!$D435,'Financial model inputs'!$A$3:$AJ$3,0)),0)</f>
        <v>5.9574059054699999</v>
      </c>
      <c r="J435" s="155">
        <f>_xlfn.IFNA(INDEX('Financial model inputs'!$A$3:$AJ$89,MATCH(F_interface!$A435&amp;RIGHT(F_interface!J$2,2),'Financial model inputs'!$A$3:$A$89,0),MATCH(F_interface!$D435,'Financial model inputs'!$A$3:$AJ$3,0)),0)</f>
        <v>0</v>
      </c>
      <c r="K435" s="155">
        <f>_xlfn.IFNA(INDEX('Financial model inputs'!$A$3:$AJ$89,MATCH(F_interface!$A435&amp;RIGHT(F_interface!K$2,2),'Financial model inputs'!$A$3:$A$89,0),MATCH(F_interface!$D435,'Financial model inputs'!$A$3:$AJ$3,0)),0)</f>
        <v>0</v>
      </c>
      <c r="L435" s="155">
        <f>_xlfn.IFNA(INDEX('Financial model inputs'!$A$3:$AJ$89,MATCH(F_interface!$A435&amp;RIGHT(F_interface!L$2,2),'Financial model inputs'!$A$3:$A$89,0),MATCH(F_interface!$D435,'Financial model inputs'!$A$3:$AJ$3,0)),0)</f>
        <v>0</v>
      </c>
    </row>
    <row r="436" spans="1:12" x14ac:dyDescent="0.25">
      <c r="A436" s="13" t="s">
        <v>12</v>
      </c>
      <c r="B436" s="4" t="str">
        <f t="shared" si="9"/>
        <v>C_WNPDR_PR19CA004</v>
      </c>
      <c r="C436" s="12" t="str">
        <f t="shared" si="10"/>
        <v>AFWC_WNPDR_PR19CA004</v>
      </c>
      <c r="D436" s="12" t="s">
        <v>258</v>
      </c>
      <c r="E436" s="12" t="s">
        <v>256</v>
      </c>
      <c r="F436" s="12" t="s">
        <v>2</v>
      </c>
      <c r="G436" s="12" t="s">
        <v>59</v>
      </c>
      <c r="H436" s="155">
        <f>_xlfn.IFNA(INDEX('Financial model inputs'!$A$3:$AJ$89,MATCH(F_interface!$A436&amp;RIGHT(F_interface!H$2,2),'Financial model inputs'!$A$3:$A$89,0),MATCH(F_interface!$D436,'Financial model inputs'!$A$3:$AJ$3,0)),0)</f>
        <v>0</v>
      </c>
      <c r="I436" s="155">
        <f>_xlfn.IFNA(INDEX('Financial model inputs'!$A$3:$AJ$89,MATCH(F_interface!$A436&amp;RIGHT(F_interface!I$2,2),'Financial model inputs'!$A$3:$A$89,0),MATCH(F_interface!$D436,'Financial model inputs'!$A$3:$AJ$3,0)),0)</f>
        <v>0</v>
      </c>
      <c r="J436" s="155">
        <f>_xlfn.IFNA(INDEX('Financial model inputs'!$A$3:$AJ$89,MATCH(F_interface!$A436&amp;RIGHT(F_interface!J$2,2),'Financial model inputs'!$A$3:$A$89,0),MATCH(F_interface!$D436,'Financial model inputs'!$A$3:$AJ$3,0)),0)</f>
        <v>0</v>
      </c>
      <c r="K436" s="155">
        <f>_xlfn.IFNA(INDEX('Financial model inputs'!$A$3:$AJ$89,MATCH(F_interface!$A436&amp;RIGHT(F_interface!K$2,2),'Financial model inputs'!$A$3:$A$89,0),MATCH(F_interface!$D436,'Financial model inputs'!$A$3:$AJ$3,0)),0)</f>
        <v>0</v>
      </c>
      <c r="L436" s="155">
        <f>_xlfn.IFNA(INDEX('Financial model inputs'!$A$3:$AJ$89,MATCH(F_interface!$A436&amp;RIGHT(F_interface!L$2,2),'Financial model inputs'!$A$3:$A$89,0),MATCH(F_interface!$D436,'Financial model inputs'!$A$3:$AJ$3,0)),0)</f>
        <v>0</v>
      </c>
    </row>
    <row r="437" spans="1:12" x14ac:dyDescent="0.25">
      <c r="A437" s="13" t="s">
        <v>13</v>
      </c>
      <c r="B437" s="4" t="str">
        <f t="shared" si="9"/>
        <v>C_WNPDR_PR19CA004</v>
      </c>
      <c r="C437" s="12" t="str">
        <f t="shared" si="10"/>
        <v>BRLC_WNPDR_PR19CA004</v>
      </c>
      <c r="D437" s="12" t="s">
        <v>258</v>
      </c>
      <c r="E437" s="12" t="s">
        <v>256</v>
      </c>
      <c r="F437" s="12" t="s">
        <v>2</v>
      </c>
      <c r="G437" s="12" t="s">
        <v>59</v>
      </c>
      <c r="H437" s="155">
        <f>_xlfn.IFNA(INDEX('Financial model inputs'!$A$3:$AJ$89,MATCH(F_interface!$A437&amp;RIGHT(F_interface!H$2,2),'Financial model inputs'!$A$3:$A$89,0),MATCH(F_interface!$D437,'Financial model inputs'!$A$3:$AJ$3,0)),0)</f>
        <v>0</v>
      </c>
      <c r="I437" s="155">
        <f>_xlfn.IFNA(INDEX('Financial model inputs'!$A$3:$AJ$89,MATCH(F_interface!$A437&amp;RIGHT(F_interface!I$2,2),'Financial model inputs'!$A$3:$A$89,0),MATCH(F_interface!$D437,'Financial model inputs'!$A$3:$AJ$3,0)),0)</f>
        <v>0</v>
      </c>
      <c r="J437" s="155">
        <f>_xlfn.IFNA(INDEX('Financial model inputs'!$A$3:$AJ$89,MATCH(F_interface!$A437&amp;RIGHT(F_interface!J$2,2),'Financial model inputs'!$A$3:$A$89,0),MATCH(F_interface!$D437,'Financial model inputs'!$A$3:$AJ$3,0)),0)</f>
        <v>0</v>
      </c>
      <c r="K437" s="155">
        <f>_xlfn.IFNA(INDEX('Financial model inputs'!$A$3:$AJ$89,MATCH(F_interface!$A437&amp;RIGHT(F_interface!K$2,2),'Financial model inputs'!$A$3:$A$89,0),MATCH(F_interface!$D437,'Financial model inputs'!$A$3:$AJ$3,0)),0)</f>
        <v>0</v>
      </c>
      <c r="L437" s="155">
        <f>_xlfn.IFNA(INDEX('Financial model inputs'!$A$3:$AJ$89,MATCH(F_interface!$A437&amp;RIGHT(F_interface!L$2,2),'Financial model inputs'!$A$3:$A$89,0),MATCH(F_interface!$D437,'Financial model inputs'!$A$3:$AJ$3,0)),0)</f>
        <v>0</v>
      </c>
    </row>
    <row r="438" spans="1:12" x14ac:dyDescent="0.25">
      <c r="A438" s="13" t="s">
        <v>14</v>
      </c>
      <c r="B438" s="4" t="str">
        <f t="shared" si="9"/>
        <v>C_WNPDR_PR19CA004</v>
      </c>
      <c r="C438" s="12" t="str">
        <f t="shared" si="10"/>
        <v>DVWC_WNPDR_PR19CA004</v>
      </c>
      <c r="D438" s="12" t="s">
        <v>258</v>
      </c>
      <c r="E438" s="12" t="s">
        <v>256</v>
      </c>
      <c r="F438" s="12" t="s">
        <v>2</v>
      </c>
      <c r="G438" s="12" t="s">
        <v>59</v>
      </c>
      <c r="H438" s="155">
        <f>_xlfn.IFNA(INDEX('Financial model inputs'!$A$3:$AJ$89,MATCH(F_interface!$A438&amp;RIGHT(F_interface!H$2,2),'Financial model inputs'!$A$3:$A$89,0),MATCH(F_interface!$D438,'Financial model inputs'!$A$3:$AJ$3,0)),0)</f>
        <v>0</v>
      </c>
      <c r="I438" s="155">
        <f>_xlfn.IFNA(INDEX('Financial model inputs'!$A$3:$AJ$89,MATCH(F_interface!$A438&amp;RIGHT(F_interface!I$2,2),'Financial model inputs'!$A$3:$A$89,0),MATCH(F_interface!$D438,'Financial model inputs'!$A$3:$AJ$3,0)),0)</f>
        <v>0</v>
      </c>
      <c r="J438" s="155">
        <f>_xlfn.IFNA(INDEX('Financial model inputs'!$A$3:$AJ$89,MATCH(F_interface!$A438&amp;RIGHT(F_interface!J$2,2),'Financial model inputs'!$A$3:$A$89,0),MATCH(F_interface!$D438,'Financial model inputs'!$A$3:$AJ$3,0)),0)</f>
        <v>0</v>
      </c>
      <c r="K438" s="155">
        <f>_xlfn.IFNA(INDEX('Financial model inputs'!$A$3:$AJ$89,MATCH(F_interface!$A438&amp;RIGHT(F_interface!K$2,2),'Financial model inputs'!$A$3:$A$89,0),MATCH(F_interface!$D438,'Financial model inputs'!$A$3:$AJ$3,0)),0)</f>
        <v>0</v>
      </c>
      <c r="L438" s="155">
        <f>_xlfn.IFNA(INDEX('Financial model inputs'!$A$3:$AJ$89,MATCH(F_interface!$A438&amp;RIGHT(F_interface!L$2,2),'Financial model inputs'!$A$3:$A$89,0),MATCH(F_interface!$D438,'Financial model inputs'!$A$3:$AJ$3,0)),0)</f>
        <v>0</v>
      </c>
    </row>
    <row r="439" spans="1:12" x14ac:dyDescent="0.25">
      <c r="A439" s="13" t="s">
        <v>15</v>
      </c>
      <c r="B439" s="4" t="str">
        <f t="shared" si="9"/>
        <v>C_WNPDR_PR19CA004</v>
      </c>
      <c r="C439" s="12" t="str">
        <f t="shared" si="10"/>
        <v>PRTC_WNPDR_PR19CA004</v>
      </c>
      <c r="D439" s="12" t="s">
        <v>258</v>
      </c>
      <c r="E439" s="12" t="s">
        <v>256</v>
      </c>
      <c r="F439" s="12" t="s">
        <v>2</v>
      </c>
      <c r="G439" s="12" t="s">
        <v>59</v>
      </c>
      <c r="H439" s="155">
        <f>_xlfn.IFNA(INDEX('Financial model inputs'!$A$3:$AJ$89,MATCH(F_interface!$A439&amp;RIGHT(F_interface!H$2,2),'Financial model inputs'!$A$3:$A$89,0),MATCH(F_interface!$D439,'Financial model inputs'!$A$3:$AJ$3,0)),0)</f>
        <v>0</v>
      </c>
      <c r="I439" s="155">
        <f>_xlfn.IFNA(INDEX('Financial model inputs'!$A$3:$AJ$89,MATCH(F_interface!$A439&amp;RIGHT(F_interface!I$2,2),'Financial model inputs'!$A$3:$A$89,0),MATCH(F_interface!$D439,'Financial model inputs'!$A$3:$AJ$3,0)),0)</f>
        <v>0</v>
      </c>
      <c r="J439" s="155">
        <f>_xlfn.IFNA(INDEX('Financial model inputs'!$A$3:$AJ$89,MATCH(F_interface!$A439&amp;RIGHT(F_interface!J$2,2),'Financial model inputs'!$A$3:$A$89,0),MATCH(F_interface!$D439,'Financial model inputs'!$A$3:$AJ$3,0)),0)</f>
        <v>0</v>
      </c>
      <c r="K439" s="155">
        <f>_xlfn.IFNA(INDEX('Financial model inputs'!$A$3:$AJ$89,MATCH(F_interface!$A439&amp;RIGHT(F_interface!K$2,2),'Financial model inputs'!$A$3:$A$89,0),MATCH(F_interface!$D439,'Financial model inputs'!$A$3:$AJ$3,0)),0)</f>
        <v>0</v>
      </c>
      <c r="L439" s="155">
        <f>_xlfn.IFNA(INDEX('Financial model inputs'!$A$3:$AJ$89,MATCH(F_interface!$A439&amp;RIGHT(F_interface!L$2,2),'Financial model inputs'!$A$3:$A$89,0),MATCH(F_interface!$D439,'Financial model inputs'!$A$3:$AJ$3,0)),0)</f>
        <v>0</v>
      </c>
    </row>
    <row r="440" spans="1:12" x14ac:dyDescent="0.25">
      <c r="A440" s="13" t="s">
        <v>16</v>
      </c>
      <c r="B440" s="4" t="str">
        <f t="shared" si="9"/>
        <v>C_WNPDR_PR19CA004</v>
      </c>
      <c r="C440" s="12" t="str">
        <f t="shared" si="10"/>
        <v>SESC_WNPDR_PR19CA004</v>
      </c>
      <c r="D440" s="12" t="s">
        <v>258</v>
      </c>
      <c r="E440" s="12" t="s">
        <v>256</v>
      </c>
      <c r="F440" s="12" t="s">
        <v>2</v>
      </c>
      <c r="G440" s="12" t="s">
        <v>59</v>
      </c>
      <c r="H440" s="155">
        <f>_xlfn.IFNA(INDEX('Financial model inputs'!$A$3:$AJ$89,MATCH(F_interface!$A440&amp;RIGHT(F_interface!H$2,2),'Financial model inputs'!$A$3:$A$89,0),MATCH(F_interface!$D440,'Financial model inputs'!$A$3:$AJ$3,0)),0)</f>
        <v>0</v>
      </c>
      <c r="I440" s="155">
        <f>_xlfn.IFNA(INDEX('Financial model inputs'!$A$3:$AJ$89,MATCH(F_interface!$A440&amp;RIGHT(F_interface!I$2,2),'Financial model inputs'!$A$3:$A$89,0),MATCH(F_interface!$D440,'Financial model inputs'!$A$3:$AJ$3,0)),0)</f>
        <v>0</v>
      </c>
      <c r="J440" s="155">
        <f>_xlfn.IFNA(INDEX('Financial model inputs'!$A$3:$AJ$89,MATCH(F_interface!$A440&amp;RIGHT(F_interface!J$2,2),'Financial model inputs'!$A$3:$A$89,0),MATCH(F_interface!$D440,'Financial model inputs'!$A$3:$AJ$3,0)),0)</f>
        <v>0</v>
      </c>
      <c r="K440" s="155">
        <f>_xlfn.IFNA(INDEX('Financial model inputs'!$A$3:$AJ$89,MATCH(F_interface!$A440&amp;RIGHT(F_interface!K$2,2),'Financial model inputs'!$A$3:$A$89,0),MATCH(F_interface!$D440,'Financial model inputs'!$A$3:$AJ$3,0)),0)</f>
        <v>0</v>
      </c>
      <c r="L440" s="155">
        <f>_xlfn.IFNA(INDEX('Financial model inputs'!$A$3:$AJ$89,MATCH(F_interface!$A440&amp;RIGHT(F_interface!L$2,2),'Financial model inputs'!$A$3:$A$89,0),MATCH(F_interface!$D440,'Financial model inputs'!$A$3:$AJ$3,0)),0)</f>
        <v>0</v>
      </c>
    </row>
    <row r="441" spans="1:12" x14ac:dyDescent="0.25">
      <c r="A441" s="13" t="s">
        <v>17</v>
      </c>
      <c r="B441" s="4" t="str">
        <f t="shared" si="9"/>
        <v>C_WNPDR_PR19CA004</v>
      </c>
      <c r="C441" s="12" t="str">
        <f t="shared" si="10"/>
        <v>SEWC_WNPDR_PR19CA004</v>
      </c>
      <c r="D441" s="12" t="s">
        <v>258</v>
      </c>
      <c r="E441" s="12" t="s">
        <v>256</v>
      </c>
      <c r="F441" s="12" t="s">
        <v>2</v>
      </c>
      <c r="G441" s="12" t="s">
        <v>59</v>
      </c>
      <c r="H441" s="155">
        <f>_xlfn.IFNA(INDEX('Financial model inputs'!$A$3:$AJ$89,MATCH(F_interface!$A441&amp;RIGHT(F_interface!H$2,2),'Financial model inputs'!$A$3:$A$89,0),MATCH(F_interface!$D441,'Financial model inputs'!$A$3:$AJ$3,0)),0)</f>
        <v>3.1675009949962227</v>
      </c>
      <c r="I441" s="155">
        <f>_xlfn.IFNA(INDEX('Financial model inputs'!$A$3:$AJ$89,MATCH(F_interface!$A441&amp;RIGHT(F_interface!I$2,2),'Financial model inputs'!$A$3:$A$89,0),MATCH(F_interface!$D441,'Financial model inputs'!$A$3:$AJ$3,0)),0)</f>
        <v>3.08048820967604</v>
      </c>
      <c r="J441" s="155">
        <f>_xlfn.IFNA(INDEX('Financial model inputs'!$A$3:$AJ$89,MATCH(F_interface!$A441&amp;RIGHT(F_interface!J$2,2),'Financial model inputs'!$A$3:$A$89,0),MATCH(F_interface!$D441,'Financial model inputs'!$A$3:$AJ$3,0)),0)</f>
        <v>2.9955637312035432</v>
      </c>
      <c r="K441" s="155">
        <f>_xlfn.IFNA(INDEX('Financial model inputs'!$A$3:$AJ$89,MATCH(F_interface!$A441&amp;RIGHT(F_interface!K$2,2),'Financial model inputs'!$A$3:$A$89,0),MATCH(F_interface!$D441,'Financial model inputs'!$A$3:$AJ$3,0)),0)</f>
        <v>2.9126774402143853</v>
      </c>
      <c r="L441" s="155">
        <f>_xlfn.IFNA(INDEX('Financial model inputs'!$A$3:$AJ$89,MATCH(F_interface!$A441&amp;RIGHT(F_interface!L$2,2),'Financial model inputs'!$A$3:$A$89,0),MATCH(F_interface!$D441,'Financial model inputs'!$A$3:$AJ$3,0)),0)</f>
        <v>2.8317804202089678</v>
      </c>
    </row>
    <row r="442" spans="1:12" x14ac:dyDescent="0.25">
      <c r="A442" s="13" t="s">
        <v>18</v>
      </c>
      <c r="B442" s="4" t="str">
        <f t="shared" si="9"/>
        <v>C_WNPDR_PR19CA004</v>
      </c>
      <c r="C442" s="12" t="str">
        <f t="shared" si="10"/>
        <v>SSCC_WNPDR_PR19CA004</v>
      </c>
      <c r="D442" s="12" t="s">
        <v>258</v>
      </c>
      <c r="E442" s="12" t="s">
        <v>256</v>
      </c>
      <c r="F442" s="12" t="s">
        <v>2</v>
      </c>
      <c r="G442" s="12" t="s">
        <v>59</v>
      </c>
      <c r="H442" s="155">
        <f>_xlfn.IFNA(INDEX('Financial model inputs'!$A$3:$AJ$89,MATCH(F_interface!$A442&amp;RIGHT(F_interface!H$2,2),'Financial model inputs'!$A$3:$A$89,0),MATCH(F_interface!$D442,'Financial model inputs'!$A$3:$AJ$3,0)),0)</f>
        <v>1.7668697235133513</v>
      </c>
      <c r="I442" s="155">
        <f>_xlfn.IFNA(INDEX('Financial model inputs'!$A$3:$AJ$89,MATCH(F_interface!$A442&amp;RIGHT(F_interface!I$2,2),'Financial model inputs'!$A$3:$A$89,0),MATCH(F_interface!$D442,'Financial model inputs'!$A$3:$AJ$3,0)),0)</f>
        <v>1.7668697235133513</v>
      </c>
      <c r="J442" s="155">
        <f>_xlfn.IFNA(INDEX('Financial model inputs'!$A$3:$AJ$89,MATCH(F_interface!$A442&amp;RIGHT(F_interface!J$2,2),'Financial model inputs'!$A$3:$A$89,0),MATCH(F_interface!$D442,'Financial model inputs'!$A$3:$AJ$3,0)),0)</f>
        <v>1.7668697235133513</v>
      </c>
      <c r="K442" s="155">
        <f>_xlfn.IFNA(INDEX('Financial model inputs'!$A$3:$AJ$89,MATCH(F_interface!$A442&amp;RIGHT(F_interface!K$2,2),'Financial model inputs'!$A$3:$A$89,0),MATCH(F_interface!$D442,'Financial model inputs'!$A$3:$AJ$3,0)),0)</f>
        <v>1.7668697235133513</v>
      </c>
      <c r="L442" s="155">
        <f>_xlfn.IFNA(INDEX('Financial model inputs'!$A$3:$AJ$89,MATCH(F_interface!$A442&amp;RIGHT(F_interface!L$2,2),'Financial model inputs'!$A$3:$A$89,0),MATCH(F_interface!$D442,'Financial model inputs'!$A$3:$AJ$3,0)),0)</f>
        <v>1.766869723513351</v>
      </c>
    </row>
    <row r="443" spans="1:12" x14ac:dyDescent="0.25">
      <c r="A443" s="13" t="s">
        <v>12</v>
      </c>
      <c r="B443" s="4" t="s">
        <v>365</v>
      </c>
      <c r="C443" s="12" t="str">
        <f t="shared" si="10"/>
        <v>AFWC_WRTOTEXFM_CS_PR19CA004</v>
      </c>
      <c r="D443" s="12" t="s">
        <v>365</v>
      </c>
      <c r="E443" s="12" t="s">
        <v>368</v>
      </c>
      <c r="F443" s="12" t="s">
        <v>2</v>
      </c>
      <c r="G443" s="12" t="s">
        <v>59</v>
      </c>
      <c r="H443" s="155">
        <f>_xlfn.IFNA(INDEX('Financial model inputs'!$A$3:$AJ$89,MATCH(F_interface!$A443&amp;RIGHT(F_interface!H$2,2),'Financial model inputs'!$A$3:$A$89,0),MATCH(F_interface!$D443,'Financial model inputs'!$A$3:$AJ$3,0)),0)</f>
        <v>46.747911284580312</v>
      </c>
      <c r="I443" s="155">
        <f>_xlfn.IFNA(INDEX('Financial model inputs'!$A$3:$AJ$89,MATCH(F_interface!$A443&amp;RIGHT(F_interface!I$2,2),'Financial model inputs'!$A$3:$A$89,0),MATCH(F_interface!$D443,'Financial model inputs'!$A$3:$AJ$3,0)),0)</f>
        <v>46.747911284580312</v>
      </c>
      <c r="J443" s="155">
        <f>_xlfn.IFNA(INDEX('Financial model inputs'!$A$3:$AJ$89,MATCH(F_interface!$A443&amp;RIGHT(F_interface!J$2,2),'Financial model inputs'!$A$3:$A$89,0),MATCH(F_interface!$D443,'Financial model inputs'!$A$3:$AJ$3,0)),0)</f>
        <v>46.747911284580312</v>
      </c>
      <c r="K443" s="155">
        <f>_xlfn.IFNA(INDEX('Financial model inputs'!$A$3:$AJ$89,MATCH(F_interface!$A443&amp;RIGHT(F_interface!K$2,2),'Financial model inputs'!$A$3:$A$89,0),MATCH(F_interface!$D443,'Financial model inputs'!$A$3:$AJ$3,0)),0)</f>
        <v>46.747911284580312</v>
      </c>
      <c r="L443" s="155">
        <f>_xlfn.IFNA(INDEX('Financial model inputs'!$A$3:$AJ$89,MATCH(F_interface!$A443&amp;RIGHT(F_interface!L$2,2),'Financial model inputs'!$A$3:$A$89,0),MATCH(F_interface!$D443,'Financial model inputs'!$A$3:$AJ$3,0)),0)</f>
        <v>46.747911284580312</v>
      </c>
    </row>
    <row r="444" spans="1:12" x14ac:dyDescent="0.25">
      <c r="A444" s="13" t="s">
        <v>12</v>
      </c>
      <c r="B444" s="4" t="s">
        <v>366</v>
      </c>
      <c r="C444" s="12" t="str">
        <f t="shared" si="10"/>
        <v>AFWC_WNTOTEXFM_CS_PR19CA004</v>
      </c>
      <c r="D444" s="12" t="s">
        <v>366</v>
      </c>
      <c r="E444" s="12" t="s">
        <v>369</v>
      </c>
      <c r="F444" s="12" t="s">
        <v>2</v>
      </c>
      <c r="G444" s="12" t="s">
        <v>59</v>
      </c>
      <c r="H444" s="155">
        <f>_xlfn.IFNA(INDEX('Financial model inputs'!$A$3:$AJ$89,MATCH(F_interface!$A444&amp;RIGHT(F_interface!H$2,2),'Financial model inputs'!$A$3:$A$89,0),MATCH(F_interface!$D444,'Financial model inputs'!$A$3:$AJ$3,0)),0)</f>
        <v>215.3604427790836</v>
      </c>
      <c r="I444" s="155">
        <f>_xlfn.IFNA(INDEX('Financial model inputs'!$A$3:$AJ$89,MATCH(F_interface!$A444&amp;RIGHT(F_interface!I$2,2),'Financial model inputs'!$A$3:$A$89,0),MATCH(F_interface!$D444,'Financial model inputs'!$A$3:$AJ$3,0)),0)</f>
        <v>215.3604427790836</v>
      </c>
      <c r="J444" s="155">
        <f>_xlfn.IFNA(INDEX('Financial model inputs'!$A$3:$AJ$89,MATCH(F_interface!$A444&amp;RIGHT(F_interface!J$2,2),'Financial model inputs'!$A$3:$A$89,0),MATCH(F_interface!$D444,'Financial model inputs'!$A$3:$AJ$3,0)),0)</f>
        <v>215.3604427790836</v>
      </c>
      <c r="K444" s="155">
        <f>_xlfn.IFNA(INDEX('Financial model inputs'!$A$3:$AJ$89,MATCH(F_interface!$A444&amp;RIGHT(F_interface!K$2,2),'Financial model inputs'!$A$3:$A$89,0),MATCH(F_interface!$D444,'Financial model inputs'!$A$3:$AJ$3,0)),0)</f>
        <v>215.3604427790836</v>
      </c>
      <c r="L444" s="155">
        <f>_xlfn.IFNA(INDEX('Financial model inputs'!$A$3:$AJ$89,MATCH(F_interface!$A444&amp;RIGHT(F_interface!L$2,2),'Financial model inputs'!$A$3:$A$89,0),MATCH(F_interface!$D444,'Financial model inputs'!$A$3:$AJ$3,0)),0)</f>
        <v>215.3604427790836</v>
      </c>
    </row>
    <row r="445" spans="1:12" x14ac:dyDescent="0.25">
      <c r="A445" s="13" t="s">
        <v>13</v>
      </c>
      <c r="B445" s="4" t="s">
        <v>365</v>
      </c>
      <c r="C445" s="12" t="str">
        <f t="shared" ref="C445:C484" si="11">A445&amp;B445</f>
        <v>BRLC_WRTOTEXFM_CS_PR19CA004</v>
      </c>
      <c r="D445" s="12" t="s">
        <v>365</v>
      </c>
      <c r="E445" s="12" t="s">
        <v>368</v>
      </c>
      <c r="F445" s="12" t="s">
        <v>2</v>
      </c>
      <c r="G445" s="12" t="s">
        <v>59</v>
      </c>
      <c r="H445" s="155">
        <f>_xlfn.IFNA(INDEX('Financial model inputs'!$A$3:$AJ$89,MATCH(F_interface!$A445&amp;RIGHT(F_interface!H$2,2),'Financial model inputs'!$A$3:$A$89,0),MATCH(F_interface!$D445,'Financial model inputs'!$A$3:$AJ$3,0)),0)</f>
        <v>13.810075900640021</v>
      </c>
      <c r="I445" s="155">
        <f>_xlfn.IFNA(INDEX('Financial model inputs'!$A$3:$AJ$89,MATCH(F_interface!$A445&amp;RIGHT(F_interface!I$2,2),'Financial model inputs'!$A$3:$A$89,0),MATCH(F_interface!$D445,'Financial model inputs'!$A$3:$AJ$3,0)),0)</f>
        <v>13.810075900640021</v>
      </c>
      <c r="J445" s="155">
        <f>_xlfn.IFNA(INDEX('Financial model inputs'!$A$3:$AJ$89,MATCH(F_interface!$A445&amp;RIGHT(F_interface!J$2,2),'Financial model inputs'!$A$3:$A$89,0),MATCH(F_interface!$D445,'Financial model inputs'!$A$3:$AJ$3,0)),0)</f>
        <v>13.810075900640021</v>
      </c>
      <c r="K445" s="155">
        <f>_xlfn.IFNA(INDEX('Financial model inputs'!$A$3:$AJ$89,MATCH(F_interface!$A445&amp;RIGHT(F_interface!K$2,2),'Financial model inputs'!$A$3:$A$89,0),MATCH(F_interface!$D445,'Financial model inputs'!$A$3:$AJ$3,0)),0)</f>
        <v>13.810075900640021</v>
      </c>
      <c r="L445" s="155">
        <f>_xlfn.IFNA(INDEX('Financial model inputs'!$A$3:$AJ$89,MATCH(F_interface!$A445&amp;RIGHT(F_interface!L$2,2),'Financial model inputs'!$A$3:$A$89,0),MATCH(F_interface!$D445,'Financial model inputs'!$A$3:$AJ$3,0)),0)</f>
        <v>13.810075900640021</v>
      </c>
    </row>
    <row r="446" spans="1:12" x14ac:dyDescent="0.25">
      <c r="A446" s="13" t="s">
        <v>13</v>
      </c>
      <c r="B446" s="4" t="s">
        <v>366</v>
      </c>
      <c r="C446" s="12" t="str">
        <f t="shared" si="11"/>
        <v>BRLC_WNTOTEXFM_CS_PR19CA004</v>
      </c>
      <c r="D446" s="12" t="s">
        <v>366</v>
      </c>
      <c r="E446" s="12" t="s">
        <v>369</v>
      </c>
      <c r="F446" s="12" t="s">
        <v>2</v>
      </c>
      <c r="G446" s="12" t="s">
        <v>59</v>
      </c>
      <c r="H446" s="155">
        <f>_xlfn.IFNA(INDEX('Financial model inputs'!$A$3:$AJ$89,MATCH(F_interface!$A446&amp;RIGHT(F_interface!H$2,2),'Financial model inputs'!$A$3:$A$89,0),MATCH(F_interface!$D446,'Financial model inputs'!$A$3:$AJ$3,0)),0)</f>
        <v>64.026174345875177</v>
      </c>
      <c r="I446" s="155">
        <f>_xlfn.IFNA(INDEX('Financial model inputs'!$A$3:$AJ$89,MATCH(F_interface!$A446&amp;RIGHT(F_interface!I$2,2),'Financial model inputs'!$A$3:$A$89,0),MATCH(F_interface!$D446,'Financial model inputs'!$A$3:$AJ$3,0)),0)</f>
        <v>64.026174345875177</v>
      </c>
      <c r="J446" s="155">
        <f>_xlfn.IFNA(INDEX('Financial model inputs'!$A$3:$AJ$89,MATCH(F_interface!$A446&amp;RIGHT(F_interface!J$2,2),'Financial model inputs'!$A$3:$A$89,0),MATCH(F_interface!$D446,'Financial model inputs'!$A$3:$AJ$3,0)),0)</f>
        <v>64.026174345875177</v>
      </c>
      <c r="K446" s="155">
        <f>_xlfn.IFNA(INDEX('Financial model inputs'!$A$3:$AJ$89,MATCH(F_interface!$A446&amp;RIGHT(F_interface!K$2,2),'Financial model inputs'!$A$3:$A$89,0),MATCH(F_interface!$D446,'Financial model inputs'!$A$3:$AJ$3,0)),0)</f>
        <v>64.026174345875177</v>
      </c>
      <c r="L446" s="155">
        <f>_xlfn.IFNA(INDEX('Financial model inputs'!$A$3:$AJ$89,MATCH(F_interface!$A446&amp;RIGHT(F_interface!L$2,2),'Financial model inputs'!$A$3:$A$89,0),MATCH(F_interface!$D446,'Financial model inputs'!$A$3:$AJ$3,0)),0)</f>
        <v>64.026174345875177</v>
      </c>
    </row>
    <row r="447" spans="1:12" x14ac:dyDescent="0.25">
      <c r="A447" s="13" t="s">
        <v>14</v>
      </c>
      <c r="B447" s="4" t="s">
        <v>365</v>
      </c>
      <c r="C447" s="12" t="str">
        <f t="shared" si="11"/>
        <v>DVWC_WRTOTEXFM_CS_PR19CA004</v>
      </c>
      <c r="D447" s="12" t="s">
        <v>365</v>
      </c>
      <c r="E447" s="12" t="s">
        <v>368</v>
      </c>
      <c r="F447" s="12" t="s">
        <v>2</v>
      </c>
      <c r="G447" s="12" t="s">
        <v>59</v>
      </c>
      <c r="H447" s="155">
        <f>_xlfn.IFNA(INDEX('Financial model inputs'!$A$3:$AJ$89,MATCH(F_interface!$A447&amp;RIGHT(F_interface!H$2,2),'Financial model inputs'!$A$3:$A$89,0),MATCH(F_interface!$D447,'Financial model inputs'!$A$3:$AJ$3,0)),0)</f>
        <v>0</v>
      </c>
      <c r="I447" s="155">
        <f>_xlfn.IFNA(INDEX('Financial model inputs'!$A$3:$AJ$89,MATCH(F_interface!$A447&amp;RIGHT(F_interface!I$2,2),'Financial model inputs'!$A$3:$A$89,0),MATCH(F_interface!$D447,'Financial model inputs'!$A$3:$AJ$3,0)),0)</f>
        <v>0</v>
      </c>
      <c r="J447" s="155">
        <f>_xlfn.IFNA(INDEX('Financial model inputs'!$A$3:$AJ$89,MATCH(F_interface!$A447&amp;RIGHT(F_interface!J$2,2),'Financial model inputs'!$A$3:$A$89,0),MATCH(F_interface!$D447,'Financial model inputs'!$A$3:$AJ$3,0)),0)</f>
        <v>0</v>
      </c>
      <c r="K447" s="155">
        <f>_xlfn.IFNA(INDEX('Financial model inputs'!$A$3:$AJ$89,MATCH(F_interface!$A447&amp;RIGHT(F_interface!K$2,2),'Financial model inputs'!$A$3:$A$89,0),MATCH(F_interface!$D447,'Financial model inputs'!$A$3:$AJ$3,0)),0)</f>
        <v>0</v>
      </c>
      <c r="L447" s="155">
        <f>_xlfn.IFNA(INDEX('Financial model inputs'!$A$3:$AJ$89,MATCH(F_interface!$A447&amp;RIGHT(F_interface!L$2,2),'Financial model inputs'!$A$3:$A$89,0),MATCH(F_interface!$D447,'Financial model inputs'!$A$3:$AJ$3,0)),0)</f>
        <v>0</v>
      </c>
    </row>
    <row r="448" spans="1:12" x14ac:dyDescent="0.25">
      <c r="A448" s="13" t="s">
        <v>14</v>
      </c>
      <c r="B448" s="4" t="s">
        <v>366</v>
      </c>
      <c r="C448" s="12" t="str">
        <f t="shared" si="11"/>
        <v>DVWC_WNTOTEXFM_CS_PR19CA004</v>
      </c>
      <c r="D448" s="12" t="s">
        <v>366</v>
      </c>
      <c r="E448" s="12" t="s">
        <v>369</v>
      </c>
      <c r="F448" s="12" t="s">
        <v>2</v>
      </c>
      <c r="G448" s="12" t="s">
        <v>59</v>
      </c>
      <c r="H448" s="155">
        <f>_xlfn.IFNA(INDEX('Financial model inputs'!$A$3:$AJ$89,MATCH(F_interface!$A448&amp;RIGHT(F_interface!H$2,2),'Financial model inputs'!$A$3:$A$89,0),MATCH(F_interface!$D448,'Financial model inputs'!$A$3:$AJ$3,0)),0)</f>
        <v>0</v>
      </c>
      <c r="I448" s="155">
        <f>_xlfn.IFNA(INDEX('Financial model inputs'!$A$3:$AJ$89,MATCH(F_interface!$A448&amp;RIGHT(F_interface!I$2,2),'Financial model inputs'!$A$3:$A$89,0),MATCH(F_interface!$D448,'Financial model inputs'!$A$3:$AJ$3,0)),0)</f>
        <v>0</v>
      </c>
      <c r="J448" s="155">
        <f>_xlfn.IFNA(INDEX('Financial model inputs'!$A$3:$AJ$89,MATCH(F_interface!$A448&amp;RIGHT(F_interface!J$2,2),'Financial model inputs'!$A$3:$A$89,0),MATCH(F_interface!$D448,'Financial model inputs'!$A$3:$AJ$3,0)),0)</f>
        <v>0</v>
      </c>
      <c r="K448" s="155">
        <f>_xlfn.IFNA(INDEX('Financial model inputs'!$A$3:$AJ$89,MATCH(F_interface!$A448&amp;RIGHT(F_interface!K$2,2),'Financial model inputs'!$A$3:$A$89,0),MATCH(F_interface!$D448,'Financial model inputs'!$A$3:$AJ$3,0)),0)</f>
        <v>0</v>
      </c>
      <c r="L448" s="155">
        <f>_xlfn.IFNA(INDEX('Financial model inputs'!$A$3:$AJ$89,MATCH(F_interface!$A448&amp;RIGHT(F_interface!L$2,2),'Financial model inputs'!$A$3:$A$89,0),MATCH(F_interface!$D448,'Financial model inputs'!$A$3:$AJ$3,0)),0)</f>
        <v>0</v>
      </c>
    </row>
    <row r="449" spans="1:12" x14ac:dyDescent="0.25">
      <c r="A449" s="13" t="s">
        <v>15</v>
      </c>
      <c r="B449" s="4" t="s">
        <v>365</v>
      </c>
      <c r="C449" s="12" t="str">
        <f t="shared" si="11"/>
        <v>PRTC_WRTOTEXFM_CS_PR19CA004</v>
      </c>
      <c r="D449" s="12" t="s">
        <v>365</v>
      </c>
      <c r="E449" s="12" t="s">
        <v>368</v>
      </c>
      <c r="F449" s="12" t="s">
        <v>2</v>
      </c>
      <c r="G449" s="12" t="s">
        <v>59</v>
      </c>
      <c r="H449" s="155">
        <f>_xlfn.IFNA(INDEX('Financial model inputs'!$A$3:$AJ$89,MATCH(F_interface!$A449&amp;RIGHT(F_interface!H$2,2),'Financial model inputs'!$A$3:$A$89,0),MATCH(F_interface!$D449,'Financial model inputs'!$A$3:$AJ$3,0)),0)</f>
        <v>7.6623332546928919</v>
      </c>
      <c r="I449" s="155">
        <f>_xlfn.IFNA(INDEX('Financial model inputs'!$A$3:$AJ$89,MATCH(F_interface!$A449&amp;RIGHT(F_interface!I$2,2),'Financial model inputs'!$A$3:$A$89,0),MATCH(F_interface!$D449,'Financial model inputs'!$A$3:$AJ$3,0)),0)</f>
        <v>7.6623332546928919</v>
      </c>
      <c r="J449" s="155">
        <f>_xlfn.IFNA(INDEX('Financial model inputs'!$A$3:$AJ$89,MATCH(F_interface!$A449&amp;RIGHT(F_interface!J$2,2),'Financial model inputs'!$A$3:$A$89,0),MATCH(F_interface!$D449,'Financial model inputs'!$A$3:$AJ$3,0)),0)</f>
        <v>7.6623332546928919</v>
      </c>
      <c r="K449" s="155">
        <f>_xlfn.IFNA(INDEX('Financial model inputs'!$A$3:$AJ$89,MATCH(F_interface!$A449&amp;RIGHT(F_interface!K$2,2),'Financial model inputs'!$A$3:$A$89,0),MATCH(F_interface!$D449,'Financial model inputs'!$A$3:$AJ$3,0)),0)</f>
        <v>7.6623332546928919</v>
      </c>
      <c r="L449" s="155">
        <f>_xlfn.IFNA(INDEX('Financial model inputs'!$A$3:$AJ$89,MATCH(F_interface!$A449&amp;RIGHT(F_interface!L$2,2),'Financial model inputs'!$A$3:$A$89,0),MATCH(F_interface!$D449,'Financial model inputs'!$A$3:$AJ$3,0)),0)</f>
        <v>7.6623332546928919</v>
      </c>
    </row>
    <row r="450" spans="1:12" x14ac:dyDescent="0.25">
      <c r="A450" s="13" t="s">
        <v>15</v>
      </c>
      <c r="B450" s="4" t="s">
        <v>366</v>
      </c>
      <c r="C450" s="12" t="str">
        <f t="shared" si="11"/>
        <v>PRTC_WNTOTEXFM_CS_PR19CA004</v>
      </c>
      <c r="D450" s="12" t="s">
        <v>366</v>
      </c>
      <c r="E450" s="12" t="s">
        <v>369</v>
      </c>
      <c r="F450" s="12" t="s">
        <v>2</v>
      </c>
      <c r="G450" s="12" t="s">
        <v>59</v>
      </c>
      <c r="H450" s="155">
        <f>_xlfn.IFNA(INDEX('Financial model inputs'!$A$3:$AJ$89,MATCH(F_interface!$A450&amp;RIGHT(F_interface!H$2,2),'Financial model inputs'!$A$3:$A$89,0),MATCH(F_interface!$D450,'Financial model inputs'!$A$3:$AJ$3,0)),0)</f>
        <v>30.131593318230131</v>
      </c>
      <c r="I450" s="155">
        <f>_xlfn.IFNA(INDEX('Financial model inputs'!$A$3:$AJ$89,MATCH(F_interface!$A450&amp;RIGHT(F_interface!I$2,2),'Financial model inputs'!$A$3:$A$89,0),MATCH(F_interface!$D450,'Financial model inputs'!$A$3:$AJ$3,0)),0)</f>
        <v>30.131593318230131</v>
      </c>
      <c r="J450" s="155">
        <f>_xlfn.IFNA(INDEX('Financial model inputs'!$A$3:$AJ$89,MATCH(F_interface!$A450&amp;RIGHT(F_interface!J$2,2),'Financial model inputs'!$A$3:$A$89,0),MATCH(F_interface!$D450,'Financial model inputs'!$A$3:$AJ$3,0)),0)</f>
        <v>30.131593318230131</v>
      </c>
      <c r="K450" s="155">
        <f>_xlfn.IFNA(INDEX('Financial model inputs'!$A$3:$AJ$89,MATCH(F_interface!$A450&amp;RIGHT(F_interface!K$2,2),'Financial model inputs'!$A$3:$A$89,0),MATCH(F_interface!$D450,'Financial model inputs'!$A$3:$AJ$3,0)),0)</f>
        <v>30.131593318230131</v>
      </c>
      <c r="L450" s="155">
        <f>_xlfn.IFNA(INDEX('Financial model inputs'!$A$3:$AJ$89,MATCH(F_interface!$A450&amp;RIGHT(F_interface!L$2,2),'Financial model inputs'!$A$3:$A$89,0),MATCH(F_interface!$D450,'Financial model inputs'!$A$3:$AJ$3,0)),0)</f>
        <v>30.131593318230131</v>
      </c>
    </row>
    <row r="451" spans="1:12" x14ac:dyDescent="0.25">
      <c r="A451" s="13" t="s">
        <v>16</v>
      </c>
      <c r="B451" s="4" t="s">
        <v>365</v>
      </c>
      <c r="C451" s="12" t="str">
        <f t="shared" si="11"/>
        <v>SESC_WRTOTEXFM_CS_PR19CA004</v>
      </c>
      <c r="D451" s="12" t="s">
        <v>365</v>
      </c>
      <c r="E451" s="12" t="s">
        <v>368</v>
      </c>
      <c r="F451" s="12" t="s">
        <v>2</v>
      </c>
      <c r="G451" s="12" t="s">
        <v>59</v>
      </c>
      <c r="H451" s="155">
        <f>_xlfn.IFNA(INDEX('Financial model inputs'!$A$3:$AJ$89,MATCH(F_interface!$A451&amp;RIGHT(F_interface!H$2,2),'Financial model inputs'!$A$3:$A$89,0),MATCH(F_interface!$D451,'Financial model inputs'!$A$3:$AJ$3,0)),0)</f>
        <v>4.5905449940472574</v>
      </c>
      <c r="I451" s="155">
        <f>_xlfn.IFNA(INDEX('Financial model inputs'!$A$3:$AJ$89,MATCH(F_interface!$A451&amp;RIGHT(F_interface!I$2,2),'Financial model inputs'!$A$3:$A$89,0),MATCH(F_interface!$D451,'Financial model inputs'!$A$3:$AJ$3,0)),0)</f>
        <v>4.5905449940472574</v>
      </c>
      <c r="J451" s="155">
        <f>_xlfn.IFNA(INDEX('Financial model inputs'!$A$3:$AJ$89,MATCH(F_interface!$A451&amp;RIGHT(F_interface!J$2,2),'Financial model inputs'!$A$3:$A$89,0),MATCH(F_interface!$D451,'Financial model inputs'!$A$3:$AJ$3,0)),0)</f>
        <v>4.5905449940472574</v>
      </c>
      <c r="K451" s="155">
        <f>_xlfn.IFNA(INDEX('Financial model inputs'!$A$3:$AJ$89,MATCH(F_interface!$A451&amp;RIGHT(F_interface!K$2,2),'Financial model inputs'!$A$3:$A$89,0),MATCH(F_interface!$D451,'Financial model inputs'!$A$3:$AJ$3,0)),0)</f>
        <v>4.5905449940472574</v>
      </c>
      <c r="L451" s="155">
        <f>_xlfn.IFNA(INDEX('Financial model inputs'!$A$3:$AJ$89,MATCH(F_interface!$A451&amp;RIGHT(F_interface!L$2,2),'Financial model inputs'!$A$3:$A$89,0),MATCH(F_interface!$D451,'Financial model inputs'!$A$3:$AJ$3,0)),0)</f>
        <v>4.5905449940472574</v>
      </c>
    </row>
    <row r="452" spans="1:12" x14ac:dyDescent="0.25">
      <c r="A452" s="13" t="s">
        <v>16</v>
      </c>
      <c r="B452" s="4" t="s">
        <v>366</v>
      </c>
      <c r="C452" s="12" t="str">
        <f t="shared" si="11"/>
        <v>SESC_WNTOTEXFM_CS_PR19CA004</v>
      </c>
      <c r="D452" s="12" t="s">
        <v>366</v>
      </c>
      <c r="E452" s="12" t="s">
        <v>369</v>
      </c>
      <c r="F452" s="12" t="s">
        <v>2</v>
      </c>
      <c r="G452" s="12" t="s">
        <v>59</v>
      </c>
      <c r="H452" s="155">
        <f>_xlfn.IFNA(INDEX('Financial model inputs'!$A$3:$AJ$89,MATCH(F_interface!$A452&amp;RIGHT(F_interface!H$2,2),'Financial model inputs'!$A$3:$A$89,0),MATCH(F_interface!$D452,'Financial model inputs'!$A$3:$AJ$3,0)),0)</f>
        <v>38.381753412912076</v>
      </c>
      <c r="I452" s="155">
        <f>_xlfn.IFNA(INDEX('Financial model inputs'!$A$3:$AJ$89,MATCH(F_interface!$A452&amp;RIGHT(F_interface!I$2,2),'Financial model inputs'!$A$3:$A$89,0),MATCH(F_interface!$D452,'Financial model inputs'!$A$3:$AJ$3,0)),0)</f>
        <v>38.381753412912076</v>
      </c>
      <c r="J452" s="155">
        <f>_xlfn.IFNA(INDEX('Financial model inputs'!$A$3:$AJ$89,MATCH(F_interface!$A452&amp;RIGHT(F_interface!J$2,2),'Financial model inputs'!$A$3:$A$89,0),MATCH(F_interface!$D452,'Financial model inputs'!$A$3:$AJ$3,0)),0)</f>
        <v>38.381753412912076</v>
      </c>
      <c r="K452" s="155">
        <f>_xlfn.IFNA(INDEX('Financial model inputs'!$A$3:$AJ$89,MATCH(F_interface!$A452&amp;RIGHT(F_interface!K$2,2),'Financial model inputs'!$A$3:$A$89,0),MATCH(F_interface!$D452,'Financial model inputs'!$A$3:$AJ$3,0)),0)</f>
        <v>38.381753412912076</v>
      </c>
      <c r="L452" s="155">
        <f>_xlfn.IFNA(INDEX('Financial model inputs'!$A$3:$AJ$89,MATCH(F_interface!$A452&amp;RIGHT(F_interface!L$2,2),'Financial model inputs'!$A$3:$A$89,0),MATCH(F_interface!$D452,'Financial model inputs'!$A$3:$AJ$3,0)),0)</f>
        <v>38.381753412912076</v>
      </c>
    </row>
    <row r="453" spans="1:12" x14ac:dyDescent="0.25">
      <c r="A453" s="13" t="s">
        <v>17</v>
      </c>
      <c r="B453" s="4" t="s">
        <v>365</v>
      </c>
      <c r="C453" s="12" t="str">
        <f t="shared" si="11"/>
        <v>SEWC_WRTOTEXFM_CS_PR19CA004</v>
      </c>
      <c r="D453" s="12" t="s">
        <v>365</v>
      </c>
      <c r="E453" s="12" t="s">
        <v>368</v>
      </c>
      <c r="F453" s="12" t="s">
        <v>2</v>
      </c>
      <c r="G453" s="12" t="s">
        <v>59</v>
      </c>
      <c r="H453" s="155">
        <f>_xlfn.IFNA(INDEX('Financial model inputs'!$A$3:$AJ$89,MATCH(F_interface!$A453&amp;RIGHT(F_interface!H$2,2),'Financial model inputs'!$A$3:$A$89,0),MATCH(F_interface!$D453,'Financial model inputs'!$A$3:$AJ$3,0)),0)</f>
        <v>23.085455266064066</v>
      </c>
      <c r="I453" s="155">
        <f>_xlfn.IFNA(INDEX('Financial model inputs'!$A$3:$AJ$89,MATCH(F_interface!$A453&amp;RIGHT(F_interface!I$2,2),'Financial model inputs'!$A$3:$A$89,0),MATCH(F_interface!$D453,'Financial model inputs'!$A$3:$AJ$3,0)),0)</f>
        <v>23.085455266064066</v>
      </c>
      <c r="J453" s="155">
        <f>_xlfn.IFNA(INDEX('Financial model inputs'!$A$3:$AJ$89,MATCH(F_interface!$A453&amp;RIGHT(F_interface!J$2,2),'Financial model inputs'!$A$3:$A$89,0),MATCH(F_interface!$D453,'Financial model inputs'!$A$3:$AJ$3,0)),0)</f>
        <v>23.085455266064066</v>
      </c>
      <c r="K453" s="155">
        <f>_xlfn.IFNA(INDEX('Financial model inputs'!$A$3:$AJ$89,MATCH(F_interface!$A453&amp;RIGHT(F_interface!K$2,2),'Financial model inputs'!$A$3:$A$89,0),MATCH(F_interface!$D453,'Financial model inputs'!$A$3:$AJ$3,0)),0)</f>
        <v>23.085455266064066</v>
      </c>
      <c r="L453" s="155">
        <f>_xlfn.IFNA(INDEX('Financial model inputs'!$A$3:$AJ$89,MATCH(F_interface!$A453&amp;RIGHT(F_interface!L$2,2),'Financial model inputs'!$A$3:$A$89,0),MATCH(F_interface!$D453,'Financial model inputs'!$A$3:$AJ$3,0)),0)</f>
        <v>23.085455266064066</v>
      </c>
    </row>
    <row r="454" spans="1:12" x14ac:dyDescent="0.25">
      <c r="A454" s="13" t="s">
        <v>17</v>
      </c>
      <c r="B454" s="4" t="s">
        <v>366</v>
      </c>
      <c r="C454" s="12" t="str">
        <f t="shared" si="11"/>
        <v>SEWC_WNTOTEXFM_CS_PR19CA004</v>
      </c>
      <c r="D454" s="12" t="s">
        <v>366</v>
      </c>
      <c r="E454" s="12" t="s">
        <v>369</v>
      </c>
      <c r="F454" s="12" t="s">
        <v>2</v>
      </c>
      <c r="G454" s="12" t="s">
        <v>59</v>
      </c>
      <c r="H454" s="155">
        <f>_xlfn.IFNA(INDEX('Financial model inputs'!$A$3:$AJ$89,MATCH(F_interface!$A454&amp;RIGHT(F_interface!H$2,2),'Financial model inputs'!$A$3:$A$89,0),MATCH(F_interface!$D454,'Financial model inputs'!$A$3:$AJ$3,0)),0)</f>
        <v>150.19180566093866</v>
      </c>
      <c r="I454" s="155">
        <f>_xlfn.IFNA(INDEX('Financial model inputs'!$A$3:$AJ$89,MATCH(F_interface!$A454&amp;RIGHT(F_interface!I$2,2),'Financial model inputs'!$A$3:$A$89,0),MATCH(F_interface!$D454,'Financial model inputs'!$A$3:$AJ$3,0)),0)</f>
        <v>150.19180566093866</v>
      </c>
      <c r="J454" s="155">
        <f>_xlfn.IFNA(INDEX('Financial model inputs'!$A$3:$AJ$89,MATCH(F_interface!$A454&amp;RIGHT(F_interface!J$2,2),'Financial model inputs'!$A$3:$A$89,0),MATCH(F_interface!$D454,'Financial model inputs'!$A$3:$AJ$3,0)),0)</f>
        <v>150.19180566093866</v>
      </c>
      <c r="K454" s="155">
        <f>_xlfn.IFNA(INDEX('Financial model inputs'!$A$3:$AJ$89,MATCH(F_interface!$A454&amp;RIGHT(F_interface!K$2,2),'Financial model inputs'!$A$3:$A$89,0),MATCH(F_interface!$D454,'Financial model inputs'!$A$3:$AJ$3,0)),0)</f>
        <v>150.19180566093866</v>
      </c>
      <c r="L454" s="155">
        <f>_xlfn.IFNA(INDEX('Financial model inputs'!$A$3:$AJ$89,MATCH(F_interface!$A454&amp;RIGHT(F_interface!L$2,2),'Financial model inputs'!$A$3:$A$89,0),MATCH(F_interface!$D454,'Financial model inputs'!$A$3:$AJ$3,0)),0)</f>
        <v>150.19180566093866</v>
      </c>
    </row>
    <row r="455" spans="1:12" x14ac:dyDescent="0.25">
      <c r="A455" s="13" t="s">
        <v>18</v>
      </c>
      <c r="B455" s="4" t="s">
        <v>365</v>
      </c>
      <c r="C455" s="12" t="str">
        <f t="shared" si="11"/>
        <v>SSCC_WRTOTEXFM_CS_PR19CA004</v>
      </c>
      <c r="D455" s="12" t="s">
        <v>365</v>
      </c>
      <c r="E455" s="12" t="s">
        <v>368</v>
      </c>
      <c r="F455" s="12" t="s">
        <v>2</v>
      </c>
      <c r="G455" s="12" t="s">
        <v>59</v>
      </c>
      <c r="H455" s="155">
        <f>_xlfn.IFNA(INDEX('Financial model inputs'!$A$3:$AJ$89,MATCH(F_interface!$A455&amp;RIGHT(F_interface!H$2,2),'Financial model inputs'!$A$3:$A$89,0),MATCH(F_interface!$D455,'Financial model inputs'!$A$3:$AJ$3,0)),0)</f>
        <v>9.9179248916196876</v>
      </c>
      <c r="I455" s="155">
        <f>_xlfn.IFNA(INDEX('Financial model inputs'!$A$3:$AJ$89,MATCH(F_interface!$A455&amp;RIGHT(F_interface!I$2,2),'Financial model inputs'!$A$3:$A$89,0),MATCH(F_interface!$D455,'Financial model inputs'!$A$3:$AJ$3,0)),0)</f>
        <v>9.9179248916196876</v>
      </c>
      <c r="J455" s="155">
        <f>_xlfn.IFNA(INDEX('Financial model inputs'!$A$3:$AJ$89,MATCH(F_interface!$A455&amp;RIGHT(F_interface!J$2,2),'Financial model inputs'!$A$3:$A$89,0),MATCH(F_interface!$D455,'Financial model inputs'!$A$3:$AJ$3,0)),0)</f>
        <v>9.9179248916196876</v>
      </c>
      <c r="K455" s="155">
        <f>_xlfn.IFNA(INDEX('Financial model inputs'!$A$3:$AJ$89,MATCH(F_interface!$A455&amp;RIGHT(F_interface!K$2,2),'Financial model inputs'!$A$3:$A$89,0),MATCH(F_interface!$D455,'Financial model inputs'!$A$3:$AJ$3,0)),0)</f>
        <v>9.9179248916196876</v>
      </c>
      <c r="L455" s="155">
        <f>_xlfn.IFNA(INDEX('Financial model inputs'!$A$3:$AJ$89,MATCH(F_interface!$A455&amp;RIGHT(F_interface!L$2,2),'Financial model inputs'!$A$3:$A$89,0),MATCH(F_interface!$D455,'Financial model inputs'!$A$3:$AJ$3,0)),0)</f>
        <v>9.9179248916196876</v>
      </c>
    </row>
    <row r="456" spans="1:12" x14ac:dyDescent="0.25">
      <c r="A456" s="13" t="s">
        <v>18</v>
      </c>
      <c r="B456" s="4" t="s">
        <v>366</v>
      </c>
      <c r="C456" s="12" t="str">
        <f t="shared" si="11"/>
        <v>SSCC_WNTOTEXFM_CS_PR19CA004</v>
      </c>
      <c r="D456" s="12" t="s">
        <v>366</v>
      </c>
      <c r="E456" s="12" t="s">
        <v>369</v>
      </c>
      <c r="F456" s="12" t="s">
        <v>2</v>
      </c>
      <c r="G456" s="12" t="s">
        <v>59</v>
      </c>
      <c r="H456" s="155">
        <f>_xlfn.IFNA(INDEX('Financial model inputs'!$A$3:$AJ$89,MATCH(F_interface!$A456&amp;RIGHT(F_interface!H$2,2),'Financial model inputs'!$A$3:$A$89,0),MATCH(F_interface!$D456,'Financial model inputs'!$A$3:$AJ$3,0)),0)</f>
        <v>95.311972868900114</v>
      </c>
      <c r="I456" s="155">
        <f>_xlfn.IFNA(INDEX('Financial model inputs'!$A$3:$AJ$89,MATCH(F_interface!$A456&amp;RIGHT(F_interface!I$2,2),'Financial model inputs'!$A$3:$A$89,0),MATCH(F_interface!$D456,'Financial model inputs'!$A$3:$AJ$3,0)),0)</f>
        <v>95.311972868900114</v>
      </c>
      <c r="J456" s="155">
        <f>_xlfn.IFNA(INDEX('Financial model inputs'!$A$3:$AJ$89,MATCH(F_interface!$A456&amp;RIGHT(F_interface!J$2,2),'Financial model inputs'!$A$3:$A$89,0),MATCH(F_interface!$D456,'Financial model inputs'!$A$3:$AJ$3,0)),0)</f>
        <v>95.311972868900114</v>
      </c>
      <c r="K456" s="155">
        <f>_xlfn.IFNA(INDEX('Financial model inputs'!$A$3:$AJ$89,MATCH(F_interface!$A456&amp;RIGHT(F_interface!K$2,2),'Financial model inputs'!$A$3:$A$89,0),MATCH(F_interface!$D456,'Financial model inputs'!$A$3:$AJ$3,0)),0)</f>
        <v>95.311972868900114</v>
      </c>
      <c r="L456" s="155">
        <f>_xlfn.IFNA(INDEX('Financial model inputs'!$A$3:$AJ$89,MATCH(F_interface!$A456&amp;RIGHT(F_interface!L$2,2),'Financial model inputs'!$A$3:$A$89,0),MATCH(F_interface!$D456,'Financial model inputs'!$A$3:$AJ$3,0)),0)</f>
        <v>95.311972868900114</v>
      </c>
    </row>
    <row r="457" spans="1:12" x14ac:dyDescent="0.25">
      <c r="A457" s="13" t="s">
        <v>4</v>
      </c>
      <c r="B457" s="4" t="s">
        <v>365</v>
      </c>
      <c r="C457" s="12" t="str">
        <f t="shared" si="11"/>
        <v>ANHC_WRTOTEXFM_CS_PR19CA004</v>
      </c>
      <c r="D457" s="12" t="s">
        <v>365</v>
      </c>
      <c r="E457" s="12" t="s">
        <v>368</v>
      </c>
      <c r="F457" s="12" t="s">
        <v>2</v>
      </c>
      <c r="G457" s="12" t="s">
        <v>59</v>
      </c>
      <c r="H457" s="155">
        <f>_xlfn.IFNA(INDEX('Financial model inputs'!$A$3:$AJ$89,MATCH(F_interface!$A457&amp;RIGHT(F_interface!H$2,2),'Financial model inputs'!$A$3:$A$89,0),MATCH(F_interface!$D457,'Financial model inputs'!$A$3:$AJ$3,0)),0)</f>
        <v>52.85965955014548</v>
      </c>
      <c r="I457" s="155">
        <f>_xlfn.IFNA(INDEX('Financial model inputs'!$A$3:$AJ$89,MATCH(F_interface!$A457&amp;RIGHT(F_interface!I$2,2),'Financial model inputs'!$A$3:$A$89,0),MATCH(F_interface!$D457,'Financial model inputs'!$A$3:$AJ$3,0)),0)</f>
        <v>52.85965955014548</v>
      </c>
      <c r="J457" s="155">
        <f>_xlfn.IFNA(INDEX('Financial model inputs'!$A$3:$AJ$89,MATCH(F_interface!$A457&amp;RIGHT(F_interface!J$2,2),'Financial model inputs'!$A$3:$A$89,0),MATCH(F_interface!$D457,'Financial model inputs'!$A$3:$AJ$3,0)),0)</f>
        <v>52.85965955014548</v>
      </c>
      <c r="K457" s="155">
        <f>_xlfn.IFNA(INDEX('Financial model inputs'!$A$3:$AJ$89,MATCH(F_interface!$A457&amp;RIGHT(F_interface!K$2,2),'Financial model inputs'!$A$3:$A$89,0),MATCH(F_interface!$D457,'Financial model inputs'!$A$3:$AJ$3,0)),0)</f>
        <v>52.85965955014548</v>
      </c>
      <c r="L457" s="155">
        <f>_xlfn.IFNA(INDEX('Financial model inputs'!$A$3:$AJ$89,MATCH(F_interface!$A457&amp;RIGHT(F_interface!L$2,2),'Financial model inputs'!$A$3:$A$89,0),MATCH(F_interface!$D457,'Financial model inputs'!$A$3:$AJ$3,0)),0)</f>
        <v>52.85965955014548</v>
      </c>
    </row>
    <row r="458" spans="1:12" x14ac:dyDescent="0.25">
      <c r="A458" s="13" t="s">
        <v>4</v>
      </c>
      <c r="B458" s="4" t="s">
        <v>366</v>
      </c>
      <c r="C458" s="12" t="str">
        <f t="shared" si="11"/>
        <v>ANHC_WNTOTEXFM_CS_PR19CA004</v>
      </c>
      <c r="D458" s="12" t="s">
        <v>366</v>
      </c>
      <c r="E458" s="12" t="s">
        <v>369</v>
      </c>
      <c r="F458" s="12" t="s">
        <v>2</v>
      </c>
      <c r="G458" s="12" t="s">
        <v>59</v>
      </c>
      <c r="H458" s="155">
        <f>_xlfn.IFNA(INDEX('Financial model inputs'!$A$3:$AJ$89,MATCH(F_interface!$A458&amp;RIGHT(F_interface!H$2,2),'Financial model inputs'!$A$3:$A$89,0),MATCH(F_interface!$D458,'Financial model inputs'!$A$3:$AJ$3,0)),0)</f>
        <v>362.08265701553847</v>
      </c>
      <c r="I458" s="155">
        <f>_xlfn.IFNA(INDEX('Financial model inputs'!$A$3:$AJ$89,MATCH(F_interface!$A458&amp;RIGHT(F_interface!I$2,2),'Financial model inputs'!$A$3:$A$89,0),MATCH(F_interface!$D458,'Financial model inputs'!$A$3:$AJ$3,0)),0)</f>
        <v>362.08265701553847</v>
      </c>
      <c r="J458" s="155">
        <f>_xlfn.IFNA(INDEX('Financial model inputs'!$A$3:$AJ$89,MATCH(F_interface!$A458&amp;RIGHT(F_interface!J$2,2),'Financial model inputs'!$A$3:$A$89,0),MATCH(F_interface!$D458,'Financial model inputs'!$A$3:$AJ$3,0)),0)</f>
        <v>362.08265701553847</v>
      </c>
      <c r="K458" s="155">
        <f>_xlfn.IFNA(INDEX('Financial model inputs'!$A$3:$AJ$89,MATCH(F_interface!$A458&amp;RIGHT(F_interface!K$2,2),'Financial model inputs'!$A$3:$A$89,0),MATCH(F_interface!$D458,'Financial model inputs'!$A$3:$AJ$3,0)),0)</f>
        <v>362.08265701553847</v>
      </c>
      <c r="L458" s="155">
        <f>_xlfn.IFNA(INDEX('Financial model inputs'!$A$3:$AJ$89,MATCH(F_interface!$A458&amp;RIGHT(F_interface!L$2,2),'Financial model inputs'!$A$3:$A$89,0),MATCH(F_interface!$D458,'Financial model inputs'!$A$3:$AJ$3,0)),0)</f>
        <v>362.08265701553847</v>
      </c>
    </row>
    <row r="459" spans="1:12" x14ac:dyDescent="0.25">
      <c r="A459" s="13" t="s">
        <v>90</v>
      </c>
      <c r="B459" s="4" t="s">
        <v>365</v>
      </c>
      <c r="C459" s="12" t="str">
        <f t="shared" si="11"/>
        <v>HDDC_WRTOTEXFM_CS_PR19CA004</v>
      </c>
      <c r="D459" s="12" t="s">
        <v>365</v>
      </c>
      <c r="E459" s="12" t="s">
        <v>368</v>
      </c>
      <c r="F459" s="12" t="s">
        <v>2</v>
      </c>
      <c r="G459" s="12" t="s">
        <v>59</v>
      </c>
      <c r="H459" s="155">
        <f>_xlfn.IFNA(INDEX('Financial model inputs'!$A$3:$AJ$89,MATCH(F_interface!$A459&amp;RIGHT(F_interface!H$2,2),'Financial model inputs'!$A$3:$A$89,0),MATCH(F_interface!$D459,'Financial model inputs'!$A$3:$AJ$3,0)),0)</f>
        <v>3.6778891602422332</v>
      </c>
      <c r="I459" s="155">
        <f>_xlfn.IFNA(INDEX('Financial model inputs'!$A$3:$AJ$89,MATCH(F_interface!$A459&amp;RIGHT(F_interface!I$2,2),'Financial model inputs'!$A$3:$A$89,0),MATCH(F_interface!$D459,'Financial model inputs'!$A$3:$AJ$3,0)),0)</f>
        <v>3.6778891602422332</v>
      </c>
      <c r="J459" s="155">
        <f>_xlfn.IFNA(INDEX('Financial model inputs'!$A$3:$AJ$89,MATCH(F_interface!$A459&amp;RIGHT(F_interface!J$2,2),'Financial model inputs'!$A$3:$A$89,0),MATCH(F_interface!$D459,'Financial model inputs'!$A$3:$AJ$3,0)),0)</f>
        <v>3.6778891602422332</v>
      </c>
      <c r="K459" s="155">
        <f>_xlfn.IFNA(INDEX('Financial model inputs'!$A$3:$AJ$89,MATCH(F_interface!$A459&amp;RIGHT(F_interface!K$2,2),'Financial model inputs'!$A$3:$A$89,0),MATCH(F_interface!$D459,'Financial model inputs'!$A$3:$AJ$3,0)),0)</f>
        <v>3.6778891602422332</v>
      </c>
      <c r="L459" s="155">
        <f>_xlfn.IFNA(INDEX('Financial model inputs'!$A$3:$AJ$89,MATCH(F_interface!$A459&amp;RIGHT(F_interface!L$2,2),'Financial model inputs'!$A$3:$A$89,0),MATCH(F_interface!$D459,'Financial model inputs'!$A$3:$AJ$3,0)),0)</f>
        <v>3.6778891602422332</v>
      </c>
    </row>
    <row r="460" spans="1:12" x14ac:dyDescent="0.25">
      <c r="A460" s="13" t="s">
        <v>90</v>
      </c>
      <c r="B460" s="4" t="s">
        <v>366</v>
      </c>
      <c r="C460" s="12" t="str">
        <f t="shared" si="11"/>
        <v>HDDC_WNTOTEXFM_CS_PR19CA004</v>
      </c>
      <c r="D460" s="12" t="s">
        <v>366</v>
      </c>
      <c r="E460" s="12" t="s">
        <v>369</v>
      </c>
      <c r="F460" s="12" t="s">
        <v>2</v>
      </c>
      <c r="G460" s="12" t="s">
        <v>59</v>
      </c>
      <c r="H460" s="155">
        <f>_xlfn.IFNA(INDEX('Financial model inputs'!$A$3:$AJ$89,MATCH(F_interface!$A460&amp;RIGHT(F_interface!H$2,2),'Financial model inputs'!$A$3:$A$89,0),MATCH(F_interface!$D460,'Financial model inputs'!$A$3:$AJ$3,0)),0)</f>
        <v>20.588104822041185</v>
      </c>
      <c r="I460" s="155">
        <f>_xlfn.IFNA(INDEX('Financial model inputs'!$A$3:$AJ$89,MATCH(F_interface!$A460&amp;RIGHT(F_interface!I$2,2),'Financial model inputs'!$A$3:$A$89,0),MATCH(F_interface!$D460,'Financial model inputs'!$A$3:$AJ$3,0)),0)</f>
        <v>20.588104822041185</v>
      </c>
      <c r="J460" s="155">
        <f>_xlfn.IFNA(INDEX('Financial model inputs'!$A$3:$AJ$89,MATCH(F_interface!$A460&amp;RIGHT(F_interface!J$2,2),'Financial model inputs'!$A$3:$A$89,0),MATCH(F_interface!$D460,'Financial model inputs'!$A$3:$AJ$3,0)),0)</f>
        <v>20.588104822041185</v>
      </c>
      <c r="K460" s="155">
        <f>_xlfn.IFNA(INDEX('Financial model inputs'!$A$3:$AJ$89,MATCH(F_interface!$A460&amp;RIGHT(F_interface!K$2,2),'Financial model inputs'!$A$3:$A$89,0),MATCH(F_interface!$D460,'Financial model inputs'!$A$3:$AJ$3,0)),0)</f>
        <v>20.588104822041185</v>
      </c>
      <c r="L460" s="155">
        <f>_xlfn.IFNA(INDEX('Financial model inputs'!$A$3:$AJ$89,MATCH(F_interface!$A460&amp;RIGHT(F_interface!L$2,2),'Financial model inputs'!$A$3:$A$89,0),MATCH(F_interface!$D460,'Financial model inputs'!$A$3:$AJ$3,0)),0)</f>
        <v>20.588104822041185</v>
      </c>
    </row>
    <row r="461" spans="1:12" x14ac:dyDescent="0.25">
      <c r="A461" s="13" t="s">
        <v>5</v>
      </c>
      <c r="B461" s="4" t="s">
        <v>365</v>
      </c>
      <c r="C461" s="12" t="str">
        <f t="shared" si="11"/>
        <v>NESC_WRTOTEXFM_CS_PR19CA004</v>
      </c>
      <c r="D461" s="12" t="s">
        <v>365</v>
      </c>
      <c r="E461" s="12" t="s">
        <v>368</v>
      </c>
      <c r="F461" s="12" t="s">
        <v>2</v>
      </c>
      <c r="G461" s="12" t="s">
        <v>59</v>
      </c>
      <c r="H461" s="155">
        <f>_xlfn.IFNA(INDEX('Financial model inputs'!$A$3:$AJ$89,MATCH(F_interface!$A461&amp;RIGHT(F_interface!H$2,2),'Financial model inputs'!$A$3:$A$89,0),MATCH(F_interface!$D461,'Financial model inputs'!$A$3:$AJ$3,0)),0)</f>
        <v>52.307481011688751</v>
      </c>
      <c r="I461" s="155">
        <f>_xlfn.IFNA(INDEX('Financial model inputs'!$A$3:$AJ$89,MATCH(F_interface!$A461&amp;RIGHT(F_interface!I$2,2),'Financial model inputs'!$A$3:$A$89,0),MATCH(F_interface!$D461,'Financial model inputs'!$A$3:$AJ$3,0)),0)</f>
        <v>52.307481011688751</v>
      </c>
      <c r="J461" s="155">
        <f>_xlfn.IFNA(INDEX('Financial model inputs'!$A$3:$AJ$89,MATCH(F_interface!$A461&amp;RIGHT(F_interface!J$2,2),'Financial model inputs'!$A$3:$A$89,0),MATCH(F_interface!$D461,'Financial model inputs'!$A$3:$AJ$3,0)),0)</f>
        <v>52.307481011688751</v>
      </c>
      <c r="K461" s="155">
        <f>_xlfn.IFNA(INDEX('Financial model inputs'!$A$3:$AJ$89,MATCH(F_interface!$A461&amp;RIGHT(F_interface!K$2,2),'Financial model inputs'!$A$3:$A$89,0),MATCH(F_interface!$D461,'Financial model inputs'!$A$3:$AJ$3,0)),0)</f>
        <v>52.307481011688751</v>
      </c>
      <c r="L461" s="155">
        <f>_xlfn.IFNA(INDEX('Financial model inputs'!$A$3:$AJ$89,MATCH(F_interface!$A461&amp;RIGHT(F_interface!L$2,2),'Financial model inputs'!$A$3:$A$89,0),MATCH(F_interface!$D461,'Financial model inputs'!$A$3:$AJ$3,0)),0)</f>
        <v>52.307481011688751</v>
      </c>
    </row>
    <row r="462" spans="1:12" x14ac:dyDescent="0.25">
      <c r="A462" s="13" t="s">
        <v>5</v>
      </c>
      <c r="B462" s="4" t="s">
        <v>366</v>
      </c>
      <c r="C462" s="12" t="str">
        <f t="shared" si="11"/>
        <v>NESC_WNTOTEXFM_CS_PR19CA004</v>
      </c>
      <c r="D462" s="12" t="s">
        <v>366</v>
      </c>
      <c r="E462" s="12" t="s">
        <v>369</v>
      </c>
      <c r="F462" s="12" t="s">
        <v>2</v>
      </c>
      <c r="G462" s="12" t="s">
        <v>59</v>
      </c>
      <c r="H462" s="155">
        <f>_xlfn.IFNA(INDEX('Financial model inputs'!$A$3:$AJ$89,MATCH(F_interface!$A462&amp;RIGHT(F_interface!H$2,2),'Financial model inputs'!$A$3:$A$89,0),MATCH(F_interface!$D462,'Financial model inputs'!$A$3:$AJ$3,0)),0)</f>
        <v>269.92826655636276</v>
      </c>
      <c r="I462" s="155">
        <f>_xlfn.IFNA(INDEX('Financial model inputs'!$A$3:$AJ$89,MATCH(F_interface!$A462&amp;RIGHT(F_interface!I$2,2),'Financial model inputs'!$A$3:$A$89,0),MATCH(F_interface!$D462,'Financial model inputs'!$A$3:$AJ$3,0)),0)</f>
        <v>269.92826655636276</v>
      </c>
      <c r="J462" s="155">
        <f>_xlfn.IFNA(INDEX('Financial model inputs'!$A$3:$AJ$89,MATCH(F_interface!$A462&amp;RIGHT(F_interface!J$2,2),'Financial model inputs'!$A$3:$A$89,0),MATCH(F_interface!$D462,'Financial model inputs'!$A$3:$AJ$3,0)),0)</f>
        <v>269.92826655636276</v>
      </c>
      <c r="K462" s="155">
        <f>_xlfn.IFNA(INDEX('Financial model inputs'!$A$3:$AJ$89,MATCH(F_interface!$A462&amp;RIGHT(F_interface!K$2,2),'Financial model inputs'!$A$3:$A$89,0),MATCH(F_interface!$D462,'Financial model inputs'!$A$3:$AJ$3,0)),0)</f>
        <v>269.92826655636276</v>
      </c>
      <c r="L462" s="155">
        <f>_xlfn.IFNA(INDEX('Financial model inputs'!$A$3:$AJ$89,MATCH(F_interface!$A462&amp;RIGHT(F_interface!L$2,2),'Financial model inputs'!$A$3:$A$89,0),MATCH(F_interface!$D462,'Financial model inputs'!$A$3:$AJ$3,0)),0)</f>
        <v>269.92826655636276</v>
      </c>
    </row>
    <row r="463" spans="1:12" x14ac:dyDescent="0.25">
      <c r="A463" s="13" t="s">
        <v>6</v>
      </c>
      <c r="B463" s="4" t="s">
        <v>365</v>
      </c>
      <c r="C463" s="12" t="str">
        <f t="shared" si="11"/>
        <v>NWTC_WRTOTEXFM_CS_PR19CA004</v>
      </c>
      <c r="D463" s="12" t="s">
        <v>365</v>
      </c>
      <c r="E463" s="12" t="s">
        <v>368</v>
      </c>
      <c r="F463" s="12" t="s">
        <v>2</v>
      </c>
      <c r="G463" s="12" t="s">
        <v>59</v>
      </c>
      <c r="H463" s="155">
        <f>_xlfn.IFNA(INDEX('Financial model inputs'!$A$3:$AJ$89,MATCH(F_interface!$A463&amp;RIGHT(F_interface!H$2,2),'Financial model inputs'!$A$3:$A$89,0),MATCH(F_interface!$D463,'Financial model inputs'!$A$3:$AJ$3,0)),0)</f>
        <v>76.297981930990233</v>
      </c>
      <c r="I463" s="155">
        <f>_xlfn.IFNA(INDEX('Financial model inputs'!$A$3:$AJ$89,MATCH(F_interface!$A463&amp;RIGHT(F_interface!I$2,2),'Financial model inputs'!$A$3:$A$89,0),MATCH(F_interface!$D463,'Financial model inputs'!$A$3:$AJ$3,0)),0)</f>
        <v>76.297981930990233</v>
      </c>
      <c r="J463" s="155">
        <f>_xlfn.IFNA(INDEX('Financial model inputs'!$A$3:$AJ$89,MATCH(F_interface!$A463&amp;RIGHT(F_interface!J$2,2),'Financial model inputs'!$A$3:$A$89,0),MATCH(F_interface!$D463,'Financial model inputs'!$A$3:$AJ$3,0)),0)</f>
        <v>76.297981930990233</v>
      </c>
      <c r="K463" s="155">
        <f>_xlfn.IFNA(INDEX('Financial model inputs'!$A$3:$AJ$89,MATCH(F_interface!$A463&amp;RIGHT(F_interface!K$2,2),'Financial model inputs'!$A$3:$A$89,0),MATCH(F_interface!$D463,'Financial model inputs'!$A$3:$AJ$3,0)),0)</f>
        <v>76.297981930990233</v>
      </c>
      <c r="L463" s="155">
        <f>_xlfn.IFNA(INDEX('Financial model inputs'!$A$3:$AJ$89,MATCH(F_interface!$A463&amp;RIGHT(F_interface!L$2,2),'Financial model inputs'!$A$3:$A$89,0),MATCH(F_interface!$D463,'Financial model inputs'!$A$3:$AJ$3,0)),0)</f>
        <v>76.297981930990233</v>
      </c>
    </row>
    <row r="464" spans="1:12" x14ac:dyDescent="0.25">
      <c r="A464" s="13" t="s">
        <v>6</v>
      </c>
      <c r="B464" s="4" t="s">
        <v>366</v>
      </c>
      <c r="C464" s="12" t="str">
        <f t="shared" si="11"/>
        <v>NWTC_WNTOTEXFM_CS_PR19CA004</v>
      </c>
      <c r="D464" s="12" t="s">
        <v>366</v>
      </c>
      <c r="E464" s="12" t="s">
        <v>369</v>
      </c>
      <c r="F464" s="12" t="s">
        <v>2</v>
      </c>
      <c r="G464" s="12" t="s">
        <v>59</v>
      </c>
      <c r="H464" s="155">
        <f>_xlfn.IFNA(INDEX('Financial model inputs'!$A$3:$AJ$89,MATCH(F_interface!$A464&amp;RIGHT(F_interface!H$2,2),'Financial model inputs'!$A$3:$A$89,0),MATCH(F_interface!$D464,'Financial model inputs'!$A$3:$AJ$3,0)),0)</f>
        <v>423.26895774499678</v>
      </c>
      <c r="I464" s="155">
        <f>_xlfn.IFNA(INDEX('Financial model inputs'!$A$3:$AJ$89,MATCH(F_interface!$A464&amp;RIGHT(F_interface!I$2,2),'Financial model inputs'!$A$3:$A$89,0),MATCH(F_interface!$D464,'Financial model inputs'!$A$3:$AJ$3,0)),0)</f>
        <v>423.26895774499678</v>
      </c>
      <c r="J464" s="155">
        <f>_xlfn.IFNA(INDEX('Financial model inputs'!$A$3:$AJ$89,MATCH(F_interface!$A464&amp;RIGHT(F_interface!J$2,2),'Financial model inputs'!$A$3:$A$89,0),MATCH(F_interface!$D464,'Financial model inputs'!$A$3:$AJ$3,0)),0)</f>
        <v>423.26895774499678</v>
      </c>
      <c r="K464" s="155">
        <f>_xlfn.IFNA(INDEX('Financial model inputs'!$A$3:$AJ$89,MATCH(F_interface!$A464&amp;RIGHT(F_interface!K$2,2),'Financial model inputs'!$A$3:$A$89,0),MATCH(F_interface!$D464,'Financial model inputs'!$A$3:$AJ$3,0)),0)</f>
        <v>423.26895774499678</v>
      </c>
      <c r="L464" s="155">
        <f>_xlfn.IFNA(INDEX('Financial model inputs'!$A$3:$AJ$89,MATCH(F_interface!$A464&amp;RIGHT(F_interface!L$2,2),'Financial model inputs'!$A$3:$A$89,0),MATCH(F_interface!$D464,'Financial model inputs'!$A$3:$AJ$3,0)),0)</f>
        <v>423.26895774499678</v>
      </c>
    </row>
    <row r="465" spans="1:12" x14ac:dyDescent="0.25">
      <c r="A465" s="13" t="s">
        <v>7</v>
      </c>
      <c r="B465" s="4" t="s">
        <v>365</v>
      </c>
      <c r="C465" s="12" t="str">
        <f t="shared" si="11"/>
        <v>SRNC_WRTOTEXFM_CS_PR19CA004</v>
      </c>
      <c r="D465" s="12" t="s">
        <v>365</v>
      </c>
      <c r="E465" s="12" t="s">
        <v>368</v>
      </c>
      <c r="F465" s="12" t="s">
        <v>2</v>
      </c>
      <c r="G465" s="12" t="s">
        <v>59</v>
      </c>
      <c r="H465" s="155">
        <f>_xlfn.IFNA(INDEX('Financial model inputs'!$A$3:$AJ$89,MATCH(F_interface!$A465&amp;RIGHT(F_interface!H$2,2),'Financial model inputs'!$A$3:$A$89,0),MATCH(F_interface!$D465,'Financial model inputs'!$A$3:$AJ$3,0)),0)</f>
        <v>24.670693831207206</v>
      </c>
      <c r="I465" s="155">
        <f>_xlfn.IFNA(INDEX('Financial model inputs'!$A$3:$AJ$89,MATCH(F_interface!$A465&amp;RIGHT(F_interface!I$2,2),'Financial model inputs'!$A$3:$A$89,0),MATCH(F_interface!$D465,'Financial model inputs'!$A$3:$AJ$3,0)),0)</f>
        <v>24.670693831207206</v>
      </c>
      <c r="J465" s="155">
        <f>_xlfn.IFNA(INDEX('Financial model inputs'!$A$3:$AJ$89,MATCH(F_interface!$A465&amp;RIGHT(F_interface!J$2,2),'Financial model inputs'!$A$3:$A$89,0),MATCH(F_interface!$D465,'Financial model inputs'!$A$3:$AJ$3,0)),0)</f>
        <v>24.670693831207206</v>
      </c>
      <c r="K465" s="155">
        <f>_xlfn.IFNA(INDEX('Financial model inputs'!$A$3:$AJ$89,MATCH(F_interface!$A465&amp;RIGHT(F_interface!K$2,2),'Financial model inputs'!$A$3:$A$89,0),MATCH(F_interface!$D465,'Financial model inputs'!$A$3:$AJ$3,0)),0)</f>
        <v>24.670693831207206</v>
      </c>
      <c r="L465" s="155">
        <f>_xlfn.IFNA(INDEX('Financial model inputs'!$A$3:$AJ$89,MATCH(F_interface!$A465&amp;RIGHT(F_interface!L$2,2),'Financial model inputs'!$A$3:$A$89,0),MATCH(F_interface!$D465,'Financial model inputs'!$A$3:$AJ$3,0)),0)</f>
        <v>24.670693831207206</v>
      </c>
    </row>
    <row r="466" spans="1:12" x14ac:dyDescent="0.25">
      <c r="A466" s="13" t="s">
        <v>7</v>
      </c>
      <c r="B466" s="4" t="s">
        <v>366</v>
      </c>
      <c r="C466" s="12" t="str">
        <f t="shared" si="11"/>
        <v>SRNC_WNTOTEXFM_CS_PR19CA004</v>
      </c>
      <c r="D466" s="12" t="s">
        <v>366</v>
      </c>
      <c r="E466" s="12" t="s">
        <v>369</v>
      </c>
      <c r="F466" s="12" t="s">
        <v>2</v>
      </c>
      <c r="G466" s="12" t="s">
        <v>59</v>
      </c>
      <c r="H466" s="155">
        <f>_xlfn.IFNA(INDEX('Financial model inputs'!$A$3:$AJ$89,MATCH(F_interface!$A466&amp;RIGHT(F_interface!H$2,2),'Financial model inputs'!$A$3:$A$89,0),MATCH(F_interface!$D466,'Financial model inputs'!$A$3:$AJ$3,0)),0)</f>
        <v>180.11858298939214</v>
      </c>
      <c r="I466" s="155">
        <f>_xlfn.IFNA(INDEX('Financial model inputs'!$A$3:$AJ$89,MATCH(F_interface!$A466&amp;RIGHT(F_interface!I$2,2),'Financial model inputs'!$A$3:$A$89,0),MATCH(F_interface!$D466,'Financial model inputs'!$A$3:$AJ$3,0)),0)</f>
        <v>180.11858298939214</v>
      </c>
      <c r="J466" s="155">
        <f>_xlfn.IFNA(INDEX('Financial model inputs'!$A$3:$AJ$89,MATCH(F_interface!$A466&amp;RIGHT(F_interface!J$2,2),'Financial model inputs'!$A$3:$A$89,0),MATCH(F_interface!$D466,'Financial model inputs'!$A$3:$AJ$3,0)),0)</f>
        <v>180.11858298939214</v>
      </c>
      <c r="K466" s="155">
        <f>_xlfn.IFNA(INDEX('Financial model inputs'!$A$3:$AJ$89,MATCH(F_interface!$A466&amp;RIGHT(F_interface!K$2,2),'Financial model inputs'!$A$3:$A$89,0),MATCH(F_interface!$D466,'Financial model inputs'!$A$3:$AJ$3,0)),0)</f>
        <v>180.11858298939214</v>
      </c>
      <c r="L466" s="155">
        <f>_xlfn.IFNA(INDEX('Financial model inputs'!$A$3:$AJ$89,MATCH(F_interface!$A466&amp;RIGHT(F_interface!L$2,2),'Financial model inputs'!$A$3:$A$89,0),MATCH(F_interface!$D466,'Financial model inputs'!$A$3:$AJ$3,0)),0)</f>
        <v>180.11858298939214</v>
      </c>
    </row>
    <row r="467" spans="1:12" x14ac:dyDescent="0.25">
      <c r="A467" s="13" t="s">
        <v>89</v>
      </c>
      <c r="B467" s="4" t="s">
        <v>365</v>
      </c>
      <c r="C467" s="12" t="str">
        <f t="shared" si="11"/>
        <v>SVEC_WRTOTEXFM_CS_PR19CA004</v>
      </c>
      <c r="D467" s="12" t="s">
        <v>365</v>
      </c>
      <c r="E467" s="12" t="s">
        <v>368</v>
      </c>
      <c r="F467" s="12" t="s">
        <v>2</v>
      </c>
      <c r="G467" s="12" t="s">
        <v>59</v>
      </c>
      <c r="H467" s="155">
        <f>_xlfn.IFNA(INDEX('Financial model inputs'!$A$3:$AJ$89,MATCH(F_interface!$A467&amp;RIGHT(F_interface!H$2,2),'Financial model inputs'!$A$3:$A$89,0),MATCH(F_interface!$D467,'Financial model inputs'!$A$3:$AJ$3,0)),0)</f>
        <v>67.261472741814856</v>
      </c>
      <c r="I467" s="155">
        <f>_xlfn.IFNA(INDEX('Financial model inputs'!$A$3:$AJ$89,MATCH(F_interface!$A467&amp;RIGHT(F_interface!I$2,2),'Financial model inputs'!$A$3:$A$89,0),MATCH(F_interface!$D467,'Financial model inputs'!$A$3:$AJ$3,0)),0)</f>
        <v>67.261472741814856</v>
      </c>
      <c r="J467" s="155">
        <f>_xlfn.IFNA(INDEX('Financial model inputs'!$A$3:$AJ$89,MATCH(F_interface!$A467&amp;RIGHT(F_interface!J$2,2),'Financial model inputs'!$A$3:$A$89,0),MATCH(F_interface!$D467,'Financial model inputs'!$A$3:$AJ$3,0)),0)</f>
        <v>67.261472741814856</v>
      </c>
      <c r="K467" s="155">
        <f>_xlfn.IFNA(INDEX('Financial model inputs'!$A$3:$AJ$89,MATCH(F_interface!$A467&amp;RIGHT(F_interface!K$2,2),'Financial model inputs'!$A$3:$A$89,0),MATCH(F_interface!$D467,'Financial model inputs'!$A$3:$AJ$3,0)),0)</f>
        <v>67.261472741814856</v>
      </c>
      <c r="L467" s="155">
        <f>_xlfn.IFNA(INDEX('Financial model inputs'!$A$3:$AJ$89,MATCH(F_interface!$A467&amp;RIGHT(F_interface!L$2,2),'Financial model inputs'!$A$3:$A$89,0),MATCH(F_interface!$D467,'Financial model inputs'!$A$3:$AJ$3,0)),0)</f>
        <v>67.261472741814856</v>
      </c>
    </row>
    <row r="468" spans="1:12" x14ac:dyDescent="0.25">
      <c r="A468" s="13" t="s">
        <v>89</v>
      </c>
      <c r="B468" s="4" t="s">
        <v>366</v>
      </c>
      <c r="C468" s="12" t="str">
        <f t="shared" si="11"/>
        <v>SVEC_WNTOTEXFM_CS_PR19CA004</v>
      </c>
      <c r="D468" s="12" t="s">
        <v>366</v>
      </c>
      <c r="E468" s="12" t="s">
        <v>369</v>
      </c>
      <c r="F468" s="12" t="s">
        <v>2</v>
      </c>
      <c r="G468" s="12" t="s">
        <v>59</v>
      </c>
      <c r="H468" s="155">
        <f>_xlfn.IFNA(INDEX('Financial model inputs'!$A$3:$AJ$89,MATCH(F_interface!$A468&amp;RIGHT(F_interface!H$2,2),'Financial model inputs'!$A$3:$A$89,0),MATCH(F_interface!$D468,'Financial model inputs'!$A$3:$AJ$3,0)),0)</f>
        <v>502.62926542982723</v>
      </c>
      <c r="I468" s="155">
        <f>_xlfn.IFNA(INDEX('Financial model inputs'!$A$3:$AJ$89,MATCH(F_interface!$A468&amp;RIGHT(F_interface!I$2,2),'Financial model inputs'!$A$3:$A$89,0),MATCH(F_interface!$D468,'Financial model inputs'!$A$3:$AJ$3,0)),0)</f>
        <v>502.62926542982723</v>
      </c>
      <c r="J468" s="155">
        <f>_xlfn.IFNA(INDEX('Financial model inputs'!$A$3:$AJ$89,MATCH(F_interface!$A468&amp;RIGHT(F_interface!J$2,2),'Financial model inputs'!$A$3:$A$89,0),MATCH(F_interface!$D468,'Financial model inputs'!$A$3:$AJ$3,0)),0)</f>
        <v>502.62926542982723</v>
      </c>
      <c r="K468" s="155">
        <f>_xlfn.IFNA(INDEX('Financial model inputs'!$A$3:$AJ$89,MATCH(F_interface!$A468&amp;RIGHT(F_interface!K$2,2),'Financial model inputs'!$A$3:$A$89,0),MATCH(F_interface!$D468,'Financial model inputs'!$A$3:$AJ$3,0)),0)</f>
        <v>502.62926542982723</v>
      </c>
      <c r="L468" s="155">
        <f>_xlfn.IFNA(INDEX('Financial model inputs'!$A$3:$AJ$89,MATCH(F_interface!$A468&amp;RIGHT(F_interface!L$2,2),'Financial model inputs'!$A$3:$A$89,0),MATCH(F_interface!$D468,'Financial model inputs'!$A$3:$AJ$3,0)),0)</f>
        <v>502.62926542982723</v>
      </c>
    </row>
    <row r="469" spans="1:12" x14ac:dyDescent="0.25">
      <c r="A469" s="13" t="s">
        <v>93</v>
      </c>
      <c r="B469" s="4" t="s">
        <v>365</v>
      </c>
      <c r="C469" s="12" t="str">
        <f t="shared" si="11"/>
        <v>SVHC_WRTOTEXFM_CS_PR19CA004</v>
      </c>
      <c r="D469" s="12" t="s">
        <v>365</v>
      </c>
      <c r="E469" s="12" t="s">
        <v>368</v>
      </c>
      <c r="F469" s="12" t="s">
        <v>2</v>
      </c>
      <c r="G469" s="12" t="s">
        <v>59</v>
      </c>
      <c r="H469" s="155">
        <f>_xlfn.IFNA(INDEX('Financial model inputs'!$A$3:$AJ$89,MATCH(F_interface!$A469&amp;RIGHT(F_interface!H$2,2),'Financial model inputs'!$A$3:$A$89,0),MATCH(F_interface!$D469,'Financial model inputs'!$A$3:$AJ$3,0)),0)</f>
        <v>0</v>
      </c>
      <c r="I469" s="155">
        <f>_xlfn.IFNA(INDEX('Financial model inputs'!$A$3:$AJ$89,MATCH(F_interface!$A469&amp;RIGHT(F_interface!I$2,2),'Financial model inputs'!$A$3:$A$89,0),MATCH(F_interface!$D469,'Financial model inputs'!$A$3:$AJ$3,0)),0)</f>
        <v>0</v>
      </c>
      <c r="J469" s="155">
        <f>_xlfn.IFNA(INDEX('Financial model inputs'!$A$3:$AJ$89,MATCH(F_interface!$A469&amp;RIGHT(F_interface!J$2,2),'Financial model inputs'!$A$3:$A$89,0),MATCH(F_interface!$D469,'Financial model inputs'!$A$3:$AJ$3,0)),0)</f>
        <v>0</v>
      </c>
      <c r="K469" s="155">
        <f>_xlfn.IFNA(INDEX('Financial model inputs'!$A$3:$AJ$89,MATCH(F_interface!$A469&amp;RIGHT(F_interface!K$2,2),'Financial model inputs'!$A$3:$A$89,0),MATCH(F_interface!$D469,'Financial model inputs'!$A$3:$AJ$3,0)),0)</f>
        <v>0</v>
      </c>
      <c r="L469" s="155">
        <f>_xlfn.IFNA(INDEX('Financial model inputs'!$A$3:$AJ$89,MATCH(F_interface!$A469&amp;RIGHT(F_interface!L$2,2),'Financial model inputs'!$A$3:$A$89,0),MATCH(F_interface!$D469,'Financial model inputs'!$A$3:$AJ$3,0)),0)</f>
        <v>0</v>
      </c>
    </row>
    <row r="470" spans="1:12" x14ac:dyDescent="0.25">
      <c r="A470" s="13" t="s">
        <v>93</v>
      </c>
      <c r="B470" s="4" t="s">
        <v>366</v>
      </c>
      <c r="C470" s="12" t="str">
        <f t="shared" si="11"/>
        <v>SVHC_WNTOTEXFM_CS_PR19CA004</v>
      </c>
      <c r="D470" s="12" t="s">
        <v>366</v>
      </c>
      <c r="E470" s="12" t="s">
        <v>369</v>
      </c>
      <c r="F470" s="12" t="s">
        <v>2</v>
      </c>
      <c r="G470" s="12" t="s">
        <v>59</v>
      </c>
      <c r="H470" s="155">
        <f>_xlfn.IFNA(INDEX('Financial model inputs'!$A$3:$AJ$89,MATCH(F_interface!$A470&amp;RIGHT(F_interface!H$2,2),'Financial model inputs'!$A$3:$A$89,0),MATCH(F_interface!$D470,'Financial model inputs'!$A$3:$AJ$3,0)),0)</f>
        <v>0</v>
      </c>
      <c r="I470" s="155">
        <f>_xlfn.IFNA(INDEX('Financial model inputs'!$A$3:$AJ$89,MATCH(F_interface!$A470&amp;RIGHT(F_interface!I$2,2),'Financial model inputs'!$A$3:$A$89,0),MATCH(F_interface!$D470,'Financial model inputs'!$A$3:$AJ$3,0)),0)</f>
        <v>0</v>
      </c>
      <c r="J470" s="155">
        <f>_xlfn.IFNA(INDEX('Financial model inputs'!$A$3:$AJ$89,MATCH(F_interface!$A470&amp;RIGHT(F_interface!J$2,2),'Financial model inputs'!$A$3:$A$89,0),MATCH(F_interface!$D470,'Financial model inputs'!$A$3:$AJ$3,0)),0)</f>
        <v>0</v>
      </c>
      <c r="K470" s="155">
        <f>_xlfn.IFNA(INDEX('Financial model inputs'!$A$3:$AJ$89,MATCH(F_interface!$A470&amp;RIGHT(F_interface!K$2,2),'Financial model inputs'!$A$3:$A$89,0),MATCH(F_interface!$D470,'Financial model inputs'!$A$3:$AJ$3,0)),0)</f>
        <v>0</v>
      </c>
      <c r="L470" s="155">
        <f>_xlfn.IFNA(INDEX('Financial model inputs'!$A$3:$AJ$89,MATCH(F_interface!$A470&amp;RIGHT(F_interface!L$2,2),'Financial model inputs'!$A$3:$A$89,0),MATCH(F_interface!$D470,'Financial model inputs'!$A$3:$AJ$3,0)),0)</f>
        <v>0</v>
      </c>
    </row>
    <row r="471" spans="1:12" x14ac:dyDescent="0.25">
      <c r="A471" s="13" t="s">
        <v>8</v>
      </c>
      <c r="B471" s="4" t="s">
        <v>365</v>
      </c>
      <c r="C471" s="12" t="str">
        <f t="shared" si="11"/>
        <v>SVTC_WRTOTEXFM_CS_PR19CA004</v>
      </c>
      <c r="D471" s="12" t="s">
        <v>365</v>
      </c>
      <c r="E471" s="12" t="s">
        <v>368</v>
      </c>
      <c r="F471" s="12" t="s">
        <v>2</v>
      </c>
      <c r="G471" s="12" t="s">
        <v>59</v>
      </c>
      <c r="H471" s="155">
        <f>_xlfn.IFNA(INDEX('Financial model inputs'!$A$3:$AJ$89,MATCH(F_interface!$A471&amp;RIGHT(F_interface!H$2,2),'Financial model inputs'!$A$3:$A$89,0),MATCH(F_interface!$D471,'Financial model inputs'!$A$3:$AJ$3,0)),0)</f>
        <v>0</v>
      </c>
      <c r="I471" s="155">
        <f>_xlfn.IFNA(INDEX('Financial model inputs'!$A$3:$AJ$89,MATCH(F_interface!$A471&amp;RIGHT(F_interface!I$2,2),'Financial model inputs'!$A$3:$A$89,0),MATCH(F_interface!$D471,'Financial model inputs'!$A$3:$AJ$3,0)),0)</f>
        <v>0</v>
      </c>
      <c r="J471" s="155">
        <f>_xlfn.IFNA(INDEX('Financial model inputs'!$A$3:$AJ$89,MATCH(F_interface!$A471&amp;RIGHT(F_interface!J$2,2),'Financial model inputs'!$A$3:$A$89,0),MATCH(F_interface!$D471,'Financial model inputs'!$A$3:$AJ$3,0)),0)</f>
        <v>0</v>
      </c>
      <c r="K471" s="155">
        <f>_xlfn.IFNA(INDEX('Financial model inputs'!$A$3:$AJ$89,MATCH(F_interface!$A471&amp;RIGHT(F_interface!K$2,2),'Financial model inputs'!$A$3:$A$89,0),MATCH(F_interface!$D471,'Financial model inputs'!$A$3:$AJ$3,0)),0)</f>
        <v>0</v>
      </c>
      <c r="L471" s="155">
        <f>_xlfn.IFNA(INDEX('Financial model inputs'!$A$3:$AJ$89,MATCH(F_interface!$A471&amp;RIGHT(F_interface!L$2,2),'Financial model inputs'!$A$3:$A$89,0),MATCH(F_interface!$D471,'Financial model inputs'!$A$3:$AJ$3,0)),0)</f>
        <v>0</v>
      </c>
    </row>
    <row r="472" spans="1:12" x14ac:dyDescent="0.25">
      <c r="A472" s="13" t="s">
        <v>8</v>
      </c>
      <c r="B472" s="4" t="s">
        <v>366</v>
      </c>
      <c r="C472" s="12" t="str">
        <f t="shared" si="11"/>
        <v>SVTC_WNTOTEXFM_CS_PR19CA004</v>
      </c>
      <c r="D472" s="12" t="s">
        <v>366</v>
      </c>
      <c r="E472" s="12" t="s">
        <v>369</v>
      </c>
      <c r="F472" s="12" t="s">
        <v>2</v>
      </c>
      <c r="G472" s="12" t="s">
        <v>59</v>
      </c>
      <c r="H472" s="155">
        <f>_xlfn.IFNA(INDEX('Financial model inputs'!$A$3:$AJ$89,MATCH(F_interface!$A472&amp;RIGHT(F_interface!H$2,2),'Financial model inputs'!$A$3:$A$89,0),MATCH(F_interface!$D472,'Financial model inputs'!$A$3:$AJ$3,0)),0)</f>
        <v>0</v>
      </c>
      <c r="I472" s="155">
        <f>_xlfn.IFNA(INDEX('Financial model inputs'!$A$3:$AJ$89,MATCH(F_interface!$A472&amp;RIGHT(F_interface!I$2,2),'Financial model inputs'!$A$3:$A$89,0),MATCH(F_interface!$D472,'Financial model inputs'!$A$3:$AJ$3,0)),0)</f>
        <v>0</v>
      </c>
      <c r="J472" s="155">
        <f>_xlfn.IFNA(INDEX('Financial model inputs'!$A$3:$AJ$89,MATCH(F_interface!$A472&amp;RIGHT(F_interface!J$2,2),'Financial model inputs'!$A$3:$A$89,0),MATCH(F_interface!$D472,'Financial model inputs'!$A$3:$AJ$3,0)),0)</f>
        <v>0</v>
      </c>
      <c r="K472" s="155">
        <f>_xlfn.IFNA(INDEX('Financial model inputs'!$A$3:$AJ$89,MATCH(F_interface!$A472&amp;RIGHT(F_interface!K$2,2),'Financial model inputs'!$A$3:$A$89,0),MATCH(F_interface!$D472,'Financial model inputs'!$A$3:$AJ$3,0)),0)</f>
        <v>0</v>
      </c>
      <c r="L472" s="155">
        <f>_xlfn.IFNA(INDEX('Financial model inputs'!$A$3:$AJ$89,MATCH(F_interface!$A472&amp;RIGHT(F_interface!L$2,2),'Financial model inputs'!$A$3:$A$89,0),MATCH(F_interface!$D472,'Financial model inputs'!$A$3:$AJ$3,0)),0)</f>
        <v>0</v>
      </c>
    </row>
    <row r="473" spans="1:12" x14ac:dyDescent="0.25">
      <c r="A473" s="13" t="s">
        <v>19</v>
      </c>
      <c r="B473" s="4" t="s">
        <v>365</v>
      </c>
      <c r="C473" s="12" t="str">
        <f t="shared" si="11"/>
        <v>SWBC_WRTOTEXFM_CS_PR19CA004</v>
      </c>
      <c r="D473" s="12" t="s">
        <v>365</v>
      </c>
      <c r="E473" s="12" t="s">
        <v>368</v>
      </c>
      <c r="F473" s="12" t="s">
        <v>2</v>
      </c>
      <c r="G473" s="12" t="s">
        <v>59</v>
      </c>
      <c r="H473" s="155">
        <f>_xlfn.IFNA(INDEX('Financial model inputs'!$A$3:$AJ$89,MATCH(F_interface!$A473&amp;RIGHT(F_interface!H$2,2),'Financial model inputs'!$A$3:$A$89,0),MATCH(F_interface!$D473,'Financial model inputs'!$A$3:$AJ$3,0)),0)</f>
        <v>15.398929713042241</v>
      </c>
      <c r="I473" s="155">
        <f>_xlfn.IFNA(INDEX('Financial model inputs'!$A$3:$AJ$89,MATCH(F_interface!$A473&amp;RIGHT(F_interface!I$2,2),'Financial model inputs'!$A$3:$A$89,0),MATCH(F_interface!$D473,'Financial model inputs'!$A$3:$AJ$3,0)),0)</f>
        <v>15.398929713042241</v>
      </c>
      <c r="J473" s="155">
        <f>_xlfn.IFNA(INDEX('Financial model inputs'!$A$3:$AJ$89,MATCH(F_interface!$A473&amp;RIGHT(F_interface!J$2,2),'Financial model inputs'!$A$3:$A$89,0),MATCH(F_interface!$D473,'Financial model inputs'!$A$3:$AJ$3,0)),0)</f>
        <v>15.398929713042241</v>
      </c>
      <c r="K473" s="155">
        <f>_xlfn.IFNA(INDEX('Financial model inputs'!$A$3:$AJ$89,MATCH(F_interface!$A473&amp;RIGHT(F_interface!K$2,2),'Financial model inputs'!$A$3:$A$89,0),MATCH(F_interface!$D473,'Financial model inputs'!$A$3:$AJ$3,0)),0)</f>
        <v>15.398929713042241</v>
      </c>
      <c r="L473" s="155">
        <f>_xlfn.IFNA(INDEX('Financial model inputs'!$A$3:$AJ$89,MATCH(F_interface!$A473&amp;RIGHT(F_interface!L$2,2),'Financial model inputs'!$A$3:$A$89,0),MATCH(F_interface!$D473,'Financial model inputs'!$A$3:$AJ$3,0)),0)</f>
        <v>15.398929713042241</v>
      </c>
    </row>
    <row r="474" spans="1:12" x14ac:dyDescent="0.25">
      <c r="A474" s="13" t="s">
        <v>19</v>
      </c>
      <c r="B474" s="4" t="s">
        <v>366</v>
      </c>
      <c r="C474" s="12" t="str">
        <f t="shared" si="11"/>
        <v>SWBC_WNTOTEXFM_CS_PR19CA004</v>
      </c>
      <c r="D474" s="12" t="s">
        <v>366</v>
      </c>
      <c r="E474" s="12" t="s">
        <v>369</v>
      </c>
      <c r="F474" s="12" t="s">
        <v>2</v>
      </c>
      <c r="G474" s="12" t="s">
        <v>59</v>
      </c>
      <c r="H474" s="155">
        <f>_xlfn.IFNA(INDEX('Financial model inputs'!$A$3:$AJ$89,MATCH(F_interface!$A474&amp;RIGHT(F_interface!H$2,2),'Financial model inputs'!$A$3:$A$89,0),MATCH(F_interface!$D474,'Financial model inputs'!$A$3:$AJ$3,0)),0)</f>
        <v>162.59998069916824</v>
      </c>
      <c r="I474" s="155">
        <f>_xlfn.IFNA(INDEX('Financial model inputs'!$A$3:$AJ$89,MATCH(F_interface!$A474&amp;RIGHT(F_interface!I$2,2),'Financial model inputs'!$A$3:$A$89,0),MATCH(F_interface!$D474,'Financial model inputs'!$A$3:$AJ$3,0)),0)</f>
        <v>162.59998069916824</v>
      </c>
      <c r="J474" s="155">
        <f>_xlfn.IFNA(INDEX('Financial model inputs'!$A$3:$AJ$89,MATCH(F_interface!$A474&amp;RIGHT(F_interface!J$2,2),'Financial model inputs'!$A$3:$A$89,0),MATCH(F_interface!$D474,'Financial model inputs'!$A$3:$AJ$3,0)),0)</f>
        <v>162.59998069916824</v>
      </c>
      <c r="K474" s="155">
        <f>_xlfn.IFNA(INDEX('Financial model inputs'!$A$3:$AJ$89,MATCH(F_interface!$A474&amp;RIGHT(F_interface!K$2,2),'Financial model inputs'!$A$3:$A$89,0),MATCH(F_interface!$D474,'Financial model inputs'!$A$3:$AJ$3,0)),0)</f>
        <v>162.59998069916824</v>
      </c>
      <c r="L474" s="155">
        <f>_xlfn.IFNA(INDEX('Financial model inputs'!$A$3:$AJ$89,MATCH(F_interface!$A474&amp;RIGHT(F_interface!L$2,2),'Financial model inputs'!$A$3:$A$89,0),MATCH(F_interface!$D474,'Financial model inputs'!$A$3:$AJ$3,0)),0)</f>
        <v>162.59998069916824</v>
      </c>
    </row>
    <row r="475" spans="1:12" x14ac:dyDescent="0.25">
      <c r="A475" s="13" t="s">
        <v>9</v>
      </c>
      <c r="B475" s="4" t="s">
        <v>365</v>
      </c>
      <c r="C475" s="12" t="str">
        <f t="shared" si="11"/>
        <v>TMSC_WRTOTEXFM_CS_PR19CA004</v>
      </c>
      <c r="D475" s="12" t="s">
        <v>365</v>
      </c>
      <c r="E475" s="12" t="s">
        <v>368</v>
      </c>
      <c r="F475" s="12" t="s">
        <v>2</v>
      </c>
      <c r="G475" s="12" t="s">
        <v>59</v>
      </c>
      <c r="H475" s="155">
        <f>_xlfn.IFNA(INDEX('Financial model inputs'!$A$3:$AJ$89,MATCH(F_interface!$A475&amp;RIGHT(F_interface!H$2,2),'Financial model inputs'!$A$3:$A$89,0),MATCH(F_interface!$D475,'Financial model inputs'!$A$3:$AJ$3,0)),0)</f>
        <v>96.602881849142221</v>
      </c>
      <c r="I475" s="155">
        <f>_xlfn.IFNA(INDEX('Financial model inputs'!$A$3:$AJ$89,MATCH(F_interface!$A475&amp;RIGHT(F_interface!I$2,2),'Financial model inputs'!$A$3:$A$89,0),MATCH(F_interface!$D475,'Financial model inputs'!$A$3:$AJ$3,0)),0)</f>
        <v>96.602881849142221</v>
      </c>
      <c r="J475" s="155">
        <f>_xlfn.IFNA(INDEX('Financial model inputs'!$A$3:$AJ$89,MATCH(F_interface!$A475&amp;RIGHT(F_interface!J$2,2),'Financial model inputs'!$A$3:$A$89,0),MATCH(F_interface!$D475,'Financial model inputs'!$A$3:$AJ$3,0)),0)</f>
        <v>96.602881849142221</v>
      </c>
      <c r="K475" s="155">
        <f>_xlfn.IFNA(INDEX('Financial model inputs'!$A$3:$AJ$89,MATCH(F_interface!$A475&amp;RIGHT(F_interface!K$2,2),'Financial model inputs'!$A$3:$A$89,0),MATCH(F_interface!$D475,'Financial model inputs'!$A$3:$AJ$3,0)),0)</f>
        <v>96.602881849142221</v>
      </c>
      <c r="L475" s="155">
        <f>_xlfn.IFNA(INDEX('Financial model inputs'!$A$3:$AJ$89,MATCH(F_interface!$A475&amp;RIGHT(F_interface!L$2,2),'Financial model inputs'!$A$3:$A$89,0),MATCH(F_interface!$D475,'Financial model inputs'!$A$3:$AJ$3,0)),0)</f>
        <v>96.602881849142221</v>
      </c>
    </row>
    <row r="476" spans="1:12" x14ac:dyDescent="0.25">
      <c r="A476" s="13" t="s">
        <v>9</v>
      </c>
      <c r="B476" s="4" t="s">
        <v>366</v>
      </c>
      <c r="C476" s="12" t="str">
        <f t="shared" si="11"/>
        <v>TMSC_WNTOTEXFM_CS_PR19CA004</v>
      </c>
      <c r="D476" s="12" t="s">
        <v>366</v>
      </c>
      <c r="E476" s="12" t="s">
        <v>369</v>
      </c>
      <c r="F476" s="12" t="s">
        <v>2</v>
      </c>
      <c r="G476" s="12" t="s">
        <v>59</v>
      </c>
      <c r="H476" s="155">
        <f>_xlfn.IFNA(INDEX('Financial model inputs'!$A$3:$AJ$89,MATCH(F_interface!$A476&amp;RIGHT(F_interface!H$2,2),'Financial model inputs'!$A$3:$A$89,0),MATCH(F_interface!$D476,'Financial model inputs'!$A$3:$AJ$3,0)),0)</f>
        <v>736.17593131509705</v>
      </c>
      <c r="I476" s="155">
        <f>_xlfn.IFNA(INDEX('Financial model inputs'!$A$3:$AJ$89,MATCH(F_interface!$A476&amp;RIGHT(F_interface!I$2,2),'Financial model inputs'!$A$3:$A$89,0),MATCH(F_interface!$D476,'Financial model inputs'!$A$3:$AJ$3,0)),0)</f>
        <v>736.17593131509705</v>
      </c>
      <c r="J476" s="155">
        <f>_xlfn.IFNA(INDEX('Financial model inputs'!$A$3:$AJ$89,MATCH(F_interface!$A476&amp;RIGHT(F_interface!J$2,2),'Financial model inputs'!$A$3:$A$89,0),MATCH(F_interface!$D476,'Financial model inputs'!$A$3:$AJ$3,0)),0)</f>
        <v>736.17593131509705</v>
      </c>
      <c r="K476" s="155">
        <f>_xlfn.IFNA(INDEX('Financial model inputs'!$A$3:$AJ$89,MATCH(F_interface!$A476&amp;RIGHT(F_interface!K$2,2),'Financial model inputs'!$A$3:$A$89,0),MATCH(F_interface!$D476,'Financial model inputs'!$A$3:$AJ$3,0)),0)</f>
        <v>736.17593131509705</v>
      </c>
      <c r="L476" s="155">
        <f>_xlfn.IFNA(INDEX('Financial model inputs'!$A$3:$AJ$89,MATCH(F_interface!$A476&amp;RIGHT(F_interface!L$2,2),'Financial model inputs'!$A$3:$A$89,0),MATCH(F_interface!$D476,'Financial model inputs'!$A$3:$AJ$3,0)),0)</f>
        <v>736.17593131509705</v>
      </c>
    </row>
    <row r="477" spans="1:12" x14ac:dyDescent="0.25">
      <c r="A477" s="13" t="s">
        <v>23</v>
      </c>
      <c r="B477" s="4" t="s">
        <v>365</v>
      </c>
      <c r="C477" s="12" t="str">
        <f t="shared" si="11"/>
        <v>WSHC_WRTOTEXFM_CS_PR19CA004</v>
      </c>
      <c r="D477" s="12" t="s">
        <v>365</v>
      </c>
      <c r="E477" s="12" t="s">
        <v>368</v>
      </c>
      <c r="F477" s="12" t="s">
        <v>2</v>
      </c>
      <c r="G477" s="12" t="s">
        <v>59</v>
      </c>
      <c r="H477" s="155">
        <f>_xlfn.IFNA(INDEX('Financial model inputs'!$A$3:$AJ$89,MATCH(F_interface!$A477&amp;RIGHT(F_interface!H$2,2),'Financial model inputs'!$A$3:$A$89,0),MATCH(F_interface!$D477,'Financial model inputs'!$A$3:$AJ$3,0)),0)</f>
        <v>57.639015012232996</v>
      </c>
      <c r="I477" s="155">
        <f>_xlfn.IFNA(INDEX('Financial model inputs'!$A$3:$AJ$89,MATCH(F_interface!$A477&amp;RIGHT(F_interface!I$2,2),'Financial model inputs'!$A$3:$A$89,0),MATCH(F_interface!$D477,'Financial model inputs'!$A$3:$AJ$3,0)),0)</f>
        <v>57.639015012232996</v>
      </c>
      <c r="J477" s="155">
        <f>_xlfn.IFNA(INDEX('Financial model inputs'!$A$3:$AJ$89,MATCH(F_interface!$A477&amp;RIGHT(F_interface!J$2,2),'Financial model inputs'!$A$3:$A$89,0),MATCH(F_interface!$D477,'Financial model inputs'!$A$3:$AJ$3,0)),0)</f>
        <v>57.639015012232996</v>
      </c>
      <c r="K477" s="155">
        <f>_xlfn.IFNA(INDEX('Financial model inputs'!$A$3:$AJ$89,MATCH(F_interface!$A477&amp;RIGHT(F_interface!K$2,2),'Financial model inputs'!$A$3:$A$89,0),MATCH(F_interface!$D477,'Financial model inputs'!$A$3:$AJ$3,0)),0)</f>
        <v>57.639015012232996</v>
      </c>
      <c r="L477" s="155">
        <f>_xlfn.IFNA(INDEX('Financial model inputs'!$A$3:$AJ$89,MATCH(F_interface!$A477&amp;RIGHT(F_interface!L$2,2),'Financial model inputs'!$A$3:$A$89,0),MATCH(F_interface!$D477,'Financial model inputs'!$A$3:$AJ$3,0)),0)</f>
        <v>57.639015012232996</v>
      </c>
    </row>
    <row r="478" spans="1:12" x14ac:dyDescent="0.25">
      <c r="A478" s="13" t="s">
        <v>23</v>
      </c>
      <c r="B478" s="4" t="s">
        <v>366</v>
      </c>
      <c r="C478" s="12" t="str">
        <f t="shared" si="11"/>
        <v>WSHC_WNTOTEXFM_CS_PR19CA004</v>
      </c>
      <c r="D478" s="12" t="s">
        <v>366</v>
      </c>
      <c r="E478" s="12" t="s">
        <v>369</v>
      </c>
      <c r="F478" s="12" t="s">
        <v>2</v>
      </c>
      <c r="G478" s="12" t="s">
        <v>59</v>
      </c>
      <c r="H478" s="155">
        <f>_xlfn.IFNA(INDEX('Financial model inputs'!$A$3:$AJ$89,MATCH(F_interface!$A478&amp;RIGHT(F_interface!H$2,2),'Financial model inputs'!$A$3:$A$89,0),MATCH(F_interface!$D478,'Financial model inputs'!$A$3:$AJ$3,0)),0)</f>
        <v>210.36269703325451</v>
      </c>
      <c r="I478" s="155">
        <f>_xlfn.IFNA(INDEX('Financial model inputs'!$A$3:$AJ$89,MATCH(F_interface!$A478&amp;RIGHT(F_interface!I$2,2),'Financial model inputs'!$A$3:$A$89,0),MATCH(F_interface!$D478,'Financial model inputs'!$A$3:$AJ$3,0)),0)</f>
        <v>210.36269703325451</v>
      </c>
      <c r="J478" s="155">
        <f>_xlfn.IFNA(INDEX('Financial model inputs'!$A$3:$AJ$89,MATCH(F_interface!$A478&amp;RIGHT(F_interface!J$2,2),'Financial model inputs'!$A$3:$A$89,0),MATCH(F_interface!$D478,'Financial model inputs'!$A$3:$AJ$3,0)),0)</f>
        <v>210.36269703325451</v>
      </c>
      <c r="K478" s="155">
        <f>_xlfn.IFNA(INDEX('Financial model inputs'!$A$3:$AJ$89,MATCH(F_interface!$A478&amp;RIGHT(F_interface!K$2,2),'Financial model inputs'!$A$3:$A$89,0),MATCH(F_interface!$D478,'Financial model inputs'!$A$3:$AJ$3,0)),0)</f>
        <v>210.36269703325451</v>
      </c>
      <c r="L478" s="155">
        <f>_xlfn.IFNA(INDEX('Financial model inputs'!$A$3:$AJ$89,MATCH(F_interface!$A478&amp;RIGHT(F_interface!L$2,2),'Financial model inputs'!$A$3:$A$89,0),MATCH(F_interface!$D478,'Financial model inputs'!$A$3:$AJ$3,0)),0)</f>
        <v>210.36269703325451</v>
      </c>
    </row>
    <row r="479" spans="1:12" x14ac:dyDescent="0.25">
      <c r="A479" s="13" t="s">
        <v>10</v>
      </c>
      <c r="B479" s="4" t="s">
        <v>365</v>
      </c>
      <c r="C479" s="12" t="str">
        <f t="shared" si="11"/>
        <v>WSXC_WRTOTEXFM_CS_PR19CA004</v>
      </c>
      <c r="D479" s="12" t="s">
        <v>365</v>
      </c>
      <c r="E479" s="12" t="s">
        <v>368</v>
      </c>
      <c r="F479" s="12" t="s">
        <v>2</v>
      </c>
      <c r="G479" s="12" t="s">
        <v>59</v>
      </c>
      <c r="H479" s="155">
        <f>_xlfn.IFNA(INDEX('Financial model inputs'!$A$3:$AJ$89,MATCH(F_interface!$A479&amp;RIGHT(F_interface!H$2,2),'Financial model inputs'!$A$3:$A$89,0),MATCH(F_interface!$D479,'Financial model inputs'!$A$3:$AJ$3,0)),0)</f>
        <v>16.486048214607269</v>
      </c>
      <c r="I479" s="155">
        <f>_xlfn.IFNA(INDEX('Financial model inputs'!$A$3:$AJ$89,MATCH(F_interface!$A479&amp;RIGHT(F_interface!I$2,2),'Financial model inputs'!$A$3:$A$89,0),MATCH(F_interface!$D479,'Financial model inputs'!$A$3:$AJ$3,0)),0)</f>
        <v>16.486048214607269</v>
      </c>
      <c r="J479" s="155">
        <f>_xlfn.IFNA(INDEX('Financial model inputs'!$A$3:$AJ$89,MATCH(F_interface!$A479&amp;RIGHT(F_interface!J$2,2),'Financial model inputs'!$A$3:$A$89,0),MATCH(F_interface!$D479,'Financial model inputs'!$A$3:$AJ$3,0)),0)</f>
        <v>16.486048214607269</v>
      </c>
      <c r="K479" s="155">
        <f>_xlfn.IFNA(INDEX('Financial model inputs'!$A$3:$AJ$89,MATCH(F_interface!$A479&amp;RIGHT(F_interface!K$2,2),'Financial model inputs'!$A$3:$A$89,0),MATCH(F_interface!$D479,'Financial model inputs'!$A$3:$AJ$3,0)),0)</f>
        <v>16.486048214607269</v>
      </c>
      <c r="L479" s="155">
        <f>_xlfn.IFNA(INDEX('Financial model inputs'!$A$3:$AJ$89,MATCH(F_interface!$A479&amp;RIGHT(F_interface!L$2,2),'Financial model inputs'!$A$3:$A$89,0),MATCH(F_interface!$D479,'Financial model inputs'!$A$3:$AJ$3,0)),0)</f>
        <v>16.486048214607269</v>
      </c>
    </row>
    <row r="480" spans="1:12" x14ac:dyDescent="0.25">
      <c r="A480" s="13" t="s">
        <v>10</v>
      </c>
      <c r="B480" s="4" t="s">
        <v>366</v>
      </c>
      <c r="C480" s="12" t="str">
        <f t="shared" si="11"/>
        <v>WSXC_WNTOTEXFM_CS_PR19CA004</v>
      </c>
      <c r="D480" s="12" t="s">
        <v>366</v>
      </c>
      <c r="E480" s="12" t="s">
        <v>369</v>
      </c>
      <c r="F480" s="12" t="s">
        <v>2</v>
      </c>
      <c r="G480" s="12" t="s">
        <v>59</v>
      </c>
      <c r="H480" s="155">
        <f>_xlfn.IFNA(INDEX('Financial model inputs'!$A$3:$AJ$89,MATCH(F_interface!$A480&amp;RIGHT(F_interface!H$2,2),'Financial model inputs'!$A$3:$A$89,0),MATCH(F_interface!$D480,'Financial model inputs'!$A$3:$AJ$3,0)),0)</f>
        <v>105.58535138287102</v>
      </c>
      <c r="I480" s="155">
        <f>_xlfn.IFNA(INDEX('Financial model inputs'!$A$3:$AJ$89,MATCH(F_interface!$A480&amp;RIGHT(F_interface!I$2,2),'Financial model inputs'!$A$3:$A$89,0),MATCH(F_interface!$D480,'Financial model inputs'!$A$3:$AJ$3,0)),0)</f>
        <v>105.58535138287102</v>
      </c>
      <c r="J480" s="155">
        <f>_xlfn.IFNA(INDEX('Financial model inputs'!$A$3:$AJ$89,MATCH(F_interface!$A480&amp;RIGHT(F_interface!J$2,2),'Financial model inputs'!$A$3:$A$89,0),MATCH(F_interface!$D480,'Financial model inputs'!$A$3:$AJ$3,0)),0)</f>
        <v>105.58535138287102</v>
      </c>
      <c r="K480" s="155">
        <f>_xlfn.IFNA(INDEX('Financial model inputs'!$A$3:$AJ$89,MATCH(F_interface!$A480&amp;RIGHT(F_interface!K$2,2),'Financial model inputs'!$A$3:$A$89,0),MATCH(F_interface!$D480,'Financial model inputs'!$A$3:$AJ$3,0)),0)</f>
        <v>105.58535138287102</v>
      </c>
      <c r="L480" s="155">
        <f>_xlfn.IFNA(INDEX('Financial model inputs'!$A$3:$AJ$89,MATCH(F_interface!$A480&amp;RIGHT(F_interface!L$2,2),'Financial model inputs'!$A$3:$A$89,0),MATCH(F_interface!$D480,'Financial model inputs'!$A$3:$AJ$3,0)),0)</f>
        <v>105.58535138287102</v>
      </c>
    </row>
    <row r="481" spans="1:12" x14ac:dyDescent="0.25">
      <c r="A481" s="13" t="s">
        <v>11</v>
      </c>
      <c r="B481" s="4" t="s">
        <v>365</v>
      </c>
      <c r="C481" s="12" t="str">
        <f t="shared" si="11"/>
        <v>YKYC_WRTOTEXFM_CS_PR19CA004</v>
      </c>
      <c r="D481" s="12" t="s">
        <v>365</v>
      </c>
      <c r="E481" s="12" t="s">
        <v>368</v>
      </c>
      <c r="F481" s="12" t="s">
        <v>2</v>
      </c>
      <c r="G481" s="12" t="s">
        <v>59</v>
      </c>
      <c r="H481" s="155">
        <f>_xlfn.IFNA(INDEX('Financial model inputs'!$A$3:$AJ$89,MATCH(F_interface!$A481&amp;RIGHT(F_interface!H$2,2),'Financial model inputs'!$A$3:$A$89,0),MATCH(F_interface!$D481,'Financial model inputs'!$A$3:$AJ$3,0)),0)</f>
        <v>49.443861232726078</v>
      </c>
      <c r="I481" s="155">
        <f>_xlfn.IFNA(INDEX('Financial model inputs'!$A$3:$AJ$89,MATCH(F_interface!$A481&amp;RIGHT(F_interface!I$2,2),'Financial model inputs'!$A$3:$A$89,0),MATCH(F_interface!$D481,'Financial model inputs'!$A$3:$AJ$3,0)),0)</f>
        <v>49.443861232726078</v>
      </c>
      <c r="J481" s="155">
        <f>_xlfn.IFNA(INDEX('Financial model inputs'!$A$3:$AJ$89,MATCH(F_interface!$A481&amp;RIGHT(F_interface!J$2,2),'Financial model inputs'!$A$3:$A$89,0),MATCH(F_interface!$D481,'Financial model inputs'!$A$3:$AJ$3,0)),0)</f>
        <v>49.443861232726078</v>
      </c>
      <c r="K481" s="155">
        <f>_xlfn.IFNA(INDEX('Financial model inputs'!$A$3:$AJ$89,MATCH(F_interface!$A481&amp;RIGHT(F_interface!K$2,2),'Financial model inputs'!$A$3:$A$89,0),MATCH(F_interface!$D481,'Financial model inputs'!$A$3:$AJ$3,0)),0)</f>
        <v>49.443861232726078</v>
      </c>
      <c r="L481" s="155">
        <f>_xlfn.IFNA(INDEX('Financial model inputs'!$A$3:$AJ$89,MATCH(F_interface!$A481&amp;RIGHT(F_interface!L$2,2),'Financial model inputs'!$A$3:$A$89,0),MATCH(F_interface!$D481,'Financial model inputs'!$A$3:$AJ$3,0)),0)</f>
        <v>49.443861232726078</v>
      </c>
    </row>
    <row r="482" spans="1:12" x14ac:dyDescent="0.25">
      <c r="A482" s="13" t="s">
        <v>11</v>
      </c>
      <c r="B482" s="4" t="s">
        <v>366</v>
      </c>
      <c r="C482" s="12" t="str">
        <f t="shared" si="11"/>
        <v>YKYC_WNTOTEXFM_CS_PR19CA004</v>
      </c>
      <c r="D482" s="12" t="s">
        <v>366</v>
      </c>
      <c r="E482" s="12" t="s">
        <v>369</v>
      </c>
      <c r="F482" s="12" t="s">
        <v>2</v>
      </c>
      <c r="G482" s="12" t="s">
        <v>59</v>
      </c>
      <c r="H482" s="155">
        <f>_xlfn.IFNA(INDEX('Financial model inputs'!$A$3:$AJ$89,MATCH(F_interface!$A482&amp;RIGHT(F_interface!H$2,2),'Financial model inputs'!$A$3:$A$89,0),MATCH(F_interface!$D482,'Financial model inputs'!$A$3:$AJ$3,0)),0)</f>
        <v>287.26578673971142</v>
      </c>
      <c r="I482" s="155">
        <f>_xlfn.IFNA(INDEX('Financial model inputs'!$A$3:$AJ$89,MATCH(F_interface!$A482&amp;RIGHT(F_interface!I$2,2),'Financial model inputs'!$A$3:$A$89,0),MATCH(F_interface!$D482,'Financial model inputs'!$A$3:$AJ$3,0)),0)</f>
        <v>287.26578673971142</v>
      </c>
      <c r="J482" s="155">
        <f>_xlfn.IFNA(INDEX('Financial model inputs'!$A$3:$AJ$89,MATCH(F_interface!$A482&amp;RIGHT(F_interface!J$2,2),'Financial model inputs'!$A$3:$A$89,0),MATCH(F_interface!$D482,'Financial model inputs'!$A$3:$AJ$3,0)),0)</f>
        <v>287.26578673971142</v>
      </c>
      <c r="K482" s="155">
        <f>_xlfn.IFNA(INDEX('Financial model inputs'!$A$3:$AJ$89,MATCH(F_interface!$A482&amp;RIGHT(F_interface!K$2,2),'Financial model inputs'!$A$3:$A$89,0),MATCH(F_interface!$D482,'Financial model inputs'!$A$3:$AJ$3,0)),0)</f>
        <v>287.26578673971142</v>
      </c>
      <c r="L482" s="155">
        <f>_xlfn.IFNA(INDEX('Financial model inputs'!$A$3:$AJ$89,MATCH(F_interface!$A482&amp;RIGHT(F_interface!L$2,2),'Financial model inputs'!$A$3:$A$89,0),MATCH(F_interface!$D482,'Financial model inputs'!$A$3:$AJ$3,0)),0)</f>
        <v>287.26578673971142</v>
      </c>
    </row>
    <row r="483" spans="1:12" x14ac:dyDescent="0.25">
      <c r="A483" s="13" t="s">
        <v>12</v>
      </c>
      <c r="B483" s="4" t="s">
        <v>370</v>
      </c>
      <c r="C483" s="12" t="str">
        <f t="shared" si="11"/>
        <v>AFWC_WROTHER_EXCPDR_PR19CA004</v>
      </c>
      <c r="D483" s="4" t="s">
        <v>370</v>
      </c>
      <c r="E483" s="12" t="s">
        <v>372</v>
      </c>
      <c r="F483" s="12" t="s">
        <v>2</v>
      </c>
      <c r="G483" s="12" t="s">
        <v>59</v>
      </c>
      <c r="H483" s="155">
        <f xml:space="preserve"> _xlfn.IFNA(INDEX('Final allowances'!$B$72:$Q$88,MATCH(F_interface!$A483,'Final allowances'!$B$72:$B$88,0),14) - INDEX('Final allowances'!$B$72:$Q$88,MATCH(F_interface!$A483,'Final allowances'!$B$72:$B$88,0),8),0) / 5</f>
        <v>14.006551788787956</v>
      </c>
      <c r="I483" s="155">
        <f xml:space="preserve"> _xlfn.IFNA(INDEX('Final allowances'!$B$72:$Q$88,MATCH(F_interface!$A483,'Final allowances'!$B$72:$B$88,0),14) - INDEX('Final allowances'!$B$72:$Q$88,MATCH(F_interface!$A483,'Final allowances'!$B$72:$B$88,0),8),0) / 5</f>
        <v>14.006551788787956</v>
      </c>
      <c r="J483" s="155">
        <f xml:space="preserve"> _xlfn.IFNA(INDEX('Final allowances'!$B$72:$Q$88,MATCH(F_interface!$A483,'Final allowances'!$B$72:$B$88,0),14) - INDEX('Final allowances'!$B$72:$Q$88,MATCH(F_interface!$A483,'Final allowances'!$B$72:$B$88,0),8),0) / 5</f>
        <v>14.006551788787956</v>
      </c>
      <c r="K483" s="155">
        <f xml:space="preserve"> _xlfn.IFNA(INDEX('Final allowances'!$B$72:$Q$88,MATCH(F_interface!$A483,'Final allowances'!$B$72:$B$88,0),14) - INDEX('Final allowances'!$B$72:$Q$88,MATCH(F_interface!$A483,'Final allowances'!$B$72:$B$88,0),8),0) / 5</f>
        <v>14.006551788787956</v>
      </c>
      <c r="L483" s="155">
        <f xml:space="preserve"> _xlfn.IFNA(INDEX('Final allowances'!$B$72:$Q$88,MATCH(F_interface!$A483,'Final allowances'!$B$72:$B$88,0),14) - INDEX('Final allowances'!$B$72:$Q$88,MATCH(F_interface!$A483,'Final allowances'!$B$72:$B$88,0),8),0) / 5</f>
        <v>14.006551788787956</v>
      </c>
    </row>
    <row r="484" spans="1:12" x14ac:dyDescent="0.25">
      <c r="A484" s="13" t="s">
        <v>12</v>
      </c>
      <c r="B484" s="4" t="s">
        <v>371</v>
      </c>
      <c r="C484" s="12" t="str">
        <f t="shared" si="11"/>
        <v>AFWC_WNOTHER_EXCPDR_PR19CA004</v>
      </c>
      <c r="D484" s="4" t="s">
        <v>371</v>
      </c>
      <c r="E484" s="12" t="s">
        <v>373</v>
      </c>
      <c r="F484" s="12" t="s">
        <v>2</v>
      </c>
      <c r="G484" s="12" t="s">
        <v>59</v>
      </c>
      <c r="H484" s="155">
        <f xml:space="preserve"> _xlfn.IFNA(INDEX('Final allowances'!$B$72:$Q$88,MATCH(F_interface!$A483,'Final allowances'!$B$72:$B$88,0),15) - INDEX('Final allowances'!$B$72:$Q$88,MATCH(F_interface!$A483,'Final allowances'!$B$72:$B$88,0),9),0) / 5</f>
        <v>5.2118978138997889</v>
      </c>
      <c r="I484" s="155">
        <f xml:space="preserve"> _xlfn.IFNA(INDEX('Final allowances'!$B$72:$Q$88,MATCH(F_interface!$A483,'Final allowances'!$B$72:$B$88,0),15) - INDEX('Final allowances'!$B$72:$Q$88,MATCH(F_interface!$A483,'Final allowances'!$B$72:$B$88,0),9),0) / 5</f>
        <v>5.2118978138997889</v>
      </c>
      <c r="J484" s="155">
        <f xml:space="preserve"> _xlfn.IFNA(INDEX('Final allowances'!$B$72:$Q$88,MATCH(F_interface!$A483,'Final allowances'!$B$72:$B$88,0),15) - INDEX('Final allowances'!$B$72:$Q$88,MATCH(F_interface!$A483,'Final allowances'!$B$72:$B$88,0),9),0) / 5</f>
        <v>5.2118978138997889</v>
      </c>
      <c r="K484" s="155">
        <f xml:space="preserve"> _xlfn.IFNA(INDEX('Final allowances'!$B$72:$Q$88,MATCH(F_interface!$A483,'Final allowances'!$B$72:$B$88,0),15) - INDEX('Final allowances'!$B$72:$Q$88,MATCH(F_interface!$A483,'Final allowances'!$B$72:$B$88,0),9),0) / 5</f>
        <v>5.2118978138997889</v>
      </c>
      <c r="L484" s="155">
        <f xml:space="preserve"> _xlfn.IFNA(INDEX('Final allowances'!$B$72:$Q$88,MATCH(F_interface!$A483,'Final allowances'!$B$72:$B$88,0),15) - INDEX('Final allowances'!$B$72:$Q$88,MATCH(F_interface!$A483,'Final allowances'!$B$72:$B$88,0),9),0) / 5</f>
        <v>5.2118978138997889</v>
      </c>
    </row>
    <row r="485" spans="1:12" x14ac:dyDescent="0.25">
      <c r="A485" s="13" t="s">
        <v>13</v>
      </c>
      <c r="B485" s="4" t="s">
        <v>370</v>
      </c>
      <c r="C485" s="12" t="str">
        <f t="shared" ref="C485:C508" si="12">A485&amp;B485</f>
        <v>BRLC_WROTHER_EXCPDR_PR19CA004</v>
      </c>
      <c r="D485" s="4" t="s">
        <v>370</v>
      </c>
      <c r="E485" s="12" t="s">
        <v>372</v>
      </c>
      <c r="F485" s="12" t="s">
        <v>2</v>
      </c>
      <c r="G485" s="12" t="s">
        <v>59</v>
      </c>
      <c r="H485" s="155">
        <f xml:space="preserve"> _xlfn.IFNA(INDEX('Final allowances'!$B$72:$Q$88,MATCH(F_interface!$A485,'Final allowances'!$B$72:$B$88,0),14) - INDEX('Final allowances'!$B$72:$Q$88,MATCH(F_interface!$A485,'Final allowances'!$B$72:$B$88,0),8),0) / 5</f>
        <v>0.26119999999999999</v>
      </c>
      <c r="I485" s="155">
        <f xml:space="preserve"> _xlfn.IFNA(INDEX('Final allowances'!$B$72:$Q$88,MATCH(F_interface!$A485,'Final allowances'!$B$72:$B$88,0),14) - INDEX('Final allowances'!$B$72:$Q$88,MATCH(F_interface!$A485,'Final allowances'!$B$72:$B$88,0),8),0) / 5</f>
        <v>0.26119999999999999</v>
      </c>
      <c r="J485" s="155">
        <f xml:space="preserve"> _xlfn.IFNA(INDEX('Final allowances'!$B$72:$Q$88,MATCH(F_interface!$A485,'Final allowances'!$B$72:$B$88,0),14) - INDEX('Final allowances'!$B$72:$Q$88,MATCH(F_interface!$A485,'Final allowances'!$B$72:$B$88,0),8),0) / 5</f>
        <v>0.26119999999999999</v>
      </c>
      <c r="K485" s="155">
        <f xml:space="preserve"> _xlfn.IFNA(INDEX('Final allowances'!$B$72:$Q$88,MATCH(F_interface!$A485,'Final allowances'!$B$72:$B$88,0),14) - INDEX('Final allowances'!$B$72:$Q$88,MATCH(F_interface!$A485,'Final allowances'!$B$72:$B$88,0),8),0) / 5</f>
        <v>0.26119999999999999</v>
      </c>
      <c r="L485" s="155">
        <f xml:space="preserve"> _xlfn.IFNA(INDEX('Final allowances'!$B$72:$Q$88,MATCH(F_interface!$A485,'Final allowances'!$B$72:$B$88,0),14) - INDEX('Final allowances'!$B$72:$Q$88,MATCH(F_interface!$A485,'Final allowances'!$B$72:$B$88,0),8),0) / 5</f>
        <v>0.26119999999999999</v>
      </c>
    </row>
    <row r="486" spans="1:12" x14ac:dyDescent="0.25">
      <c r="A486" s="13" t="s">
        <v>13</v>
      </c>
      <c r="B486" s="4" t="s">
        <v>371</v>
      </c>
      <c r="C486" s="12" t="str">
        <f t="shared" si="12"/>
        <v>BRLC_WNOTHER_EXCPDR_PR19CA004</v>
      </c>
      <c r="D486" s="4" t="s">
        <v>371</v>
      </c>
      <c r="E486" s="12" t="s">
        <v>373</v>
      </c>
      <c r="F486" s="12" t="s">
        <v>2</v>
      </c>
      <c r="G486" s="12" t="s">
        <v>59</v>
      </c>
      <c r="H486" s="155">
        <f xml:space="preserve"> _xlfn.IFNA(INDEX('Final allowances'!$B$72:$Q$88,MATCH(F_interface!$A485,'Final allowances'!$B$72:$B$88,0),15) - INDEX('Final allowances'!$B$72:$Q$88,MATCH(F_interface!$A485,'Final allowances'!$B$72:$B$88,0),9),0) / 5</f>
        <v>1.1384000000000001</v>
      </c>
      <c r="I486" s="155">
        <f xml:space="preserve"> _xlfn.IFNA(INDEX('Final allowances'!$B$72:$Q$88,MATCH(F_interface!$A485,'Final allowances'!$B$72:$B$88,0),15) - INDEX('Final allowances'!$B$72:$Q$88,MATCH(F_interface!$A485,'Final allowances'!$B$72:$B$88,0),9),0) / 5</f>
        <v>1.1384000000000001</v>
      </c>
      <c r="J486" s="155">
        <f xml:space="preserve"> _xlfn.IFNA(INDEX('Final allowances'!$B$72:$Q$88,MATCH(F_interface!$A485,'Final allowances'!$B$72:$B$88,0),15) - INDEX('Final allowances'!$B$72:$Q$88,MATCH(F_interface!$A485,'Final allowances'!$B$72:$B$88,0),9),0) / 5</f>
        <v>1.1384000000000001</v>
      </c>
      <c r="K486" s="155">
        <f xml:space="preserve"> _xlfn.IFNA(INDEX('Final allowances'!$B$72:$Q$88,MATCH(F_interface!$A485,'Final allowances'!$B$72:$B$88,0),15) - INDEX('Final allowances'!$B$72:$Q$88,MATCH(F_interface!$A485,'Final allowances'!$B$72:$B$88,0),9),0) / 5</f>
        <v>1.1384000000000001</v>
      </c>
      <c r="L486" s="155">
        <f xml:space="preserve"> _xlfn.IFNA(INDEX('Final allowances'!$B$72:$Q$88,MATCH(F_interface!$A485,'Final allowances'!$B$72:$B$88,0),15) - INDEX('Final allowances'!$B$72:$Q$88,MATCH(F_interface!$A485,'Final allowances'!$B$72:$B$88,0),9),0) / 5</f>
        <v>1.1384000000000001</v>
      </c>
    </row>
    <row r="487" spans="1:12" x14ac:dyDescent="0.25">
      <c r="A487" s="13" t="s">
        <v>14</v>
      </c>
      <c r="B487" s="4" t="s">
        <v>370</v>
      </c>
      <c r="C487" s="12" t="str">
        <f t="shared" si="12"/>
        <v>DVWC_WROTHER_EXCPDR_PR19CA004</v>
      </c>
      <c r="D487" s="4" t="s">
        <v>370</v>
      </c>
      <c r="E487" s="12" t="s">
        <v>372</v>
      </c>
      <c r="F487" s="12" t="s">
        <v>2</v>
      </c>
      <c r="G487" s="12" t="s">
        <v>59</v>
      </c>
      <c r="H487" s="155">
        <f xml:space="preserve"> _xlfn.IFNA(INDEX('Final allowances'!$B$72:$Q$88,MATCH(F_interface!$A487,'Final allowances'!$B$72:$B$88,0),14) - INDEX('Final allowances'!$B$72:$Q$88,MATCH(F_interface!$A487,'Final allowances'!$B$72:$B$88,0),8),0) / 5</f>
        <v>0</v>
      </c>
      <c r="I487" s="155">
        <f xml:space="preserve"> _xlfn.IFNA(INDEX('Final allowances'!$B$72:$Q$88,MATCH(F_interface!$A487,'Final allowances'!$B$72:$B$88,0),14) - INDEX('Final allowances'!$B$72:$Q$88,MATCH(F_interface!$A487,'Final allowances'!$B$72:$B$88,0),8),0) / 5</f>
        <v>0</v>
      </c>
      <c r="J487" s="155">
        <f xml:space="preserve"> _xlfn.IFNA(INDEX('Final allowances'!$B$72:$Q$88,MATCH(F_interface!$A487,'Final allowances'!$B$72:$B$88,0),14) - INDEX('Final allowances'!$B$72:$Q$88,MATCH(F_interface!$A487,'Final allowances'!$B$72:$B$88,0),8),0) / 5</f>
        <v>0</v>
      </c>
      <c r="K487" s="155">
        <f xml:space="preserve"> _xlfn.IFNA(INDEX('Final allowances'!$B$72:$Q$88,MATCH(F_interface!$A487,'Final allowances'!$B$72:$B$88,0),14) - INDEX('Final allowances'!$B$72:$Q$88,MATCH(F_interface!$A487,'Final allowances'!$B$72:$B$88,0),8),0) / 5</f>
        <v>0</v>
      </c>
      <c r="L487" s="155">
        <f xml:space="preserve"> _xlfn.IFNA(INDEX('Final allowances'!$B$72:$Q$88,MATCH(F_interface!$A487,'Final allowances'!$B$72:$B$88,0),14) - INDEX('Final allowances'!$B$72:$Q$88,MATCH(F_interface!$A487,'Final allowances'!$B$72:$B$88,0),8),0) / 5</f>
        <v>0</v>
      </c>
    </row>
    <row r="488" spans="1:12" x14ac:dyDescent="0.25">
      <c r="A488" s="13" t="s">
        <v>14</v>
      </c>
      <c r="B488" s="4" t="s">
        <v>371</v>
      </c>
      <c r="C488" s="12" t="str">
        <f t="shared" si="12"/>
        <v>DVWC_WNOTHER_EXCPDR_PR19CA004</v>
      </c>
      <c r="D488" s="4" t="s">
        <v>371</v>
      </c>
      <c r="E488" s="12" t="s">
        <v>373</v>
      </c>
      <c r="F488" s="12" t="s">
        <v>2</v>
      </c>
      <c r="G488" s="12" t="s">
        <v>59</v>
      </c>
      <c r="H488" s="155">
        <f xml:space="preserve"> _xlfn.IFNA(INDEX('Final allowances'!$B$72:$Q$88,MATCH(F_interface!$A487,'Final allowances'!$B$72:$B$88,0),15) - INDEX('Final allowances'!$B$72:$Q$88,MATCH(F_interface!$A487,'Final allowances'!$B$72:$B$88,0),9),0) / 5</f>
        <v>0</v>
      </c>
      <c r="I488" s="155">
        <f xml:space="preserve"> _xlfn.IFNA(INDEX('Final allowances'!$B$72:$Q$88,MATCH(F_interface!$A487,'Final allowances'!$B$72:$B$88,0),15) - INDEX('Final allowances'!$B$72:$Q$88,MATCH(F_interface!$A487,'Final allowances'!$B$72:$B$88,0),9),0) / 5</f>
        <v>0</v>
      </c>
      <c r="J488" s="155">
        <f xml:space="preserve"> _xlfn.IFNA(INDEX('Final allowances'!$B$72:$Q$88,MATCH(F_interface!$A487,'Final allowances'!$B$72:$B$88,0),15) - INDEX('Final allowances'!$B$72:$Q$88,MATCH(F_interface!$A487,'Final allowances'!$B$72:$B$88,0),9),0) / 5</f>
        <v>0</v>
      </c>
      <c r="K488" s="155">
        <f xml:space="preserve"> _xlfn.IFNA(INDEX('Final allowances'!$B$72:$Q$88,MATCH(F_interface!$A487,'Final allowances'!$B$72:$B$88,0),15) - INDEX('Final allowances'!$B$72:$Q$88,MATCH(F_interface!$A487,'Final allowances'!$B$72:$B$88,0),9),0) / 5</f>
        <v>0</v>
      </c>
      <c r="L488" s="155">
        <f xml:space="preserve"> _xlfn.IFNA(INDEX('Final allowances'!$B$72:$Q$88,MATCH(F_interface!$A487,'Final allowances'!$B$72:$B$88,0),15) - INDEX('Final allowances'!$B$72:$Q$88,MATCH(F_interface!$A487,'Final allowances'!$B$72:$B$88,0),9),0) / 5</f>
        <v>0</v>
      </c>
    </row>
    <row r="489" spans="1:12" x14ac:dyDescent="0.25">
      <c r="A489" s="13" t="s">
        <v>15</v>
      </c>
      <c r="B489" s="4" t="s">
        <v>370</v>
      </c>
      <c r="C489" s="12" t="str">
        <f t="shared" si="12"/>
        <v>PRTC_WROTHER_EXCPDR_PR19CA004</v>
      </c>
      <c r="D489" s="4" t="s">
        <v>370</v>
      </c>
      <c r="E489" s="12" t="s">
        <v>372</v>
      </c>
      <c r="F489" s="12" t="s">
        <v>2</v>
      </c>
      <c r="G489" s="12" t="s">
        <v>59</v>
      </c>
      <c r="H489" s="155">
        <f xml:space="preserve"> _xlfn.IFNA(INDEX('Final allowances'!$B$72:$Q$88,MATCH(F_interface!$A489,'Final allowances'!$B$72:$B$88,0),14) - INDEX('Final allowances'!$B$72:$Q$88,MATCH(F_interface!$A489,'Final allowances'!$B$72:$B$88,0),8),0) / 5</f>
        <v>0</v>
      </c>
      <c r="I489" s="155">
        <f xml:space="preserve"> _xlfn.IFNA(INDEX('Final allowances'!$B$72:$Q$88,MATCH(F_interface!$A489,'Final allowances'!$B$72:$B$88,0),14) - INDEX('Final allowances'!$B$72:$Q$88,MATCH(F_interface!$A489,'Final allowances'!$B$72:$B$88,0),8),0) / 5</f>
        <v>0</v>
      </c>
      <c r="J489" s="155">
        <f xml:space="preserve"> _xlfn.IFNA(INDEX('Final allowances'!$B$72:$Q$88,MATCH(F_interface!$A489,'Final allowances'!$B$72:$B$88,0),14) - INDEX('Final allowances'!$B$72:$Q$88,MATCH(F_interface!$A489,'Final allowances'!$B$72:$B$88,0),8),0) / 5</f>
        <v>0</v>
      </c>
      <c r="K489" s="155">
        <f xml:space="preserve"> _xlfn.IFNA(INDEX('Final allowances'!$B$72:$Q$88,MATCH(F_interface!$A489,'Final allowances'!$B$72:$B$88,0),14) - INDEX('Final allowances'!$B$72:$Q$88,MATCH(F_interface!$A489,'Final allowances'!$B$72:$B$88,0),8),0) / 5</f>
        <v>0</v>
      </c>
      <c r="L489" s="155">
        <f xml:space="preserve"> _xlfn.IFNA(INDEX('Final allowances'!$B$72:$Q$88,MATCH(F_interface!$A489,'Final allowances'!$B$72:$B$88,0),14) - INDEX('Final allowances'!$B$72:$Q$88,MATCH(F_interface!$A489,'Final allowances'!$B$72:$B$88,0),8),0) / 5</f>
        <v>0</v>
      </c>
    </row>
    <row r="490" spans="1:12" x14ac:dyDescent="0.25">
      <c r="A490" s="13" t="s">
        <v>15</v>
      </c>
      <c r="B490" s="4" t="s">
        <v>371</v>
      </c>
      <c r="C490" s="12" t="str">
        <f t="shared" si="12"/>
        <v>PRTC_WNOTHER_EXCPDR_PR19CA004</v>
      </c>
      <c r="D490" s="4" t="s">
        <v>371</v>
      </c>
      <c r="E490" s="12" t="s">
        <v>373</v>
      </c>
      <c r="F490" s="12" t="s">
        <v>2</v>
      </c>
      <c r="G490" s="12" t="s">
        <v>59</v>
      </c>
      <c r="H490" s="155">
        <f xml:space="preserve"> _xlfn.IFNA(INDEX('Final allowances'!$B$72:$Q$88,MATCH(F_interface!$A489,'Final allowances'!$B$72:$B$88,0),15) - INDEX('Final allowances'!$B$72:$Q$88,MATCH(F_interface!$A489,'Final allowances'!$B$72:$B$88,0),9),0) / 5</f>
        <v>0.24900000000000003</v>
      </c>
      <c r="I490" s="155">
        <f xml:space="preserve"> _xlfn.IFNA(INDEX('Final allowances'!$B$72:$Q$88,MATCH(F_interface!$A489,'Final allowances'!$B$72:$B$88,0),15) - INDEX('Final allowances'!$B$72:$Q$88,MATCH(F_interface!$A489,'Final allowances'!$B$72:$B$88,0),9),0) / 5</f>
        <v>0.24900000000000003</v>
      </c>
      <c r="J490" s="155">
        <f xml:space="preserve"> _xlfn.IFNA(INDEX('Final allowances'!$B$72:$Q$88,MATCH(F_interface!$A489,'Final allowances'!$B$72:$B$88,0),15) - INDEX('Final allowances'!$B$72:$Q$88,MATCH(F_interface!$A489,'Final allowances'!$B$72:$B$88,0),9),0) / 5</f>
        <v>0.24900000000000003</v>
      </c>
      <c r="K490" s="155">
        <f xml:space="preserve"> _xlfn.IFNA(INDEX('Final allowances'!$B$72:$Q$88,MATCH(F_interface!$A489,'Final allowances'!$B$72:$B$88,0),15) - INDEX('Final allowances'!$B$72:$Q$88,MATCH(F_interface!$A489,'Final allowances'!$B$72:$B$88,0),9),0) / 5</f>
        <v>0.24900000000000003</v>
      </c>
      <c r="L490" s="155">
        <f xml:space="preserve"> _xlfn.IFNA(INDEX('Final allowances'!$B$72:$Q$88,MATCH(F_interface!$A489,'Final allowances'!$B$72:$B$88,0),15) - INDEX('Final allowances'!$B$72:$Q$88,MATCH(F_interface!$A489,'Final allowances'!$B$72:$B$88,0),9),0) / 5</f>
        <v>0.24900000000000003</v>
      </c>
    </row>
    <row r="491" spans="1:12" x14ac:dyDescent="0.25">
      <c r="A491" s="13" t="s">
        <v>16</v>
      </c>
      <c r="B491" s="4" t="s">
        <v>370</v>
      </c>
      <c r="C491" s="12" t="str">
        <f t="shared" si="12"/>
        <v>SESC_WROTHER_EXCPDR_PR19CA004</v>
      </c>
      <c r="D491" s="4" t="s">
        <v>370</v>
      </c>
      <c r="E491" s="12" t="s">
        <v>372</v>
      </c>
      <c r="F491" s="12" t="s">
        <v>2</v>
      </c>
      <c r="G491" s="12" t="s">
        <v>59</v>
      </c>
      <c r="H491" s="155">
        <f xml:space="preserve"> _xlfn.IFNA(INDEX('Final allowances'!$B$72:$Q$88,MATCH(F_interface!$A491,'Final allowances'!$B$72:$B$88,0),14) - INDEX('Final allowances'!$B$72:$Q$88,MATCH(F_interface!$A491,'Final allowances'!$B$72:$B$88,0),8),0) / 5</f>
        <v>0</v>
      </c>
      <c r="I491" s="155">
        <f xml:space="preserve"> _xlfn.IFNA(INDEX('Final allowances'!$B$72:$Q$88,MATCH(F_interface!$A491,'Final allowances'!$B$72:$B$88,0),14) - INDEX('Final allowances'!$B$72:$Q$88,MATCH(F_interface!$A491,'Final allowances'!$B$72:$B$88,0),8),0) / 5</f>
        <v>0</v>
      </c>
      <c r="J491" s="155">
        <f xml:space="preserve"> _xlfn.IFNA(INDEX('Final allowances'!$B$72:$Q$88,MATCH(F_interface!$A491,'Final allowances'!$B$72:$B$88,0),14) - INDEX('Final allowances'!$B$72:$Q$88,MATCH(F_interface!$A491,'Final allowances'!$B$72:$B$88,0),8),0) / 5</f>
        <v>0</v>
      </c>
      <c r="K491" s="155">
        <f xml:space="preserve"> _xlfn.IFNA(INDEX('Final allowances'!$B$72:$Q$88,MATCH(F_interface!$A491,'Final allowances'!$B$72:$B$88,0),14) - INDEX('Final allowances'!$B$72:$Q$88,MATCH(F_interface!$A491,'Final allowances'!$B$72:$B$88,0),8),0) / 5</f>
        <v>0</v>
      </c>
      <c r="L491" s="155">
        <f xml:space="preserve"> _xlfn.IFNA(INDEX('Final allowances'!$B$72:$Q$88,MATCH(F_interface!$A491,'Final allowances'!$B$72:$B$88,0),14) - INDEX('Final allowances'!$B$72:$Q$88,MATCH(F_interface!$A491,'Final allowances'!$B$72:$B$88,0),8),0) / 5</f>
        <v>0</v>
      </c>
    </row>
    <row r="492" spans="1:12" x14ac:dyDescent="0.25">
      <c r="A492" s="13" t="s">
        <v>16</v>
      </c>
      <c r="B492" s="4" t="s">
        <v>371</v>
      </c>
      <c r="C492" s="12" t="str">
        <f t="shared" si="12"/>
        <v>SESC_WNOTHER_EXCPDR_PR19CA004</v>
      </c>
      <c r="D492" s="4" t="s">
        <v>371</v>
      </c>
      <c r="E492" s="12" t="s">
        <v>373</v>
      </c>
      <c r="F492" s="12" t="s">
        <v>2</v>
      </c>
      <c r="G492" s="12" t="s">
        <v>59</v>
      </c>
      <c r="H492" s="155">
        <f xml:space="preserve"> _xlfn.IFNA(INDEX('Final allowances'!$B$72:$Q$88,MATCH(F_interface!$A491,'Final allowances'!$B$72:$B$88,0),15) - INDEX('Final allowances'!$B$72:$Q$88,MATCH(F_interface!$A491,'Final allowances'!$B$72:$B$88,0),9),0) / 5</f>
        <v>2.0171999999999999</v>
      </c>
      <c r="I492" s="155">
        <f xml:space="preserve"> _xlfn.IFNA(INDEX('Final allowances'!$B$72:$Q$88,MATCH(F_interface!$A491,'Final allowances'!$B$72:$B$88,0),15) - INDEX('Final allowances'!$B$72:$Q$88,MATCH(F_interface!$A491,'Final allowances'!$B$72:$B$88,0),9),0) / 5</f>
        <v>2.0171999999999999</v>
      </c>
      <c r="J492" s="155">
        <f xml:space="preserve"> _xlfn.IFNA(INDEX('Final allowances'!$B$72:$Q$88,MATCH(F_interface!$A491,'Final allowances'!$B$72:$B$88,0),15) - INDEX('Final allowances'!$B$72:$Q$88,MATCH(F_interface!$A491,'Final allowances'!$B$72:$B$88,0),9),0) / 5</f>
        <v>2.0171999999999999</v>
      </c>
      <c r="K492" s="155">
        <f xml:space="preserve"> _xlfn.IFNA(INDEX('Final allowances'!$B$72:$Q$88,MATCH(F_interface!$A491,'Final allowances'!$B$72:$B$88,0),15) - INDEX('Final allowances'!$B$72:$Q$88,MATCH(F_interface!$A491,'Final allowances'!$B$72:$B$88,0),9),0) / 5</f>
        <v>2.0171999999999999</v>
      </c>
      <c r="L492" s="155">
        <f xml:space="preserve"> _xlfn.IFNA(INDEX('Final allowances'!$B$72:$Q$88,MATCH(F_interface!$A491,'Final allowances'!$B$72:$B$88,0),15) - INDEX('Final allowances'!$B$72:$Q$88,MATCH(F_interface!$A491,'Final allowances'!$B$72:$B$88,0),9),0) / 5</f>
        <v>2.0171999999999999</v>
      </c>
    </row>
    <row r="493" spans="1:12" x14ac:dyDescent="0.25">
      <c r="A493" s="13" t="s">
        <v>17</v>
      </c>
      <c r="B493" s="4" t="s">
        <v>370</v>
      </c>
      <c r="C493" s="12" t="str">
        <f t="shared" si="12"/>
        <v>SEWC_WROTHER_EXCPDR_PR19CA004</v>
      </c>
      <c r="D493" s="4" t="s">
        <v>370</v>
      </c>
      <c r="E493" s="12" t="s">
        <v>372</v>
      </c>
      <c r="F493" s="12" t="s">
        <v>2</v>
      </c>
      <c r="G493" s="12" t="s">
        <v>59</v>
      </c>
      <c r="H493" s="155">
        <f xml:space="preserve"> _xlfn.IFNA(INDEX('Final allowances'!$B$72:$Q$88,MATCH(F_interface!$A493,'Final allowances'!$B$72:$B$88,0),14) - INDEX('Final allowances'!$B$72:$Q$88,MATCH(F_interface!$A493,'Final allowances'!$B$72:$B$88,0),8),0) / 5</f>
        <v>0</v>
      </c>
      <c r="I493" s="155">
        <f xml:space="preserve"> _xlfn.IFNA(INDEX('Final allowances'!$B$72:$Q$88,MATCH(F_interface!$A493,'Final allowances'!$B$72:$B$88,0),14) - INDEX('Final allowances'!$B$72:$Q$88,MATCH(F_interface!$A493,'Final allowances'!$B$72:$B$88,0),8),0) / 5</f>
        <v>0</v>
      </c>
      <c r="J493" s="155">
        <f xml:space="preserve"> _xlfn.IFNA(INDEX('Final allowances'!$B$72:$Q$88,MATCH(F_interface!$A493,'Final allowances'!$B$72:$B$88,0),14) - INDEX('Final allowances'!$B$72:$Q$88,MATCH(F_interface!$A493,'Final allowances'!$B$72:$B$88,0),8),0) / 5</f>
        <v>0</v>
      </c>
      <c r="K493" s="155">
        <f xml:space="preserve"> _xlfn.IFNA(INDEX('Final allowances'!$B$72:$Q$88,MATCH(F_interface!$A493,'Final allowances'!$B$72:$B$88,0),14) - INDEX('Final allowances'!$B$72:$Q$88,MATCH(F_interface!$A493,'Final allowances'!$B$72:$B$88,0),8),0) / 5</f>
        <v>0</v>
      </c>
      <c r="L493" s="155">
        <f xml:space="preserve"> _xlfn.IFNA(INDEX('Final allowances'!$B$72:$Q$88,MATCH(F_interface!$A493,'Final allowances'!$B$72:$B$88,0),14) - INDEX('Final allowances'!$B$72:$Q$88,MATCH(F_interface!$A493,'Final allowances'!$B$72:$B$88,0),8),0) / 5</f>
        <v>0</v>
      </c>
    </row>
    <row r="494" spans="1:12" x14ac:dyDescent="0.25">
      <c r="A494" s="13" t="s">
        <v>17</v>
      </c>
      <c r="B494" s="4" t="s">
        <v>371</v>
      </c>
      <c r="C494" s="12" t="str">
        <f t="shared" si="12"/>
        <v>SEWC_WNOTHER_EXCPDR_PR19CA004</v>
      </c>
      <c r="D494" s="4" t="s">
        <v>371</v>
      </c>
      <c r="E494" s="12" t="s">
        <v>373</v>
      </c>
      <c r="F494" s="12" t="s">
        <v>2</v>
      </c>
      <c r="G494" s="12" t="s">
        <v>59</v>
      </c>
      <c r="H494" s="155">
        <f xml:space="preserve"> _xlfn.IFNA(INDEX('Final allowances'!$B$72:$Q$88,MATCH(F_interface!$A493,'Final allowances'!$B$72:$B$88,0),15) - INDEX('Final allowances'!$B$72:$Q$88,MATCH(F_interface!$A493,'Final allowances'!$B$72:$B$88,0),9),0) / 5</f>
        <v>0.44299999999999995</v>
      </c>
      <c r="I494" s="155">
        <f xml:space="preserve"> _xlfn.IFNA(INDEX('Final allowances'!$B$72:$Q$88,MATCH(F_interface!$A493,'Final allowances'!$B$72:$B$88,0),15) - INDEX('Final allowances'!$B$72:$Q$88,MATCH(F_interface!$A493,'Final allowances'!$B$72:$B$88,0),9),0) / 5</f>
        <v>0.44299999999999995</v>
      </c>
      <c r="J494" s="155">
        <f xml:space="preserve"> _xlfn.IFNA(INDEX('Final allowances'!$B$72:$Q$88,MATCH(F_interface!$A493,'Final allowances'!$B$72:$B$88,0),15) - INDEX('Final allowances'!$B$72:$Q$88,MATCH(F_interface!$A493,'Final allowances'!$B$72:$B$88,0),9),0) / 5</f>
        <v>0.44299999999999995</v>
      </c>
      <c r="K494" s="155">
        <f xml:space="preserve"> _xlfn.IFNA(INDEX('Final allowances'!$B$72:$Q$88,MATCH(F_interface!$A493,'Final allowances'!$B$72:$B$88,0),15) - INDEX('Final allowances'!$B$72:$Q$88,MATCH(F_interface!$A493,'Final allowances'!$B$72:$B$88,0),9),0) / 5</f>
        <v>0.44299999999999995</v>
      </c>
      <c r="L494" s="155">
        <f xml:space="preserve"> _xlfn.IFNA(INDEX('Final allowances'!$B$72:$Q$88,MATCH(F_interface!$A493,'Final allowances'!$B$72:$B$88,0),15) - INDEX('Final allowances'!$B$72:$Q$88,MATCH(F_interface!$A493,'Final allowances'!$B$72:$B$88,0),9),0) / 5</f>
        <v>0.44299999999999995</v>
      </c>
    </row>
    <row r="495" spans="1:12" x14ac:dyDescent="0.25">
      <c r="A495" s="13" t="s">
        <v>18</v>
      </c>
      <c r="B495" s="4" t="s">
        <v>370</v>
      </c>
      <c r="C495" s="12" t="str">
        <f t="shared" si="12"/>
        <v>SSCC_WROTHER_EXCPDR_PR19CA004</v>
      </c>
      <c r="D495" s="4" t="s">
        <v>370</v>
      </c>
      <c r="E495" s="12" t="s">
        <v>372</v>
      </c>
      <c r="F495" s="12" t="s">
        <v>2</v>
      </c>
      <c r="G495" s="12" t="s">
        <v>59</v>
      </c>
      <c r="H495" s="155">
        <f xml:space="preserve"> _xlfn.IFNA(INDEX('Final allowances'!$B$72:$Q$88,MATCH(F_interface!$A495,'Final allowances'!$B$72:$B$88,0),14) - INDEX('Final allowances'!$B$72:$Q$88,MATCH(F_interface!$A495,'Final allowances'!$B$72:$B$88,0),8),0) / 5</f>
        <v>6.2710698512684184E-3</v>
      </c>
      <c r="I495" s="155">
        <f xml:space="preserve"> _xlfn.IFNA(INDEX('Final allowances'!$B$72:$Q$88,MATCH(F_interface!$A495,'Final allowances'!$B$72:$B$88,0),14) - INDEX('Final allowances'!$B$72:$Q$88,MATCH(F_interface!$A495,'Final allowances'!$B$72:$B$88,0),8),0) / 5</f>
        <v>6.2710698512684184E-3</v>
      </c>
      <c r="J495" s="155">
        <f xml:space="preserve"> _xlfn.IFNA(INDEX('Final allowances'!$B$72:$Q$88,MATCH(F_interface!$A495,'Final allowances'!$B$72:$B$88,0),14) - INDEX('Final allowances'!$B$72:$Q$88,MATCH(F_interface!$A495,'Final allowances'!$B$72:$B$88,0),8),0) / 5</f>
        <v>6.2710698512684184E-3</v>
      </c>
      <c r="K495" s="155">
        <f xml:space="preserve"> _xlfn.IFNA(INDEX('Final allowances'!$B$72:$Q$88,MATCH(F_interface!$A495,'Final allowances'!$B$72:$B$88,0),14) - INDEX('Final allowances'!$B$72:$Q$88,MATCH(F_interface!$A495,'Final allowances'!$B$72:$B$88,0),8),0) / 5</f>
        <v>6.2710698512684184E-3</v>
      </c>
      <c r="L495" s="155">
        <f xml:space="preserve"> _xlfn.IFNA(INDEX('Final allowances'!$B$72:$Q$88,MATCH(F_interface!$A495,'Final allowances'!$B$72:$B$88,0),14) - INDEX('Final allowances'!$B$72:$Q$88,MATCH(F_interface!$A495,'Final allowances'!$B$72:$B$88,0),8),0) / 5</f>
        <v>6.2710698512684184E-3</v>
      </c>
    </row>
    <row r="496" spans="1:12" x14ac:dyDescent="0.25">
      <c r="A496" s="13" t="s">
        <v>18</v>
      </c>
      <c r="B496" s="4" t="s">
        <v>371</v>
      </c>
      <c r="C496" s="12" t="str">
        <f t="shared" si="12"/>
        <v>SSCC_WNOTHER_EXCPDR_PR19CA004</v>
      </c>
      <c r="D496" s="4" t="s">
        <v>371</v>
      </c>
      <c r="E496" s="12" t="s">
        <v>373</v>
      </c>
      <c r="F496" s="12" t="s">
        <v>2</v>
      </c>
      <c r="G496" s="12" t="s">
        <v>59</v>
      </c>
      <c r="H496" s="155">
        <f xml:space="preserve"> _xlfn.IFNA(INDEX('Final allowances'!$B$72:$Q$88,MATCH(F_interface!$A495,'Final allowances'!$B$72:$B$88,0),15) - INDEX('Final allowances'!$B$72:$Q$88,MATCH(F_interface!$A495,'Final allowances'!$B$72:$B$88,0),9),0) / 5</f>
        <v>1.3972333985017038</v>
      </c>
      <c r="I496" s="155">
        <f xml:space="preserve"> _xlfn.IFNA(INDEX('Final allowances'!$B$72:$Q$88,MATCH(F_interface!$A495,'Final allowances'!$B$72:$B$88,0),15) - INDEX('Final allowances'!$B$72:$Q$88,MATCH(F_interface!$A495,'Final allowances'!$B$72:$B$88,0),9),0) / 5</f>
        <v>1.3972333985017038</v>
      </c>
      <c r="J496" s="155">
        <f xml:space="preserve"> _xlfn.IFNA(INDEX('Final allowances'!$B$72:$Q$88,MATCH(F_interface!$A495,'Final allowances'!$B$72:$B$88,0),15) - INDEX('Final allowances'!$B$72:$Q$88,MATCH(F_interface!$A495,'Final allowances'!$B$72:$B$88,0),9),0) / 5</f>
        <v>1.3972333985017038</v>
      </c>
      <c r="K496" s="155">
        <f xml:space="preserve"> _xlfn.IFNA(INDEX('Final allowances'!$B$72:$Q$88,MATCH(F_interface!$A495,'Final allowances'!$B$72:$B$88,0),15) - INDEX('Final allowances'!$B$72:$Q$88,MATCH(F_interface!$A495,'Final allowances'!$B$72:$B$88,0),9),0) / 5</f>
        <v>1.3972333985017038</v>
      </c>
      <c r="L496" s="155">
        <f xml:space="preserve"> _xlfn.IFNA(INDEX('Final allowances'!$B$72:$Q$88,MATCH(F_interface!$A495,'Final allowances'!$B$72:$B$88,0),15) - INDEX('Final allowances'!$B$72:$Q$88,MATCH(F_interface!$A495,'Final allowances'!$B$72:$B$88,0),9),0) / 5</f>
        <v>1.3972333985017038</v>
      </c>
    </row>
    <row r="497" spans="1:12" x14ac:dyDescent="0.25">
      <c r="A497" s="13" t="s">
        <v>4</v>
      </c>
      <c r="B497" s="4" t="s">
        <v>370</v>
      </c>
      <c r="C497" s="12" t="str">
        <f t="shared" si="12"/>
        <v>ANHC_WROTHER_EXCPDR_PR19CA004</v>
      </c>
      <c r="D497" s="4" t="s">
        <v>370</v>
      </c>
      <c r="E497" s="12" t="s">
        <v>372</v>
      </c>
      <c r="F497" s="12" t="s">
        <v>2</v>
      </c>
      <c r="G497" s="12" t="s">
        <v>59</v>
      </c>
      <c r="H497" s="155">
        <f xml:space="preserve"> _xlfn.IFNA(INDEX('Final allowances'!$B$72:$Q$88,MATCH(F_interface!$A497,'Final allowances'!$B$72:$B$88,0),14) - INDEX('Final allowances'!$B$72:$Q$88,MATCH(F_interface!$A497,'Final allowances'!$B$72:$B$88,0),8),0) / 5</f>
        <v>4.5868000000000002</v>
      </c>
      <c r="I497" s="155">
        <f xml:space="preserve"> _xlfn.IFNA(INDEX('Final allowances'!$B$72:$Q$88,MATCH(F_interface!$A497,'Final allowances'!$B$72:$B$88,0),14) - INDEX('Final allowances'!$B$72:$Q$88,MATCH(F_interface!$A497,'Final allowances'!$B$72:$B$88,0),8),0) / 5</f>
        <v>4.5868000000000002</v>
      </c>
      <c r="J497" s="155">
        <f xml:space="preserve"> _xlfn.IFNA(INDEX('Final allowances'!$B$72:$Q$88,MATCH(F_interface!$A497,'Final allowances'!$B$72:$B$88,0),14) - INDEX('Final allowances'!$B$72:$Q$88,MATCH(F_interface!$A497,'Final allowances'!$B$72:$B$88,0),8),0) / 5</f>
        <v>4.5868000000000002</v>
      </c>
      <c r="K497" s="155">
        <f xml:space="preserve"> _xlfn.IFNA(INDEX('Final allowances'!$B$72:$Q$88,MATCH(F_interface!$A497,'Final allowances'!$B$72:$B$88,0),14) - INDEX('Final allowances'!$B$72:$Q$88,MATCH(F_interface!$A497,'Final allowances'!$B$72:$B$88,0),8),0) / 5</f>
        <v>4.5868000000000002</v>
      </c>
      <c r="L497" s="155">
        <f xml:space="preserve"> _xlfn.IFNA(INDEX('Final allowances'!$B$72:$Q$88,MATCH(F_interface!$A497,'Final allowances'!$B$72:$B$88,0),14) - INDEX('Final allowances'!$B$72:$Q$88,MATCH(F_interface!$A497,'Final allowances'!$B$72:$B$88,0),8),0) / 5</f>
        <v>4.5868000000000002</v>
      </c>
    </row>
    <row r="498" spans="1:12" x14ac:dyDescent="0.25">
      <c r="A498" s="13" t="s">
        <v>4</v>
      </c>
      <c r="B498" s="4" t="s">
        <v>371</v>
      </c>
      <c r="C498" s="12" t="str">
        <f t="shared" si="12"/>
        <v>ANHC_WNOTHER_EXCPDR_PR19CA004</v>
      </c>
      <c r="D498" s="4" t="s">
        <v>371</v>
      </c>
      <c r="E498" s="12" t="s">
        <v>373</v>
      </c>
      <c r="F498" s="12" t="s">
        <v>2</v>
      </c>
      <c r="G498" s="12" t="s">
        <v>59</v>
      </c>
      <c r="H498" s="155">
        <f xml:space="preserve"> _xlfn.IFNA(INDEX('Final allowances'!$B$72:$Q$88,MATCH(F_interface!$A497,'Final allowances'!$B$72:$B$88,0),15) - INDEX('Final allowances'!$B$72:$Q$88,MATCH(F_interface!$A497,'Final allowances'!$B$72:$B$88,0),9),0) / 5</f>
        <v>14.324199999999999</v>
      </c>
      <c r="I498" s="155">
        <f xml:space="preserve"> _xlfn.IFNA(INDEX('Final allowances'!$B$72:$Q$88,MATCH(F_interface!$A497,'Final allowances'!$B$72:$B$88,0),15) - INDEX('Final allowances'!$B$72:$Q$88,MATCH(F_interface!$A497,'Final allowances'!$B$72:$B$88,0),9),0) / 5</f>
        <v>14.324199999999999</v>
      </c>
      <c r="J498" s="155">
        <f xml:space="preserve"> _xlfn.IFNA(INDEX('Final allowances'!$B$72:$Q$88,MATCH(F_interface!$A497,'Final allowances'!$B$72:$B$88,0),15) - INDEX('Final allowances'!$B$72:$Q$88,MATCH(F_interface!$A497,'Final allowances'!$B$72:$B$88,0),9),0) / 5</f>
        <v>14.324199999999999</v>
      </c>
      <c r="K498" s="155">
        <f xml:space="preserve"> _xlfn.IFNA(INDEX('Final allowances'!$B$72:$Q$88,MATCH(F_interface!$A497,'Final allowances'!$B$72:$B$88,0),15) - INDEX('Final allowances'!$B$72:$Q$88,MATCH(F_interface!$A497,'Final allowances'!$B$72:$B$88,0),9),0) / 5</f>
        <v>14.324199999999999</v>
      </c>
      <c r="L498" s="155">
        <f xml:space="preserve"> _xlfn.IFNA(INDEX('Final allowances'!$B$72:$Q$88,MATCH(F_interface!$A497,'Final allowances'!$B$72:$B$88,0),15) - INDEX('Final allowances'!$B$72:$Q$88,MATCH(F_interface!$A497,'Final allowances'!$B$72:$B$88,0),9),0) / 5</f>
        <v>14.324199999999999</v>
      </c>
    </row>
    <row r="499" spans="1:12" x14ac:dyDescent="0.25">
      <c r="A499" s="13" t="s">
        <v>90</v>
      </c>
      <c r="B499" s="4" t="s">
        <v>370</v>
      </c>
      <c r="C499" s="12" t="str">
        <f t="shared" si="12"/>
        <v>HDDC_WROTHER_EXCPDR_PR19CA004</v>
      </c>
      <c r="D499" s="4" t="s">
        <v>370</v>
      </c>
      <c r="E499" s="12" t="s">
        <v>372</v>
      </c>
      <c r="F499" s="12" t="s">
        <v>2</v>
      </c>
      <c r="G499" s="12" t="s">
        <v>59</v>
      </c>
      <c r="H499" s="155">
        <f xml:space="preserve"> _xlfn.IFNA(INDEX('Final allowances'!$B$72:$Q$88,MATCH(F_interface!$A499,'Final allowances'!$B$72:$B$88,0),14) - INDEX('Final allowances'!$B$72:$Q$88,MATCH(F_interface!$A499,'Final allowances'!$B$72:$B$88,0),8),0) / 5</f>
        <v>1.4527895035536158</v>
      </c>
      <c r="I499" s="155">
        <f xml:space="preserve"> _xlfn.IFNA(INDEX('Final allowances'!$B$72:$Q$88,MATCH(F_interface!$A499,'Final allowances'!$B$72:$B$88,0),14) - INDEX('Final allowances'!$B$72:$Q$88,MATCH(F_interface!$A499,'Final allowances'!$B$72:$B$88,0),8),0) / 5</f>
        <v>1.4527895035536158</v>
      </c>
      <c r="J499" s="155">
        <f xml:space="preserve"> _xlfn.IFNA(INDEX('Final allowances'!$B$72:$Q$88,MATCH(F_interface!$A499,'Final allowances'!$B$72:$B$88,0),14) - INDEX('Final allowances'!$B$72:$Q$88,MATCH(F_interface!$A499,'Final allowances'!$B$72:$B$88,0),8),0) / 5</f>
        <v>1.4527895035536158</v>
      </c>
      <c r="K499" s="155">
        <f xml:space="preserve"> _xlfn.IFNA(INDEX('Final allowances'!$B$72:$Q$88,MATCH(F_interface!$A499,'Final allowances'!$B$72:$B$88,0),14) - INDEX('Final allowances'!$B$72:$Q$88,MATCH(F_interface!$A499,'Final allowances'!$B$72:$B$88,0),8),0) / 5</f>
        <v>1.4527895035536158</v>
      </c>
      <c r="L499" s="155">
        <f xml:space="preserve"> _xlfn.IFNA(INDEX('Final allowances'!$B$72:$Q$88,MATCH(F_interface!$A499,'Final allowances'!$B$72:$B$88,0),14) - INDEX('Final allowances'!$B$72:$Q$88,MATCH(F_interface!$A499,'Final allowances'!$B$72:$B$88,0),8),0) / 5</f>
        <v>1.4527895035536158</v>
      </c>
    </row>
    <row r="500" spans="1:12" x14ac:dyDescent="0.25">
      <c r="A500" s="13" t="s">
        <v>90</v>
      </c>
      <c r="B500" s="4" t="s">
        <v>371</v>
      </c>
      <c r="C500" s="12" t="str">
        <f t="shared" si="12"/>
        <v>HDDC_WNOTHER_EXCPDR_PR19CA004</v>
      </c>
      <c r="D500" s="4" t="s">
        <v>371</v>
      </c>
      <c r="E500" s="12" t="s">
        <v>373</v>
      </c>
      <c r="F500" s="12" t="s">
        <v>2</v>
      </c>
      <c r="G500" s="12" t="s">
        <v>59</v>
      </c>
      <c r="H500" s="155">
        <f xml:space="preserve"> _xlfn.IFNA(INDEX('Final allowances'!$B$72:$Q$88,MATCH(F_interface!$A499,'Final allowances'!$B$72:$B$88,0),15) - INDEX('Final allowances'!$B$72:$Q$88,MATCH(F_interface!$A499,'Final allowances'!$B$72:$B$88,0),9),0) / 5</f>
        <v>1.7495971178334337</v>
      </c>
      <c r="I500" s="155">
        <f xml:space="preserve"> _xlfn.IFNA(INDEX('Final allowances'!$B$72:$Q$88,MATCH(F_interface!$A499,'Final allowances'!$B$72:$B$88,0),15) - INDEX('Final allowances'!$B$72:$Q$88,MATCH(F_interface!$A499,'Final allowances'!$B$72:$B$88,0),9),0) / 5</f>
        <v>1.7495971178334337</v>
      </c>
      <c r="J500" s="155">
        <f xml:space="preserve"> _xlfn.IFNA(INDEX('Final allowances'!$B$72:$Q$88,MATCH(F_interface!$A499,'Final allowances'!$B$72:$B$88,0),15) - INDEX('Final allowances'!$B$72:$Q$88,MATCH(F_interface!$A499,'Final allowances'!$B$72:$B$88,0),9),0) / 5</f>
        <v>1.7495971178334337</v>
      </c>
      <c r="K500" s="155">
        <f xml:space="preserve"> _xlfn.IFNA(INDEX('Final allowances'!$B$72:$Q$88,MATCH(F_interface!$A499,'Final allowances'!$B$72:$B$88,0),15) - INDEX('Final allowances'!$B$72:$Q$88,MATCH(F_interface!$A499,'Final allowances'!$B$72:$B$88,0),9),0) / 5</f>
        <v>1.7495971178334337</v>
      </c>
      <c r="L500" s="155">
        <f xml:space="preserve"> _xlfn.IFNA(INDEX('Final allowances'!$B$72:$Q$88,MATCH(F_interface!$A499,'Final allowances'!$B$72:$B$88,0),15) - INDEX('Final allowances'!$B$72:$Q$88,MATCH(F_interface!$A499,'Final allowances'!$B$72:$B$88,0),9),0) / 5</f>
        <v>1.7495971178334337</v>
      </c>
    </row>
    <row r="501" spans="1:12" x14ac:dyDescent="0.25">
      <c r="A501" s="13" t="s">
        <v>5</v>
      </c>
      <c r="B501" s="4" t="s">
        <v>370</v>
      </c>
      <c r="C501" s="12" t="str">
        <f t="shared" si="12"/>
        <v>NESC_WROTHER_EXCPDR_PR19CA004</v>
      </c>
      <c r="D501" s="4" t="s">
        <v>370</v>
      </c>
      <c r="E501" s="12" t="s">
        <v>372</v>
      </c>
      <c r="F501" s="12" t="s">
        <v>2</v>
      </c>
      <c r="G501" s="12" t="s">
        <v>59</v>
      </c>
      <c r="H501" s="155">
        <f xml:space="preserve"> _xlfn.IFNA(INDEX('Final allowances'!$B$72:$Q$88,MATCH(F_interface!$A501,'Final allowances'!$B$72:$B$88,0),14) - INDEX('Final allowances'!$B$72:$Q$88,MATCH(F_interface!$A501,'Final allowances'!$B$72:$B$88,0),8),0) / 5</f>
        <v>4.9569999999999999</v>
      </c>
      <c r="I501" s="155">
        <f xml:space="preserve"> _xlfn.IFNA(INDEX('Final allowances'!$B$72:$Q$88,MATCH(F_interface!$A501,'Final allowances'!$B$72:$B$88,0),14) - INDEX('Final allowances'!$B$72:$Q$88,MATCH(F_interface!$A501,'Final allowances'!$B$72:$B$88,0),8),0) / 5</f>
        <v>4.9569999999999999</v>
      </c>
      <c r="J501" s="155">
        <f xml:space="preserve"> _xlfn.IFNA(INDEX('Final allowances'!$B$72:$Q$88,MATCH(F_interface!$A501,'Final allowances'!$B$72:$B$88,0),14) - INDEX('Final allowances'!$B$72:$Q$88,MATCH(F_interface!$A501,'Final allowances'!$B$72:$B$88,0),8),0) / 5</f>
        <v>4.9569999999999999</v>
      </c>
      <c r="K501" s="155">
        <f xml:space="preserve"> _xlfn.IFNA(INDEX('Final allowances'!$B$72:$Q$88,MATCH(F_interface!$A501,'Final allowances'!$B$72:$B$88,0),14) - INDEX('Final allowances'!$B$72:$Q$88,MATCH(F_interface!$A501,'Final allowances'!$B$72:$B$88,0),8),0) / 5</f>
        <v>4.9569999999999999</v>
      </c>
      <c r="L501" s="155">
        <f xml:space="preserve"> _xlfn.IFNA(INDEX('Final allowances'!$B$72:$Q$88,MATCH(F_interface!$A501,'Final allowances'!$B$72:$B$88,0),14) - INDEX('Final allowances'!$B$72:$Q$88,MATCH(F_interface!$A501,'Final allowances'!$B$72:$B$88,0),8),0) / 5</f>
        <v>4.9569999999999999</v>
      </c>
    </row>
    <row r="502" spans="1:12" x14ac:dyDescent="0.25">
      <c r="A502" s="13" t="s">
        <v>5</v>
      </c>
      <c r="B502" s="4" t="s">
        <v>371</v>
      </c>
      <c r="C502" s="12" t="str">
        <f t="shared" si="12"/>
        <v>NESC_WNOTHER_EXCPDR_PR19CA004</v>
      </c>
      <c r="D502" s="4" t="s">
        <v>371</v>
      </c>
      <c r="E502" s="12" t="s">
        <v>373</v>
      </c>
      <c r="F502" s="12" t="s">
        <v>2</v>
      </c>
      <c r="G502" s="12" t="s">
        <v>59</v>
      </c>
      <c r="H502" s="155">
        <f xml:space="preserve"> _xlfn.IFNA(INDEX('Final allowances'!$B$72:$Q$88,MATCH(F_interface!$A501,'Final allowances'!$B$72:$B$88,0),15) - INDEX('Final allowances'!$B$72:$Q$88,MATCH(F_interface!$A501,'Final allowances'!$B$72:$B$88,0),9),0) / 5</f>
        <v>3.1749999999999998</v>
      </c>
      <c r="I502" s="155">
        <f xml:space="preserve"> _xlfn.IFNA(INDEX('Final allowances'!$B$72:$Q$88,MATCH(F_interface!$A501,'Final allowances'!$B$72:$B$88,0),15) - INDEX('Final allowances'!$B$72:$Q$88,MATCH(F_interface!$A501,'Final allowances'!$B$72:$B$88,0),9),0) / 5</f>
        <v>3.1749999999999998</v>
      </c>
      <c r="J502" s="155">
        <f xml:space="preserve"> _xlfn.IFNA(INDEX('Final allowances'!$B$72:$Q$88,MATCH(F_interface!$A501,'Final allowances'!$B$72:$B$88,0),15) - INDEX('Final allowances'!$B$72:$Q$88,MATCH(F_interface!$A501,'Final allowances'!$B$72:$B$88,0),9),0) / 5</f>
        <v>3.1749999999999998</v>
      </c>
      <c r="K502" s="155">
        <f xml:space="preserve"> _xlfn.IFNA(INDEX('Final allowances'!$B$72:$Q$88,MATCH(F_interface!$A501,'Final allowances'!$B$72:$B$88,0),15) - INDEX('Final allowances'!$B$72:$Q$88,MATCH(F_interface!$A501,'Final allowances'!$B$72:$B$88,0),9),0) / 5</f>
        <v>3.1749999999999998</v>
      </c>
      <c r="L502" s="155">
        <f xml:space="preserve"> _xlfn.IFNA(INDEX('Final allowances'!$B$72:$Q$88,MATCH(F_interface!$A501,'Final allowances'!$B$72:$B$88,0),15) - INDEX('Final allowances'!$B$72:$Q$88,MATCH(F_interface!$A501,'Final allowances'!$B$72:$B$88,0),9),0) / 5</f>
        <v>3.1749999999999998</v>
      </c>
    </row>
    <row r="503" spans="1:12" x14ac:dyDescent="0.25">
      <c r="A503" s="13" t="s">
        <v>6</v>
      </c>
      <c r="B503" s="4" t="s">
        <v>370</v>
      </c>
      <c r="C503" s="12" t="str">
        <f t="shared" si="12"/>
        <v>NWTC_WROTHER_EXCPDR_PR19CA004</v>
      </c>
      <c r="D503" s="4" t="s">
        <v>370</v>
      </c>
      <c r="E503" s="12" t="s">
        <v>372</v>
      </c>
      <c r="F503" s="12" t="s">
        <v>2</v>
      </c>
      <c r="G503" s="12" t="s">
        <v>59</v>
      </c>
      <c r="H503" s="155">
        <f xml:space="preserve"> _xlfn.IFNA(INDEX('Final allowances'!$B$72:$Q$88,MATCH(F_interface!$A503,'Final allowances'!$B$72:$B$88,0),14) - INDEX('Final allowances'!$B$72:$Q$88,MATCH(F_interface!$A503,'Final allowances'!$B$72:$B$88,0),8),0) / 5</f>
        <v>6.1243524570677206</v>
      </c>
      <c r="I503" s="155">
        <f xml:space="preserve"> _xlfn.IFNA(INDEX('Final allowances'!$B$72:$Q$88,MATCH(F_interface!$A503,'Final allowances'!$B$72:$B$88,0),14) - INDEX('Final allowances'!$B$72:$Q$88,MATCH(F_interface!$A503,'Final allowances'!$B$72:$B$88,0),8),0) / 5</f>
        <v>6.1243524570677206</v>
      </c>
      <c r="J503" s="155">
        <f xml:space="preserve"> _xlfn.IFNA(INDEX('Final allowances'!$B$72:$Q$88,MATCH(F_interface!$A503,'Final allowances'!$B$72:$B$88,0),14) - INDEX('Final allowances'!$B$72:$Q$88,MATCH(F_interface!$A503,'Final allowances'!$B$72:$B$88,0),8),0) / 5</f>
        <v>6.1243524570677206</v>
      </c>
      <c r="K503" s="155">
        <f xml:space="preserve"> _xlfn.IFNA(INDEX('Final allowances'!$B$72:$Q$88,MATCH(F_interface!$A503,'Final allowances'!$B$72:$B$88,0),14) - INDEX('Final allowances'!$B$72:$Q$88,MATCH(F_interface!$A503,'Final allowances'!$B$72:$B$88,0),8),0) / 5</f>
        <v>6.1243524570677206</v>
      </c>
      <c r="L503" s="155">
        <f xml:space="preserve"> _xlfn.IFNA(INDEX('Final allowances'!$B$72:$Q$88,MATCH(F_interface!$A503,'Final allowances'!$B$72:$B$88,0),14) - INDEX('Final allowances'!$B$72:$Q$88,MATCH(F_interface!$A503,'Final allowances'!$B$72:$B$88,0),8),0) / 5</f>
        <v>6.1243524570677206</v>
      </c>
    </row>
    <row r="504" spans="1:12" x14ac:dyDescent="0.25">
      <c r="A504" s="13" t="s">
        <v>6</v>
      </c>
      <c r="B504" s="4" t="s">
        <v>371</v>
      </c>
      <c r="C504" s="12" t="str">
        <f t="shared" si="12"/>
        <v>NWTC_WNOTHER_EXCPDR_PR19CA004</v>
      </c>
      <c r="D504" s="4" t="s">
        <v>371</v>
      </c>
      <c r="E504" s="12" t="s">
        <v>373</v>
      </c>
      <c r="F504" s="12" t="s">
        <v>2</v>
      </c>
      <c r="G504" s="12" t="s">
        <v>59</v>
      </c>
      <c r="H504" s="155">
        <f xml:space="preserve"> _xlfn.IFNA(INDEX('Final allowances'!$B$72:$Q$88,MATCH(F_interface!$A503,'Final allowances'!$B$72:$B$88,0),15) - INDEX('Final allowances'!$B$72:$Q$88,MATCH(F_interface!$A503,'Final allowances'!$B$72:$B$88,0),9),0) / 5</f>
        <v>2.0349961510652861</v>
      </c>
      <c r="I504" s="155">
        <f xml:space="preserve"> _xlfn.IFNA(INDEX('Final allowances'!$B$72:$Q$88,MATCH(F_interface!$A503,'Final allowances'!$B$72:$B$88,0),15) - INDEX('Final allowances'!$B$72:$Q$88,MATCH(F_interface!$A503,'Final allowances'!$B$72:$B$88,0),9),0) / 5</f>
        <v>2.0349961510652861</v>
      </c>
      <c r="J504" s="155">
        <f xml:space="preserve"> _xlfn.IFNA(INDEX('Final allowances'!$B$72:$Q$88,MATCH(F_interface!$A503,'Final allowances'!$B$72:$B$88,0),15) - INDEX('Final allowances'!$B$72:$Q$88,MATCH(F_interface!$A503,'Final allowances'!$B$72:$B$88,0),9),0) / 5</f>
        <v>2.0349961510652861</v>
      </c>
      <c r="K504" s="155">
        <f xml:space="preserve"> _xlfn.IFNA(INDEX('Final allowances'!$B$72:$Q$88,MATCH(F_interface!$A503,'Final allowances'!$B$72:$B$88,0),15) - INDEX('Final allowances'!$B$72:$Q$88,MATCH(F_interface!$A503,'Final allowances'!$B$72:$B$88,0),9),0) / 5</f>
        <v>2.0349961510652861</v>
      </c>
      <c r="L504" s="155">
        <f xml:space="preserve"> _xlfn.IFNA(INDEX('Final allowances'!$B$72:$Q$88,MATCH(F_interface!$A503,'Final allowances'!$B$72:$B$88,0),15) - INDEX('Final allowances'!$B$72:$Q$88,MATCH(F_interface!$A503,'Final allowances'!$B$72:$B$88,0),9),0) / 5</f>
        <v>2.0349961510652861</v>
      </c>
    </row>
    <row r="505" spans="1:12" x14ac:dyDescent="0.25">
      <c r="A505" s="13" t="s">
        <v>7</v>
      </c>
      <c r="B505" s="4" t="s">
        <v>370</v>
      </c>
      <c r="C505" s="12" t="str">
        <f t="shared" si="12"/>
        <v>SRNC_WROTHER_EXCPDR_PR19CA004</v>
      </c>
      <c r="D505" s="4" t="s">
        <v>370</v>
      </c>
      <c r="E505" s="12" t="s">
        <v>372</v>
      </c>
      <c r="F505" s="12" t="s">
        <v>2</v>
      </c>
      <c r="G505" s="12" t="s">
        <v>59</v>
      </c>
      <c r="H505" s="155">
        <f xml:space="preserve"> _xlfn.IFNA(INDEX('Final allowances'!$B$72:$Q$88,MATCH(F_interface!$A505,'Final allowances'!$B$72:$B$88,0),14) - INDEX('Final allowances'!$B$72:$Q$88,MATCH(F_interface!$A505,'Final allowances'!$B$72:$B$88,0),8),0) / 5</f>
        <v>9.1630871293441825</v>
      </c>
      <c r="I505" s="155">
        <f xml:space="preserve"> _xlfn.IFNA(INDEX('Final allowances'!$B$72:$Q$88,MATCH(F_interface!$A505,'Final allowances'!$B$72:$B$88,0),14) - INDEX('Final allowances'!$B$72:$Q$88,MATCH(F_interface!$A505,'Final allowances'!$B$72:$B$88,0),8),0) / 5</f>
        <v>9.1630871293441825</v>
      </c>
      <c r="J505" s="155">
        <f xml:space="preserve"> _xlfn.IFNA(INDEX('Final allowances'!$B$72:$Q$88,MATCH(F_interface!$A505,'Final allowances'!$B$72:$B$88,0),14) - INDEX('Final allowances'!$B$72:$Q$88,MATCH(F_interface!$A505,'Final allowances'!$B$72:$B$88,0),8),0) / 5</f>
        <v>9.1630871293441825</v>
      </c>
      <c r="K505" s="155">
        <f xml:space="preserve"> _xlfn.IFNA(INDEX('Final allowances'!$B$72:$Q$88,MATCH(F_interface!$A505,'Final allowances'!$B$72:$B$88,0),14) - INDEX('Final allowances'!$B$72:$Q$88,MATCH(F_interface!$A505,'Final allowances'!$B$72:$B$88,0),8),0) / 5</f>
        <v>9.1630871293441825</v>
      </c>
      <c r="L505" s="155">
        <f xml:space="preserve"> _xlfn.IFNA(INDEX('Final allowances'!$B$72:$Q$88,MATCH(F_interface!$A505,'Final allowances'!$B$72:$B$88,0),14) - INDEX('Final allowances'!$B$72:$Q$88,MATCH(F_interface!$A505,'Final allowances'!$B$72:$B$88,0),8),0) / 5</f>
        <v>9.1630871293441825</v>
      </c>
    </row>
    <row r="506" spans="1:12" x14ac:dyDescent="0.25">
      <c r="A506" s="13" t="s">
        <v>7</v>
      </c>
      <c r="B506" s="4" t="s">
        <v>371</v>
      </c>
      <c r="C506" s="12" t="str">
        <f t="shared" si="12"/>
        <v>SRNC_WNOTHER_EXCPDR_PR19CA004</v>
      </c>
      <c r="D506" s="4" t="s">
        <v>371</v>
      </c>
      <c r="E506" s="12" t="s">
        <v>373</v>
      </c>
      <c r="F506" s="12" t="s">
        <v>2</v>
      </c>
      <c r="G506" s="12" t="s">
        <v>59</v>
      </c>
      <c r="H506" s="155">
        <f xml:space="preserve"> _xlfn.IFNA(INDEX('Final allowances'!$B$72:$Q$88,MATCH(F_interface!$A505,'Final allowances'!$B$72:$B$88,0),15) - INDEX('Final allowances'!$B$72:$Q$88,MATCH(F_interface!$A505,'Final allowances'!$B$72:$B$88,0),9),0) / 5</f>
        <v>13.852760399159404</v>
      </c>
      <c r="I506" s="155">
        <f xml:space="preserve"> _xlfn.IFNA(INDEX('Final allowances'!$B$72:$Q$88,MATCH(F_interface!$A505,'Final allowances'!$B$72:$B$88,0),15) - INDEX('Final allowances'!$B$72:$Q$88,MATCH(F_interface!$A505,'Final allowances'!$B$72:$B$88,0),9),0) / 5</f>
        <v>13.852760399159404</v>
      </c>
      <c r="J506" s="155">
        <f xml:space="preserve"> _xlfn.IFNA(INDEX('Final allowances'!$B$72:$Q$88,MATCH(F_interface!$A505,'Final allowances'!$B$72:$B$88,0),15) - INDEX('Final allowances'!$B$72:$Q$88,MATCH(F_interface!$A505,'Final allowances'!$B$72:$B$88,0),9),0) / 5</f>
        <v>13.852760399159404</v>
      </c>
      <c r="K506" s="155">
        <f xml:space="preserve"> _xlfn.IFNA(INDEX('Final allowances'!$B$72:$Q$88,MATCH(F_interface!$A505,'Final allowances'!$B$72:$B$88,0),15) - INDEX('Final allowances'!$B$72:$Q$88,MATCH(F_interface!$A505,'Final allowances'!$B$72:$B$88,0),9),0) / 5</f>
        <v>13.852760399159404</v>
      </c>
      <c r="L506" s="155">
        <f xml:space="preserve"> _xlfn.IFNA(INDEX('Final allowances'!$B$72:$Q$88,MATCH(F_interface!$A505,'Final allowances'!$B$72:$B$88,0),15) - INDEX('Final allowances'!$B$72:$Q$88,MATCH(F_interface!$A505,'Final allowances'!$B$72:$B$88,0),9),0) / 5</f>
        <v>13.852760399159404</v>
      </c>
    </row>
    <row r="507" spans="1:12" x14ac:dyDescent="0.25">
      <c r="A507" s="13" t="s">
        <v>89</v>
      </c>
      <c r="B507" s="4" t="s">
        <v>370</v>
      </c>
      <c r="C507" s="12" t="str">
        <f t="shared" si="12"/>
        <v>SVEC_WROTHER_EXCPDR_PR19CA004</v>
      </c>
      <c r="D507" s="4" t="s">
        <v>370</v>
      </c>
      <c r="E507" s="12" t="s">
        <v>372</v>
      </c>
      <c r="F507" s="12" t="s">
        <v>2</v>
      </c>
      <c r="G507" s="12" t="s">
        <v>59</v>
      </c>
      <c r="H507" s="155">
        <f xml:space="preserve"> _xlfn.IFNA(INDEX('Final allowances'!$B$72:$Q$88,MATCH(F_interface!$A507,'Final allowances'!$B$72:$B$88,0),14) - INDEX('Final allowances'!$B$72:$Q$88,MATCH(F_interface!$A507,'Final allowances'!$B$72:$B$88,0),8),0) / 5</f>
        <v>10.189885419797255</v>
      </c>
      <c r="I507" s="155">
        <f xml:space="preserve"> _xlfn.IFNA(INDEX('Final allowances'!$B$72:$Q$88,MATCH(F_interface!$A507,'Final allowances'!$B$72:$B$88,0),14) - INDEX('Final allowances'!$B$72:$Q$88,MATCH(F_interface!$A507,'Final allowances'!$B$72:$B$88,0),8),0) / 5</f>
        <v>10.189885419797255</v>
      </c>
      <c r="J507" s="155">
        <f xml:space="preserve"> _xlfn.IFNA(INDEX('Final allowances'!$B$72:$Q$88,MATCH(F_interface!$A507,'Final allowances'!$B$72:$B$88,0),14) - INDEX('Final allowances'!$B$72:$Q$88,MATCH(F_interface!$A507,'Final allowances'!$B$72:$B$88,0),8),0) / 5</f>
        <v>10.189885419797255</v>
      </c>
      <c r="K507" s="155">
        <f xml:space="preserve"> _xlfn.IFNA(INDEX('Final allowances'!$B$72:$Q$88,MATCH(F_interface!$A507,'Final allowances'!$B$72:$B$88,0),14) - INDEX('Final allowances'!$B$72:$Q$88,MATCH(F_interface!$A507,'Final allowances'!$B$72:$B$88,0),8),0) / 5</f>
        <v>10.189885419797255</v>
      </c>
      <c r="L507" s="155">
        <f xml:space="preserve"> _xlfn.IFNA(INDEX('Final allowances'!$B$72:$Q$88,MATCH(F_interface!$A507,'Final allowances'!$B$72:$B$88,0),14) - INDEX('Final allowances'!$B$72:$Q$88,MATCH(F_interface!$A507,'Final allowances'!$B$72:$B$88,0),8),0) / 5</f>
        <v>10.189885419797255</v>
      </c>
    </row>
    <row r="508" spans="1:12" x14ac:dyDescent="0.25">
      <c r="A508" s="13" t="s">
        <v>89</v>
      </c>
      <c r="B508" s="4" t="s">
        <v>371</v>
      </c>
      <c r="C508" s="12" t="str">
        <f t="shared" si="12"/>
        <v>SVEC_WNOTHER_EXCPDR_PR19CA004</v>
      </c>
      <c r="D508" s="4" t="s">
        <v>371</v>
      </c>
      <c r="E508" s="12" t="s">
        <v>373</v>
      </c>
      <c r="F508" s="12" t="s">
        <v>2</v>
      </c>
      <c r="G508" s="12" t="s">
        <v>59</v>
      </c>
      <c r="H508" s="155">
        <f xml:space="preserve"> _xlfn.IFNA(INDEX('Final allowances'!$B$72:$Q$88,MATCH(F_interface!$A507,'Final allowances'!$B$72:$B$88,0),15) - INDEX('Final allowances'!$B$72:$Q$88,MATCH(F_interface!$A507,'Final allowances'!$B$72:$B$88,0),9),0) / 5</f>
        <v>6.3630382218603305</v>
      </c>
      <c r="I508" s="155">
        <f xml:space="preserve"> _xlfn.IFNA(INDEX('Final allowances'!$B$72:$Q$88,MATCH(F_interface!$A507,'Final allowances'!$B$72:$B$88,0),15) - INDEX('Final allowances'!$B$72:$Q$88,MATCH(F_interface!$A507,'Final allowances'!$B$72:$B$88,0),9),0) / 5</f>
        <v>6.3630382218603305</v>
      </c>
      <c r="J508" s="155">
        <f xml:space="preserve"> _xlfn.IFNA(INDEX('Final allowances'!$B$72:$Q$88,MATCH(F_interface!$A507,'Final allowances'!$B$72:$B$88,0),15) - INDEX('Final allowances'!$B$72:$Q$88,MATCH(F_interface!$A507,'Final allowances'!$B$72:$B$88,0),9),0) / 5</f>
        <v>6.3630382218603305</v>
      </c>
      <c r="K508" s="155">
        <f xml:space="preserve"> _xlfn.IFNA(INDEX('Final allowances'!$B$72:$Q$88,MATCH(F_interface!$A507,'Final allowances'!$B$72:$B$88,0),15) - INDEX('Final allowances'!$B$72:$Q$88,MATCH(F_interface!$A507,'Final allowances'!$B$72:$B$88,0),9),0) / 5</f>
        <v>6.3630382218603305</v>
      </c>
      <c r="L508" s="155">
        <f xml:space="preserve"> _xlfn.IFNA(INDEX('Final allowances'!$B$72:$Q$88,MATCH(F_interface!$A507,'Final allowances'!$B$72:$B$88,0),15) - INDEX('Final allowances'!$B$72:$Q$88,MATCH(F_interface!$A507,'Final allowances'!$B$72:$B$88,0),9),0) / 5</f>
        <v>6.3630382218603305</v>
      </c>
    </row>
    <row r="509" spans="1:12" x14ac:dyDescent="0.25">
      <c r="A509" s="13" t="s">
        <v>93</v>
      </c>
      <c r="B509" s="4" t="s">
        <v>370</v>
      </c>
      <c r="C509" s="12" t="str">
        <f t="shared" ref="C509:C522" si="13">A509&amp;B509</f>
        <v>SVHC_WROTHER_EXCPDR_PR19CA004</v>
      </c>
      <c r="D509" s="4" t="s">
        <v>370</v>
      </c>
      <c r="E509" s="12" t="s">
        <v>372</v>
      </c>
      <c r="F509" s="12" t="s">
        <v>2</v>
      </c>
      <c r="G509" s="12" t="s">
        <v>59</v>
      </c>
      <c r="H509" s="155">
        <f xml:space="preserve"> _xlfn.IFNA(INDEX('Final allowances'!$B$72:$Q$88,MATCH(F_interface!$A509,'Final allowances'!$B$72:$B$88,0),14) - INDEX('Final allowances'!$B$72:$Q$88,MATCH(F_interface!$A509,'Final allowances'!$B$72:$B$88,0),8),0) / 5</f>
        <v>0</v>
      </c>
      <c r="I509" s="155">
        <f xml:space="preserve"> _xlfn.IFNA(INDEX('Final allowances'!$B$72:$Q$88,MATCH(F_interface!$A509,'Final allowances'!$B$72:$B$88,0),14) - INDEX('Final allowances'!$B$72:$Q$88,MATCH(F_interface!$A509,'Final allowances'!$B$72:$B$88,0),8),0) / 5</f>
        <v>0</v>
      </c>
      <c r="J509" s="155">
        <f xml:space="preserve"> _xlfn.IFNA(INDEX('Final allowances'!$B$72:$Q$88,MATCH(F_interface!$A509,'Final allowances'!$B$72:$B$88,0),14) - INDEX('Final allowances'!$B$72:$Q$88,MATCH(F_interface!$A509,'Final allowances'!$B$72:$B$88,0),8),0) / 5</f>
        <v>0</v>
      </c>
      <c r="K509" s="155">
        <f xml:space="preserve"> _xlfn.IFNA(INDEX('Final allowances'!$B$72:$Q$88,MATCH(F_interface!$A509,'Final allowances'!$B$72:$B$88,0),14) - INDEX('Final allowances'!$B$72:$Q$88,MATCH(F_interface!$A509,'Final allowances'!$B$72:$B$88,0),8),0) / 5</f>
        <v>0</v>
      </c>
      <c r="L509" s="155">
        <f xml:space="preserve"> _xlfn.IFNA(INDEX('Final allowances'!$B$72:$Q$88,MATCH(F_interface!$A509,'Final allowances'!$B$72:$B$88,0),14) - INDEX('Final allowances'!$B$72:$Q$88,MATCH(F_interface!$A509,'Final allowances'!$B$72:$B$88,0),8),0) / 5</f>
        <v>0</v>
      </c>
    </row>
    <row r="510" spans="1:12" x14ac:dyDescent="0.25">
      <c r="A510" s="13" t="s">
        <v>93</v>
      </c>
      <c r="B510" s="4" t="s">
        <v>371</v>
      </c>
      <c r="C510" s="12" t="str">
        <f t="shared" si="13"/>
        <v>SVHC_WNOTHER_EXCPDR_PR19CA004</v>
      </c>
      <c r="D510" s="4" t="s">
        <v>371</v>
      </c>
      <c r="E510" s="12" t="s">
        <v>373</v>
      </c>
      <c r="F510" s="12" t="s">
        <v>2</v>
      </c>
      <c r="G510" s="12" t="s">
        <v>59</v>
      </c>
      <c r="H510" s="155">
        <f xml:space="preserve"> _xlfn.IFNA(INDEX('Final allowances'!$B$72:$Q$88,MATCH(F_interface!$A509,'Final allowances'!$B$72:$B$88,0),15) - INDEX('Final allowances'!$B$72:$Q$88,MATCH(F_interface!$A509,'Final allowances'!$B$72:$B$88,0),9),0) / 5</f>
        <v>0</v>
      </c>
      <c r="I510" s="155">
        <f xml:space="preserve"> _xlfn.IFNA(INDEX('Final allowances'!$B$72:$Q$88,MATCH(F_interface!$A509,'Final allowances'!$B$72:$B$88,0),15) - INDEX('Final allowances'!$B$72:$Q$88,MATCH(F_interface!$A509,'Final allowances'!$B$72:$B$88,0),9),0) / 5</f>
        <v>0</v>
      </c>
      <c r="J510" s="155">
        <f xml:space="preserve"> _xlfn.IFNA(INDEX('Final allowances'!$B$72:$Q$88,MATCH(F_interface!$A509,'Final allowances'!$B$72:$B$88,0),15) - INDEX('Final allowances'!$B$72:$Q$88,MATCH(F_interface!$A509,'Final allowances'!$B$72:$B$88,0),9),0) / 5</f>
        <v>0</v>
      </c>
      <c r="K510" s="155">
        <f xml:space="preserve"> _xlfn.IFNA(INDEX('Final allowances'!$B$72:$Q$88,MATCH(F_interface!$A509,'Final allowances'!$B$72:$B$88,0),15) - INDEX('Final allowances'!$B$72:$Q$88,MATCH(F_interface!$A509,'Final allowances'!$B$72:$B$88,0),9),0) / 5</f>
        <v>0</v>
      </c>
      <c r="L510" s="155">
        <f xml:space="preserve"> _xlfn.IFNA(INDEX('Final allowances'!$B$72:$Q$88,MATCH(F_interface!$A509,'Final allowances'!$B$72:$B$88,0),15) - INDEX('Final allowances'!$B$72:$Q$88,MATCH(F_interface!$A509,'Final allowances'!$B$72:$B$88,0),9),0) / 5</f>
        <v>0</v>
      </c>
    </row>
    <row r="511" spans="1:12" x14ac:dyDescent="0.25">
      <c r="A511" s="13" t="s">
        <v>8</v>
      </c>
      <c r="B511" s="4" t="s">
        <v>370</v>
      </c>
      <c r="C511" s="12" t="str">
        <f t="shared" si="13"/>
        <v>SVTC_WROTHER_EXCPDR_PR19CA004</v>
      </c>
      <c r="D511" s="4" t="s">
        <v>370</v>
      </c>
      <c r="E511" s="12" t="s">
        <v>372</v>
      </c>
      <c r="F511" s="12" t="s">
        <v>2</v>
      </c>
      <c r="G511" s="12" t="s">
        <v>59</v>
      </c>
      <c r="H511" s="155">
        <f xml:space="preserve"> _xlfn.IFNA(INDEX('Final allowances'!$B$72:$Q$88,MATCH(F_interface!$A511,'Final allowances'!$B$72:$B$88,0),14) - INDEX('Final allowances'!$B$72:$Q$88,MATCH(F_interface!$A511,'Final allowances'!$B$72:$B$88,0),8),0) / 5</f>
        <v>0</v>
      </c>
      <c r="I511" s="155">
        <f xml:space="preserve"> _xlfn.IFNA(INDEX('Final allowances'!$B$72:$Q$88,MATCH(F_interface!$A511,'Final allowances'!$B$72:$B$88,0),14) - INDEX('Final allowances'!$B$72:$Q$88,MATCH(F_interface!$A511,'Final allowances'!$B$72:$B$88,0),8),0) / 5</f>
        <v>0</v>
      </c>
      <c r="J511" s="155">
        <f xml:space="preserve"> _xlfn.IFNA(INDEX('Final allowances'!$B$72:$Q$88,MATCH(F_interface!$A511,'Final allowances'!$B$72:$B$88,0),14) - INDEX('Final allowances'!$B$72:$Q$88,MATCH(F_interface!$A511,'Final allowances'!$B$72:$B$88,0),8),0) / 5</f>
        <v>0</v>
      </c>
      <c r="K511" s="155">
        <f xml:space="preserve"> _xlfn.IFNA(INDEX('Final allowances'!$B$72:$Q$88,MATCH(F_interface!$A511,'Final allowances'!$B$72:$B$88,0),14) - INDEX('Final allowances'!$B$72:$Q$88,MATCH(F_interface!$A511,'Final allowances'!$B$72:$B$88,0),8),0) / 5</f>
        <v>0</v>
      </c>
      <c r="L511" s="155">
        <f xml:space="preserve"> _xlfn.IFNA(INDEX('Final allowances'!$B$72:$Q$88,MATCH(F_interface!$A511,'Final allowances'!$B$72:$B$88,0),14) - INDEX('Final allowances'!$B$72:$Q$88,MATCH(F_interface!$A511,'Final allowances'!$B$72:$B$88,0),8),0) / 5</f>
        <v>0</v>
      </c>
    </row>
    <row r="512" spans="1:12" x14ac:dyDescent="0.25">
      <c r="A512" s="13" t="s">
        <v>8</v>
      </c>
      <c r="B512" s="4" t="s">
        <v>371</v>
      </c>
      <c r="C512" s="12" t="str">
        <f t="shared" si="13"/>
        <v>SVTC_WNOTHER_EXCPDR_PR19CA004</v>
      </c>
      <c r="D512" s="4" t="s">
        <v>371</v>
      </c>
      <c r="E512" s="12" t="s">
        <v>373</v>
      </c>
      <c r="F512" s="12" t="s">
        <v>2</v>
      </c>
      <c r="G512" s="12" t="s">
        <v>59</v>
      </c>
      <c r="H512" s="155">
        <f xml:space="preserve"> _xlfn.IFNA(INDEX('Final allowances'!$B$72:$Q$88,MATCH(F_interface!$A511,'Final allowances'!$B$72:$B$88,0),15) - INDEX('Final allowances'!$B$72:$Q$88,MATCH(F_interface!$A511,'Final allowances'!$B$72:$B$88,0),9),0) / 5</f>
        <v>0</v>
      </c>
      <c r="I512" s="155">
        <f xml:space="preserve"> _xlfn.IFNA(INDEX('Final allowances'!$B$72:$Q$88,MATCH(F_interface!$A511,'Final allowances'!$B$72:$B$88,0),15) - INDEX('Final allowances'!$B$72:$Q$88,MATCH(F_interface!$A511,'Final allowances'!$B$72:$B$88,0),9),0) / 5</f>
        <v>0</v>
      </c>
      <c r="J512" s="155">
        <f xml:space="preserve"> _xlfn.IFNA(INDEX('Final allowances'!$B$72:$Q$88,MATCH(F_interface!$A511,'Final allowances'!$B$72:$B$88,0),15) - INDEX('Final allowances'!$B$72:$Q$88,MATCH(F_interface!$A511,'Final allowances'!$B$72:$B$88,0),9),0) / 5</f>
        <v>0</v>
      </c>
      <c r="K512" s="155">
        <f xml:space="preserve"> _xlfn.IFNA(INDEX('Final allowances'!$B$72:$Q$88,MATCH(F_interface!$A511,'Final allowances'!$B$72:$B$88,0),15) - INDEX('Final allowances'!$B$72:$Q$88,MATCH(F_interface!$A511,'Final allowances'!$B$72:$B$88,0),9),0) / 5</f>
        <v>0</v>
      </c>
      <c r="L512" s="155">
        <f xml:space="preserve"> _xlfn.IFNA(INDEX('Final allowances'!$B$72:$Q$88,MATCH(F_interface!$A511,'Final allowances'!$B$72:$B$88,0),15) - INDEX('Final allowances'!$B$72:$Q$88,MATCH(F_interface!$A511,'Final allowances'!$B$72:$B$88,0),9),0) / 5</f>
        <v>0</v>
      </c>
    </row>
    <row r="513" spans="1:12" x14ac:dyDescent="0.25">
      <c r="A513" s="13" t="s">
        <v>19</v>
      </c>
      <c r="B513" s="4" t="s">
        <v>370</v>
      </c>
      <c r="C513" s="12" t="str">
        <f t="shared" si="13"/>
        <v>SWBC_WROTHER_EXCPDR_PR19CA004</v>
      </c>
      <c r="D513" s="4" t="s">
        <v>370</v>
      </c>
      <c r="E513" s="12" t="s">
        <v>372</v>
      </c>
      <c r="F513" s="12" t="s">
        <v>2</v>
      </c>
      <c r="G513" s="12" t="s">
        <v>59</v>
      </c>
      <c r="H513" s="155">
        <f xml:space="preserve"> _xlfn.IFNA(INDEX('Final allowances'!$B$72:$Q$88,MATCH(F_interface!$A513,'Final allowances'!$B$72:$B$88,0),14) - INDEX('Final allowances'!$B$72:$Q$88,MATCH(F_interface!$A513,'Final allowances'!$B$72:$B$88,0),8),0) / 5</f>
        <v>9.1999999999999998E-2</v>
      </c>
      <c r="I513" s="155">
        <f xml:space="preserve"> _xlfn.IFNA(INDEX('Final allowances'!$B$72:$Q$88,MATCH(F_interface!$A513,'Final allowances'!$B$72:$B$88,0),14) - INDEX('Final allowances'!$B$72:$Q$88,MATCH(F_interface!$A513,'Final allowances'!$B$72:$B$88,0),8),0) / 5</f>
        <v>9.1999999999999998E-2</v>
      </c>
      <c r="J513" s="155">
        <f xml:space="preserve"> _xlfn.IFNA(INDEX('Final allowances'!$B$72:$Q$88,MATCH(F_interface!$A513,'Final allowances'!$B$72:$B$88,0),14) - INDEX('Final allowances'!$B$72:$Q$88,MATCH(F_interface!$A513,'Final allowances'!$B$72:$B$88,0),8),0) / 5</f>
        <v>9.1999999999999998E-2</v>
      </c>
      <c r="K513" s="155">
        <f xml:space="preserve"> _xlfn.IFNA(INDEX('Final allowances'!$B$72:$Q$88,MATCH(F_interface!$A513,'Final allowances'!$B$72:$B$88,0),14) - INDEX('Final allowances'!$B$72:$Q$88,MATCH(F_interface!$A513,'Final allowances'!$B$72:$B$88,0),8),0) / 5</f>
        <v>9.1999999999999998E-2</v>
      </c>
      <c r="L513" s="155">
        <f xml:space="preserve"> _xlfn.IFNA(INDEX('Final allowances'!$B$72:$Q$88,MATCH(F_interface!$A513,'Final allowances'!$B$72:$B$88,0),14) - INDEX('Final allowances'!$B$72:$Q$88,MATCH(F_interface!$A513,'Final allowances'!$B$72:$B$88,0),8),0) / 5</f>
        <v>9.1999999999999998E-2</v>
      </c>
    </row>
    <row r="514" spans="1:12" x14ac:dyDescent="0.25">
      <c r="A514" s="13" t="s">
        <v>19</v>
      </c>
      <c r="B514" s="4" t="s">
        <v>371</v>
      </c>
      <c r="C514" s="12" t="str">
        <f t="shared" si="13"/>
        <v>SWBC_WNOTHER_EXCPDR_PR19CA004</v>
      </c>
      <c r="D514" s="4" t="s">
        <v>371</v>
      </c>
      <c r="E514" s="12" t="s">
        <v>373</v>
      </c>
      <c r="F514" s="12" t="s">
        <v>2</v>
      </c>
      <c r="G514" s="12" t="s">
        <v>59</v>
      </c>
      <c r="H514" s="155">
        <f xml:space="preserve"> _xlfn.IFNA(INDEX('Final allowances'!$B$72:$Q$88,MATCH(F_interface!$A513,'Final allowances'!$B$72:$B$88,0),15) - INDEX('Final allowances'!$B$72:$Q$88,MATCH(F_interface!$A513,'Final allowances'!$B$72:$B$88,0),9),0) / 5</f>
        <v>5.13</v>
      </c>
      <c r="I514" s="155">
        <f xml:space="preserve"> _xlfn.IFNA(INDEX('Final allowances'!$B$72:$Q$88,MATCH(F_interface!$A513,'Final allowances'!$B$72:$B$88,0),15) - INDEX('Final allowances'!$B$72:$Q$88,MATCH(F_interface!$A513,'Final allowances'!$B$72:$B$88,0),9),0) / 5</f>
        <v>5.13</v>
      </c>
      <c r="J514" s="155">
        <f xml:space="preserve"> _xlfn.IFNA(INDEX('Final allowances'!$B$72:$Q$88,MATCH(F_interface!$A513,'Final allowances'!$B$72:$B$88,0),15) - INDEX('Final allowances'!$B$72:$Q$88,MATCH(F_interface!$A513,'Final allowances'!$B$72:$B$88,0),9),0) / 5</f>
        <v>5.13</v>
      </c>
      <c r="K514" s="155">
        <f xml:space="preserve"> _xlfn.IFNA(INDEX('Final allowances'!$B$72:$Q$88,MATCH(F_interface!$A513,'Final allowances'!$B$72:$B$88,0),15) - INDEX('Final allowances'!$B$72:$Q$88,MATCH(F_interface!$A513,'Final allowances'!$B$72:$B$88,0),9),0) / 5</f>
        <v>5.13</v>
      </c>
      <c r="L514" s="155">
        <f xml:space="preserve"> _xlfn.IFNA(INDEX('Final allowances'!$B$72:$Q$88,MATCH(F_interface!$A513,'Final allowances'!$B$72:$B$88,0),15) - INDEX('Final allowances'!$B$72:$Q$88,MATCH(F_interface!$A513,'Final allowances'!$B$72:$B$88,0),9),0) / 5</f>
        <v>5.13</v>
      </c>
    </row>
    <row r="515" spans="1:12" x14ac:dyDescent="0.25">
      <c r="A515" s="13" t="s">
        <v>9</v>
      </c>
      <c r="B515" s="4" t="s">
        <v>370</v>
      </c>
      <c r="C515" s="12" t="str">
        <f t="shared" si="13"/>
        <v>TMSC_WROTHER_EXCPDR_PR19CA004</v>
      </c>
      <c r="D515" s="4" t="s">
        <v>370</v>
      </c>
      <c r="E515" s="12" t="s">
        <v>372</v>
      </c>
      <c r="F515" s="12" t="s">
        <v>2</v>
      </c>
      <c r="G515" s="12" t="s">
        <v>59</v>
      </c>
      <c r="H515" s="155">
        <f xml:space="preserve"> _xlfn.IFNA(INDEX('Final allowances'!$B$72:$Q$88,MATCH(F_interface!$A515,'Final allowances'!$B$72:$B$88,0),14) - INDEX('Final allowances'!$B$72:$Q$88,MATCH(F_interface!$A515,'Final allowances'!$B$72:$B$88,0),8),0) / 5</f>
        <v>36.842019951825314</v>
      </c>
      <c r="I515" s="155">
        <f xml:space="preserve"> _xlfn.IFNA(INDEX('Final allowances'!$B$72:$Q$88,MATCH(F_interface!$A515,'Final allowances'!$B$72:$B$88,0),14) - INDEX('Final allowances'!$B$72:$Q$88,MATCH(F_interface!$A515,'Final allowances'!$B$72:$B$88,0),8),0) / 5</f>
        <v>36.842019951825314</v>
      </c>
      <c r="J515" s="155">
        <f xml:space="preserve"> _xlfn.IFNA(INDEX('Final allowances'!$B$72:$Q$88,MATCH(F_interface!$A515,'Final allowances'!$B$72:$B$88,0),14) - INDEX('Final allowances'!$B$72:$Q$88,MATCH(F_interface!$A515,'Final allowances'!$B$72:$B$88,0),8),0) / 5</f>
        <v>36.842019951825314</v>
      </c>
      <c r="K515" s="155">
        <f xml:space="preserve"> _xlfn.IFNA(INDEX('Final allowances'!$B$72:$Q$88,MATCH(F_interface!$A515,'Final allowances'!$B$72:$B$88,0),14) - INDEX('Final allowances'!$B$72:$Q$88,MATCH(F_interface!$A515,'Final allowances'!$B$72:$B$88,0),8),0) / 5</f>
        <v>36.842019951825314</v>
      </c>
      <c r="L515" s="155">
        <f xml:space="preserve"> _xlfn.IFNA(INDEX('Final allowances'!$B$72:$Q$88,MATCH(F_interface!$A515,'Final allowances'!$B$72:$B$88,0),14) - INDEX('Final allowances'!$B$72:$Q$88,MATCH(F_interface!$A515,'Final allowances'!$B$72:$B$88,0),8),0) / 5</f>
        <v>36.842019951825314</v>
      </c>
    </row>
    <row r="516" spans="1:12" x14ac:dyDescent="0.25">
      <c r="A516" s="13" t="s">
        <v>9</v>
      </c>
      <c r="B516" s="4" t="s">
        <v>371</v>
      </c>
      <c r="C516" s="12" t="str">
        <f t="shared" si="13"/>
        <v>TMSC_WNOTHER_EXCPDR_PR19CA004</v>
      </c>
      <c r="D516" s="4" t="s">
        <v>371</v>
      </c>
      <c r="E516" s="12" t="s">
        <v>373</v>
      </c>
      <c r="F516" s="12" t="s">
        <v>2</v>
      </c>
      <c r="G516" s="12" t="s">
        <v>59</v>
      </c>
      <c r="H516" s="155">
        <f xml:space="preserve"> _xlfn.IFNA(INDEX('Final allowances'!$B$72:$Q$88,MATCH(F_interface!$A515,'Final allowances'!$B$72:$B$88,0),15) - INDEX('Final allowances'!$B$72:$Q$88,MATCH(F_interface!$A515,'Final allowances'!$B$72:$B$88,0),9),0) / 5</f>
        <v>5.8799988652673854</v>
      </c>
      <c r="I516" s="155">
        <f xml:space="preserve"> _xlfn.IFNA(INDEX('Final allowances'!$B$72:$Q$88,MATCH(F_interface!$A515,'Final allowances'!$B$72:$B$88,0),15) - INDEX('Final allowances'!$B$72:$Q$88,MATCH(F_interface!$A515,'Final allowances'!$B$72:$B$88,0),9),0) / 5</f>
        <v>5.8799988652673854</v>
      </c>
      <c r="J516" s="155">
        <f xml:space="preserve"> _xlfn.IFNA(INDEX('Final allowances'!$B$72:$Q$88,MATCH(F_interface!$A515,'Final allowances'!$B$72:$B$88,0),15) - INDEX('Final allowances'!$B$72:$Q$88,MATCH(F_interface!$A515,'Final allowances'!$B$72:$B$88,0),9),0) / 5</f>
        <v>5.8799988652673854</v>
      </c>
      <c r="K516" s="155">
        <f xml:space="preserve"> _xlfn.IFNA(INDEX('Final allowances'!$B$72:$Q$88,MATCH(F_interface!$A515,'Final allowances'!$B$72:$B$88,0),15) - INDEX('Final allowances'!$B$72:$Q$88,MATCH(F_interface!$A515,'Final allowances'!$B$72:$B$88,0),9),0) / 5</f>
        <v>5.8799988652673854</v>
      </c>
      <c r="L516" s="155">
        <f xml:space="preserve"> _xlfn.IFNA(INDEX('Final allowances'!$B$72:$Q$88,MATCH(F_interface!$A515,'Final allowances'!$B$72:$B$88,0),15) - INDEX('Final allowances'!$B$72:$Q$88,MATCH(F_interface!$A515,'Final allowances'!$B$72:$B$88,0),9),0) / 5</f>
        <v>5.8799988652673854</v>
      </c>
    </row>
    <row r="517" spans="1:12" x14ac:dyDescent="0.25">
      <c r="A517" s="13" t="s">
        <v>23</v>
      </c>
      <c r="B517" s="4" t="s">
        <v>370</v>
      </c>
      <c r="C517" s="12" t="str">
        <f t="shared" si="13"/>
        <v>WSHC_WROTHER_EXCPDR_PR19CA004</v>
      </c>
      <c r="D517" s="4" t="s">
        <v>370</v>
      </c>
      <c r="E517" s="12" t="s">
        <v>372</v>
      </c>
      <c r="F517" s="12" t="s">
        <v>2</v>
      </c>
      <c r="G517" s="12" t="s">
        <v>59</v>
      </c>
      <c r="H517" s="155">
        <f xml:space="preserve"> _xlfn.IFNA(INDEX('Final allowances'!$B$72:$Q$88,MATCH(F_interface!$A517,'Final allowances'!$B$72:$B$88,0),14) - INDEX('Final allowances'!$B$72:$Q$88,MATCH(F_interface!$A517,'Final allowances'!$B$72:$B$88,0),8),0) / 5</f>
        <v>9.1319999999999997</v>
      </c>
      <c r="I517" s="155">
        <f xml:space="preserve"> _xlfn.IFNA(INDEX('Final allowances'!$B$72:$Q$88,MATCH(F_interface!$A517,'Final allowances'!$B$72:$B$88,0),14) - INDEX('Final allowances'!$B$72:$Q$88,MATCH(F_interface!$A517,'Final allowances'!$B$72:$B$88,0),8),0) / 5</f>
        <v>9.1319999999999997</v>
      </c>
      <c r="J517" s="155">
        <f xml:space="preserve"> _xlfn.IFNA(INDEX('Final allowances'!$B$72:$Q$88,MATCH(F_interface!$A517,'Final allowances'!$B$72:$B$88,0),14) - INDEX('Final allowances'!$B$72:$Q$88,MATCH(F_interface!$A517,'Final allowances'!$B$72:$B$88,0),8),0) / 5</f>
        <v>9.1319999999999997</v>
      </c>
      <c r="K517" s="155">
        <f xml:space="preserve"> _xlfn.IFNA(INDEX('Final allowances'!$B$72:$Q$88,MATCH(F_interface!$A517,'Final allowances'!$B$72:$B$88,0),14) - INDEX('Final allowances'!$B$72:$Q$88,MATCH(F_interface!$A517,'Final allowances'!$B$72:$B$88,0),8),0) / 5</f>
        <v>9.1319999999999997</v>
      </c>
      <c r="L517" s="155">
        <f xml:space="preserve"> _xlfn.IFNA(INDEX('Final allowances'!$B$72:$Q$88,MATCH(F_interface!$A517,'Final allowances'!$B$72:$B$88,0),14) - INDEX('Final allowances'!$B$72:$Q$88,MATCH(F_interface!$A517,'Final allowances'!$B$72:$B$88,0),8),0) / 5</f>
        <v>9.1319999999999997</v>
      </c>
    </row>
    <row r="518" spans="1:12" x14ac:dyDescent="0.25">
      <c r="A518" s="13" t="s">
        <v>23</v>
      </c>
      <c r="B518" s="4" t="s">
        <v>371</v>
      </c>
      <c r="C518" s="12" t="str">
        <f t="shared" si="13"/>
        <v>WSHC_WNOTHER_EXCPDR_PR19CA004</v>
      </c>
      <c r="D518" s="4" t="s">
        <v>371</v>
      </c>
      <c r="E518" s="12" t="s">
        <v>373</v>
      </c>
      <c r="F518" s="12" t="s">
        <v>2</v>
      </c>
      <c r="G518" s="12" t="s">
        <v>59</v>
      </c>
      <c r="H518" s="155">
        <f xml:space="preserve"> _xlfn.IFNA(INDEX('Final allowances'!$B$72:$Q$88,MATCH(F_interface!$A517,'Final allowances'!$B$72:$B$88,0),15) - INDEX('Final allowances'!$B$72:$Q$88,MATCH(F_interface!$A517,'Final allowances'!$B$72:$B$88,0),9),0) / 5</f>
        <v>1.9099999999999997</v>
      </c>
      <c r="I518" s="155">
        <f xml:space="preserve"> _xlfn.IFNA(INDEX('Final allowances'!$B$72:$Q$88,MATCH(F_interface!$A517,'Final allowances'!$B$72:$B$88,0),15) - INDEX('Final allowances'!$B$72:$Q$88,MATCH(F_interface!$A517,'Final allowances'!$B$72:$B$88,0),9),0) / 5</f>
        <v>1.9099999999999997</v>
      </c>
      <c r="J518" s="155">
        <f xml:space="preserve"> _xlfn.IFNA(INDEX('Final allowances'!$B$72:$Q$88,MATCH(F_interface!$A517,'Final allowances'!$B$72:$B$88,0),15) - INDEX('Final allowances'!$B$72:$Q$88,MATCH(F_interface!$A517,'Final allowances'!$B$72:$B$88,0),9),0) / 5</f>
        <v>1.9099999999999997</v>
      </c>
      <c r="K518" s="155">
        <f xml:space="preserve"> _xlfn.IFNA(INDEX('Final allowances'!$B$72:$Q$88,MATCH(F_interface!$A517,'Final allowances'!$B$72:$B$88,0),15) - INDEX('Final allowances'!$B$72:$Q$88,MATCH(F_interface!$A517,'Final allowances'!$B$72:$B$88,0),9),0) / 5</f>
        <v>1.9099999999999997</v>
      </c>
      <c r="L518" s="155">
        <f xml:space="preserve"> _xlfn.IFNA(INDEX('Final allowances'!$B$72:$Q$88,MATCH(F_interface!$A517,'Final allowances'!$B$72:$B$88,0),15) - INDEX('Final allowances'!$B$72:$Q$88,MATCH(F_interface!$A517,'Final allowances'!$B$72:$B$88,0),9),0) / 5</f>
        <v>1.9099999999999997</v>
      </c>
    </row>
    <row r="519" spans="1:12" x14ac:dyDescent="0.25">
      <c r="A519" s="13" t="s">
        <v>10</v>
      </c>
      <c r="B519" s="4" t="s">
        <v>370</v>
      </c>
      <c r="C519" s="12" t="str">
        <f t="shared" si="13"/>
        <v>WSXC_WROTHER_EXCPDR_PR19CA004</v>
      </c>
      <c r="D519" s="4" t="s">
        <v>370</v>
      </c>
      <c r="E519" s="12" t="s">
        <v>372</v>
      </c>
      <c r="F519" s="12" t="s">
        <v>2</v>
      </c>
      <c r="G519" s="12" t="s">
        <v>59</v>
      </c>
      <c r="H519" s="155">
        <f xml:space="preserve"> _xlfn.IFNA(INDEX('Final allowances'!$B$72:$Q$88,MATCH(F_interface!$A519,'Final allowances'!$B$72:$B$88,0),14) - INDEX('Final allowances'!$B$72:$Q$88,MATCH(F_interface!$A519,'Final allowances'!$B$72:$B$88,0),8),0) / 5</f>
        <v>0.64515236690799993</v>
      </c>
      <c r="I519" s="155">
        <f xml:space="preserve"> _xlfn.IFNA(INDEX('Final allowances'!$B$72:$Q$88,MATCH(F_interface!$A519,'Final allowances'!$B$72:$B$88,0),14) - INDEX('Final allowances'!$B$72:$Q$88,MATCH(F_interface!$A519,'Final allowances'!$B$72:$B$88,0),8),0) / 5</f>
        <v>0.64515236690799993</v>
      </c>
      <c r="J519" s="155">
        <f xml:space="preserve"> _xlfn.IFNA(INDEX('Final allowances'!$B$72:$Q$88,MATCH(F_interface!$A519,'Final allowances'!$B$72:$B$88,0),14) - INDEX('Final allowances'!$B$72:$Q$88,MATCH(F_interface!$A519,'Final allowances'!$B$72:$B$88,0),8),0) / 5</f>
        <v>0.64515236690799993</v>
      </c>
      <c r="K519" s="155">
        <f xml:space="preserve"> _xlfn.IFNA(INDEX('Final allowances'!$B$72:$Q$88,MATCH(F_interface!$A519,'Final allowances'!$B$72:$B$88,0),14) - INDEX('Final allowances'!$B$72:$Q$88,MATCH(F_interface!$A519,'Final allowances'!$B$72:$B$88,0),8),0) / 5</f>
        <v>0.64515236690799993</v>
      </c>
      <c r="L519" s="155">
        <f xml:space="preserve"> _xlfn.IFNA(INDEX('Final allowances'!$B$72:$Q$88,MATCH(F_interface!$A519,'Final allowances'!$B$72:$B$88,0),14) - INDEX('Final allowances'!$B$72:$Q$88,MATCH(F_interface!$A519,'Final allowances'!$B$72:$B$88,0),8),0) / 5</f>
        <v>0.64515236690799993</v>
      </c>
    </row>
    <row r="520" spans="1:12" x14ac:dyDescent="0.25">
      <c r="A520" s="13" t="s">
        <v>10</v>
      </c>
      <c r="B520" s="4" t="s">
        <v>371</v>
      </c>
      <c r="C520" s="12" t="str">
        <f t="shared" si="13"/>
        <v>WSXC_WNOTHER_EXCPDR_PR19CA004</v>
      </c>
      <c r="D520" s="4" t="s">
        <v>371</v>
      </c>
      <c r="E520" s="12" t="s">
        <v>373</v>
      </c>
      <c r="F520" s="12" t="s">
        <v>2</v>
      </c>
      <c r="G520" s="12" t="s">
        <v>59</v>
      </c>
      <c r="H520" s="155">
        <f xml:space="preserve"> _xlfn.IFNA(INDEX('Final allowances'!$B$72:$Q$88,MATCH(F_interface!$A519,'Final allowances'!$B$72:$B$88,0),15) - INDEX('Final allowances'!$B$72:$Q$88,MATCH(F_interface!$A519,'Final allowances'!$B$72:$B$88,0),9),0) / 5</f>
        <v>0.68204999999999993</v>
      </c>
      <c r="I520" s="155">
        <f xml:space="preserve"> _xlfn.IFNA(INDEX('Final allowances'!$B$72:$Q$88,MATCH(F_interface!$A519,'Final allowances'!$B$72:$B$88,0),15) - INDEX('Final allowances'!$B$72:$Q$88,MATCH(F_interface!$A519,'Final allowances'!$B$72:$B$88,0),9),0) / 5</f>
        <v>0.68204999999999993</v>
      </c>
      <c r="J520" s="155">
        <f xml:space="preserve"> _xlfn.IFNA(INDEX('Final allowances'!$B$72:$Q$88,MATCH(F_interface!$A519,'Final allowances'!$B$72:$B$88,0),15) - INDEX('Final allowances'!$B$72:$Q$88,MATCH(F_interface!$A519,'Final allowances'!$B$72:$B$88,0),9),0) / 5</f>
        <v>0.68204999999999993</v>
      </c>
      <c r="K520" s="155">
        <f xml:space="preserve"> _xlfn.IFNA(INDEX('Final allowances'!$B$72:$Q$88,MATCH(F_interface!$A519,'Final allowances'!$B$72:$B$88,0),15) - INDEX('Final allowances'!$B$72:$Q$88,MATCH(F_interface!$A519,'Final allowances'!$B$72:$B$88,0),9),0) / 5</f>
        <v>0.68204999999999993</v>
      </c>
      <c r="L520" s="155">
        <f xml:space="preserve"> _xlfn.IFNA(INDEX('Final allowances'!$B$72:$Q$88,MATCH(F_interface!$A519,'Final allowances'!$B$72:$B$88,0),15) - INDEX('Final allowances'!$B$72:$Q$88,MATCH(F_interface!$A519,'Final allowances'!$B$72:$B$88,0),9),0) / 5</f>
        <v>0.68204999999999993</v>
      </c>
    </row>
    <row r="521" spans="1:12" x14ac:dyDescent="0.25">
      <c r="A521" s="13" t="s">
        <v>11</v>
      </c>
      <c r="B521" s="4" t="s">
        <v>370</v>
      </c>
      <c r="C521" s="12" t="str">
        <f t="shared" si="13"/>
        <v>YKYC_WROTHER_EXCPDR_PR19CA004</v>
      </c>
      <c r="D521" s="4" t="s">
        <v>370</v>
      </c>
      <c r="E521" s="12" t="s">
        <v>372</v>
      </c>
      <c r="F521" s="12" t="s">
        <v>2</v>
      </c>
      <c r="G521" s="12" t="s">
        <v>59</v>
      </c>
      <c r="H521" s="155">
        <f xml:space="preserve"> _xlfn.IFNA(INDEX('Final allowances'!$B$72:$Q$88,MATCH(F_interface!$A521,'Final allowances'!$B$72:$B$88,0),14) - INDEX('Final allowances'!$B$72:$Q$88,MATCH(F_interface!$A521,'Final allowances'!$B$72:$B$88,0),8),0) / 5</f>
        <v>0</v>
      </c>
      <c r="I521" s="155">
        <f xml:space="preserve"> _xlfn.IFNA(INDEX('Final allowances'!$B$72:$Q$88,MATCH(F_interface!$A521,'Final allowances'!$B$72:$B$88,0),14) - INDEX('Final allowances'!$B$72:$Q$88,MATCH(F_interface!$A521,'Final allowances'!$B$72:$B$88,0),8),0) / 5</f>
        <v>0</v>
      </c>
      <c r="J521" s="155">
        <f xml:space="preserve"> _xlfn.IFNA(INDEX('Final allowances'!$B$72:$Q$88,MATCH(F_interface!$A521,'Final allowances'!$B$72:$B$88,0),14) - INDEX('Final allowances'!$B$72:$Q$88,MATCH(F_interface!$A521,'Final allowances'!$B$72:$B$88,0),8),0) / 5</f>
        <v>0</v>
      </c>
      <c r="K521" s="155">
        <f xml:space="preserve"> _xlfn.IFNA(INDEX('Final allowances'!$B$72:$Q$88,MATCH(F_interface!$A521,'Final allowances'!$B$72:$B$88,0),14) - INDEX('Final allowances'!$B$72:$Q$88,MATCH(F_interface!$A521,'Final allowances'!$B$72:$B$88,0),8),0) / 5</f>
        <v>0</v>
      </c>
      <c r="L521" s="155">
        <f xml:space="preserve"> _xlfn.IFNA(INDEX('Final allowances'!$B$72:$Q$88,MATCH(F_interface!$A521,'Final allowances'!$B$72:$B$88,0),14) - INDEX('Final allowances'!$B$72:$Q$88,MATCH(F_interface!$A521,'Final allowances'!$B$72:$B$88,0),8),0) / 5</f>
        <v>0</v>
      </c>
    </row>
    <row r="522" spans="1:12" x14ac:dyDescent="0.25">
      <c r="A522" s="13" t="s">
        <v>11</v>
      </c>
      <c r="B522" s="4" t="s">
        <v>371</v>
      </c>
      <c r="C522" s="12" t="str">
        <f t="shared" si="13"/>
        <v>YKYC_WNOTHER_EXCPDR_PR19CA004</v>
      </c>
      <c r="D522" s="4" t="s">
        <v>371</v>
      </c>
      <c r="E522" s="12" t="s">
        <v>373</v>
      </c>
      <c r="F522" s="12" t="s">
        <v>2</v>
      </c>
      <c r="G522" s="12" t="s">
        <v>59</v>
      </c>
      <c r="H522" s="155">
        <f xml:space="preserve"> _xlfn.IFNA(INDEX('Final allowances'!$B$72:$Q$88,MATCH(F_interface!$A521,'Final allowances'!$B$72:$B$88,0),15) - INDEX('Final allowances'!$B$72:$Q$88,MATCH(F_interface!$A521,'Final allowances'!$B$72:$B$88,0),9),0) / 5</f>
        <v>2.5399999999999996</v>
      </c>
      <c r="I522" s="155">
        <f xml:space="preserve"> _xlfn.IFNA(INDEX('Final allowances'!$B$72:$Q$88,MATCH(F_interface!$A521,'Final allowances'!$B$72:$B$88,0),15) - INDEX('Final allowances'!$B$72:$Q$88,MATCH(F_interface!$A521,'Final allowances'!$B$72:$B$88,0),9),0) / 5</f>
        <v>2.5399999999999996</v>
      </c>
      <c r="J522" s="155">
        <f xml:space="preserve"> _xlfn.IFNA(INDEX('Final allowances'!$B$72:$Q$88,MATCH(F_interface!$A521,'Final allowances'!$B$72:$B$88,0),15) - INDEX('Final allowances'!$B$72:$Q$88,MATCH(F_interface!$A521,'Final allowances'!$B$72:$B$88,0),9),0) / 5</f>
        <v>2.5399999999999996</v>
      </c>
      <c r="K522" s="155">
        <f xml:space="preserve"> _xlfn.IFNA(INDEX('Final allowances'!$B$72:$Q$88,MATCH(F_interface!$A521,'Final allowances'!$B$72:$B$88,0),15) - INDEX('Final allowances'!$B$72:$Q$88,MATCH(F_interface!$A521,'Final allowances'!$B$72:$B$88,0),9),0) / 5</f>
        <v>2.5399999999999996</v>
      </c>
      <c r="L522" s="155">
        <f xml:space="preserve"> _xlfn.IFNA(INDEX('Final allowances'!$B$72:$Q$88,MATCH(F_interface!$A521,'Final allowances'!$B$72:$B$88,0),15) - INDEX('Final allowances'!$B$72:$Q$88,MATCH(F_interface!$A521,'Final allowances'!$B$72:$B$88,0),9),0) / 5</f>
        <v>2.5399999999999996</v>
      </c>
    </row>
    <row r="523" spans="1:12" x14ac:dyDescent="0.25">
      <c r="A523" s="13" t="s">
        <v>4</v>
      </c>
      <c r="B523" s="4" t="str">
        <f t="shared" si="9"/>
        <v>PR19QA_CA004_OUT_1</v>
      </c>
      <c r="C523" s="12" t="str">
        <f t="shared" si="10"/>
        <v>ANHPR19QA_CA004_OUT_1</v>
      </c>
      <c r="D523" s="4" t="s">
        <v>268</v>
      </c>
      <c r="E523" s="4" t="s">
        <v>119</v>
      </c>
      <c r="F523" s="4" t="s">
        <v>76</v>
      </c>
      <c r="G523" s="4" t="s">
        <v>59</v>
      </c>
      <c r="H523" s="2" t="str">
        <f ca="1">CONCATENATE("[…]", TEXT(NOW(),"dd/mm/yyy hh:mm:ss"))</f>
        <v>[…]12/07/2019 10:26:12</v>
      </c>
      <c r="I523" s="2" t="str">
        <f t="shared" ref="I523:L542" ca="1" si="14">CONCATENATE("[…]", TEXT(NOW(),"dd/mm/yyy hh:mm:ss"))</f>
        <v>[…]12/07/2019 10:26:12</v>
      </c>
      <c r="J523" s="2" t="str">
        <f t="shared" ca="1" si="14"/>
        <v>[…]12/07/2019 10:26:12</v>
      </c>
      <c r="K523" s="2" t="str">
        <f t="shared" ca="1" si="14"/>
        <v>[…]12/07/2019 10:26:12</v>
      </c>
      <c r="L523" s="2" t="str">
        <f t="shared" ca="1" si="14"/>
        <v>[…]12/07/2019 10:26:12</v>
      </c>
    </row>
    <row r="524" spans="1:12" x14ac:dyDescent="0.25">
      <c r="A524" s="13" t="s">
        <v>90</v>
      </c>
      <c r="B524" s="4" t="str">
        <f t="shared" si="9"/>
        <v>PR19QA_CA004_OUT_1</v>
      </c>
      <c r="C524" s="12" t="str">
        <f t="shared" si="10"/>
        <v>HDDPR19QA_CA004_OUT_1</v>
      </c>
      <c r="D524" s="4" t="s">
        <v>268</v>
      </c>
      <c r="E524" s="4" t="s">
        <v>119</v>
      </c>
      <c r="F524" s="4" t="s">
        <v>76</v>
      </c>
      <c r="G524" s="4" t="s">
        <v>59</v>
      </c>
      <c r="H524" s="2" t="str">
        <f t="shared" ref="H524:H539" ca="1" si="15">CONCATENATE("[…]", TEXT(NOW(),"dd/mm/yyy hh:mm:ss"))</f>
        <v>[…]12/07/2019 10:26:12</v>
      </c>
      <c r="I524" s="2" t="str">
        <f t="shared" ca="1" si="14"/>
        <v>[…]12/07/2019 10:26:12</v>
      </c>
      <c r="J524" s="2" t="str">
        <f t="shared" ca="1" si="14"/>
        <v>[…]12/07/2019 10:26:12</v>
      </c>
      <c r="K524" s="2" t="str">
        <f t="shared" ca="1" si="14"/>
        <v>[…]12/07/2019 10:26:12</v>
      </c>
      <c r="L524" s="2" t="str">
        <f t="shared" ca="1" si="14"/>
        <v>[…]12/07/2019 10:26:12</v>
      </c>
    </row>
    <row r="525" spans="1:12" x14ac:dyDescent="0.25">
      <c r="A525" s="13" t="s">
        <v>5</v>
      </c>
      <c r="B525" s="4" t="str">
        <f t="shared" si="9"/>
        <v>PR19QA_CA004_OUT_1</v>
      </c>
      <c r="C525" s="12" t="str">
        <f t="shared" si="10"/>
        <v>NESPR19QA_CA004_OUT_1</v>
      </c>
      <c r="D525" s="4" t="s">
        <v>268</v>
      </c>
      <c r="E525" s="4" t="s">
        <v>119</v>
      </c>
      <c r="F525" s="4" t="s">
        <v>76</v>
      </c>
      <c r="G525" s="4" t="s">
        <v>59</v>
      </c>
      <c r="H525" s="2" t="str">
        <f t="shared" ca="1" si="15"/>
        <v>[…]12/07/2019 10:26:12</v>
      </c>
      <c r="I525" s="2" t="str">
        <f t="shared" ca="1" si="14"/>
        <v>[…]12/07/2019 10:26:12</v>
      </c>
      <c r="J525" s="2" t="str">
        <f t="shared" ca="1" si="14"/>
        <v>[…]12/07/2019 10:26:12</v>
      </c>
      <c r="K525" s="2" t="str">
        <f t="shared" ca="1" si="14"/>
        <v>[…]12/07/2019 10:26:12</v>
      </c>
      <c r="L525" s="2" t="str">
        <f t="shared" ca="1" si="14"/>
        <v>[…]12/07/2019 10:26:12</v>
      </c>
    </row>
    <row r="526" spans="1:12" x14ac:dyDescent="0.25">
      <c r="A526" s="13" t="s">
        <v>6</v>
      </c>
      <c r="B526" s="4" t="str">
        <f t="shared" si="9"/>
        <v>PR19QA_CA004_OUT_1</v>
      </c>
      <c r="C526" s="12" t="str">
        <f t="shared" si="10"/>
        <v>NWTPR19QA_CA004_OUT_1</v>
      </c>
      <c r="D526" s="4" t="s">
        <v>268</v>
      </c>
      <c r="E526" s="4" t="s">
        <v>119</v>
      </c>
      <c r="F526" s="4" t="s">
        <v>76</v>
      </c>
      <c r="G526" s="4" t="s">
        <v>59</v>
      </c>
      <c r="H526" s="2" t="str">
        <f t="shared" ca="1" si="15"/>
        <v>[…]12/07/2019 10:26:12</v>
      </c>
      <c r="I526" s="2" t="str">
        <f t="shared" ca="1" si="14"/>
        <v>[…]12/07/2019 10:26:12</v>
      </c>
      <c r="J526" s="2" t="str">
        <f t="shared" ca="1" si="14"/>
        <v>[…]12/07/2019 10:26:12</v>
      </c>
      <c r="K526" s="2" t="str">
        <f t="shared" ca="1" si="14"/>
        <v>[…]12/07/2019 10:26:12</v>
      </c>
      <c r="L526" s="2" t="str">
        <f t="shared" ca="1" si="14"/>
        <v>[…]12/07/2019 10:26:12</v>
      </c>
    </row>
    <row r="527" spans="1:12" x14ac:dyDescent="0.25">
      <c r="A527" s="13" t="s">
        <v>7</v>
      </c>
      <c r="B527" s="4" t="str">
        <f t="shared" si="9"/>
        <v>PR19QA_CA004_OUT_1</v>
      </c>
      <c r="C527" s="12" t="str">
        <f t="shared" si="10"/>
        <v>SRNPR19QA_CA004_OUT_1</v>
      </c>
      <c r="D527" s="4" t="s">
        <v>268</v>
      </c>
      <c r="E527" s="4" t="s">
        <v>119</v>
      </c>
      <c r="F527" s="4" t="s">
        <v>76</v>
      </c>
      <c r="G527" s="4" t="s">
        <v>59</v>
      </c>
      <c r="H527" s="2" t="str">
        <f t="shared" ca="1" si="15"/>
        <v>[…]12/07/2019 10:26:12</v>
      </c>
      <c r="I527" s="2" t="str">
        <f t="shared" ca="1" si="14"/>
        <v>[…]12/07/2019 10:26:12</v>
      </c>
      <c r="J527" s="2" t="str">
        <f t="shared" ca="1" si="14"/>
        <v>[…]12/07/2019 10:26:12</v>
      </c>
      <c r="K527" s="2" t="str">
        <f t="shared" ca="1" si="14"/>
        <v>[…]12/07/2019 10:26:12</v>
      </c>
      <c r="L527" s="2" t="str">
        <f t="shared" ca="1" si="14"/>
        <v>[…]12/07/2019 10:26:12</v>
      </c>
    </row>
    <row r="528" spans="1:12" x14ac:dyDescent="0.25">
      <c r="A528" s="13" t="s">
        <v>89</v>
      </c>
      <c r="B528" s="4" t="str">
        <f t="shared" si="9"/>
        <v>PR19QA_CA004_OUT_1</v>
      </c>
      <c r="C528" s="12" t="str">
        <f t="shared" si="10"/>
        <v>SVEPR19QA_CA004_OUT_1</v>
      </c>
      <c r="D528" s="4" t="s">
        <v>268</v>
      </c>
      <c r="E528" s="4" t="s">
        <v>119</v>
      </c>
      <c r="F528" s="4" t="s">
        <v>76</v>
      </c>
      <c r="G528" s="4" t="s">
        <v>59</v>
      </c>
      <c r="H528" s="2" t="str">
        <f t="shared" ca="1" si="15"/>
        <v>[…]12/07/2019 10:26:12</v>
      </c>
      <c r="I528" s="2" t="str">
        <f t="shared" ca="1" si="14"/>
        <v>[…]12/07/2019 10:26:12</v>
      </c>
      <c r="J528" s="2" t="str">
        <f t="shared" ca="1" si="14"/>
        <v>[…]12/07/2019 10:26:12</v>
      </c>
      <c r="K528" s="2" t="str">
        <f t="shared" ca="1" si="14"/>
        <v>[…]12/07/2019 10:26:12</v>
      </c>
      <c r="L528" s="2" t="str">
        <f t="shared" ca="1" si="14"/>
        <v>[…]12/07/2019 10:26:12</v>
      </c>
    </row>
    <row r="529" spans="1:12" x14ac:dyDescent="0.25">
      <c r="A529" s="13" t="s">
        <v>93</v>
      </c>
      <c r="B529" s="4" t="str">
        <f t="shared" si="9"/>
        <v>PR19QA_CA004_OUT_1</v>
      </c>
      <c r="C529" s="12" t="str">
        <f t="shared" si="10"/>
        <v>SVHPR19QA_CA004_OUT_1</v>
      </c>
      <c r="D529" s="4" t="s">
        <v>268</v>
      </c>
      <c r="E529" s="4" t="s">
        <v>119</v>
      </c>
      <c r="F529" s="4" t="s">
        <v>76</v>
      </c>
      <c r="G529" s="4" t="s">
        <v>59</v>
      </c>
      <c r="H529" s="2" t="str">
        <f t="shared" ca="1" si="15"/>
        <v>[…]12/07/2019 10:26:12</v>
      </c>
      <c r="I529" s="2" t="str">
        <f t="shared" ca="1" si="14"/>
        <v>[…]12/07/2019 10:26:12</v>
      </c>
      <c r="J529" s="2" t="str">
        <f t="shared" ca="1" si="14"/>
        <v>[…]12/07/2019 10:26:12</v>
      </c>
      <c r="K529" s="2" t="str">
        <f t="shared" ca="1" si="14"/>
        <v>[…]12/07/2019 10:26:12</v>
      </c>
      <c r="L529" s="2" t="str">
        <f t="shared" ca="1" si="14"/>
        <v>[…]12/07/2019 10:26:12</v>
      </c>
    </row>
    <row r="530" spans="1:12" x14ac:dyDescent="0.25">
      <c r="A530" s="13" t="s">
        <v>8</v>
      </c>
      <c r="B530" s="4" t="str">
        <f t="shared" si="9"/>
        <v>PR19QA_CA004_OUT_1</v>
      </c>
      <c r="C530" s="12" t="str">
        <f t="shared" si="10"/>
        <v>SVTPR19QA_CA004_OUT_1</v>
      </c>
      <c r="D530" s="4" t="s">
        <v>268</v>
      </c>
      <c r="E530" s="4" t="s">
        <v>119</v>
      </c>
      <c r="F530" s="4" t="s">
        <v>76</v>
      </c>
      <c r="G530" s="4" t="s">
        <v>59</v>
      </c>
      <c r="H530" s="2" t="str">
        <f t="shared" ca="1" si="15"/>
        <v>[…]12/07/2019 10:26:12</v>
      </c>
      <c r="I530" s="2" t="str">
        <f t="shared" ca="1" si="14"/>
        <v>[…]12/07/2019 10:26:12</v>
      </c>
      <c r="J530" s="2" t="str">
        <f t="shared" ca="1" si="14"/>
        <v>[…]12/07/2019 10:26:12</v>
      </c>
      <c r="K530" s="2" t="str">
        <f t="shared" ca="1" si="14"/>
        <v>[…]12/07/2019 10:26:12</v>
      </c>
      <c r="L530" s="2" t="str">
        <f t="shared" ca="1" si="14"/>
        <v>[…]12/07/2019 10:26:12</v>
      </c>
    </row>
    <row r="531" spans="1:12" x14ac:dyDescent="0.25">
      <c r="A531" s="13" t="s">
        <v>19</v>
      </c>
      <c r="B531" s="4" t="str">
        <f t="shared" si="9"/>
        <v>PR19QA_CA004_OUT_1</v>
      </c>
      <c r="C531" s="12" t="str">
        <f t="shared" si="10"/>
        <v>SWBPR19QA_CA004_OUT_1</v>
      </c>
      <c r="D531" s="4" t="s">
        <v>268</v>
      </c>
      <c r="E531" s="4" t="s">
        <v>119</v>
      </c>
      <c r="F531" s="4" t="s">
        <v>76</v>
      </c>
      <c r="G531" s="4" t="s">
        <v>59</v>
      </c>
      <c r="H531" s="2" t="str">
        <f t="shared" ca="1" si="15"/>
        <v>[…]12/07/2019 10:26:12</v>
      </c>
      <c r="I531" s="2" t="str">
        <f t="shared" ca="1" si="14"/>
        <v>[…]12/07/2019 10:26:12</v>
      </c>
      <c r="J531" s="2" t="str">
        <f t="shared" ca="1" si="14"/>
        <v>[…]12/07/2019 10:26:12</v>
      </c>
      <c r="K531" s="2" t="str">
        <f t="shared" ca="1" si="14"/>
        <v>[…]12/07/2019 10:26:12</v>
      </c>
      <c r="L531" s="2" t="str">
        <f t="shared" ca="1" si="14"/>
        <v>[…]12/07/2019 10:26:12</v>
      </c>
    </row>
    <row r="532" spans="1:12" x14ac:dyDescent="0.25">
      <c r="A532" s="13" t="s">
        <v>9</v>
      </c>
      <c r="B532" s="4" t="str">
        <f t="shared" si="9"/>
        <v>PR19QA_CA004_OUT_1</v>
      </c>
      <c r="C532" s="12" t="str">
        <f t="shared" si="10"/>
        <v>TMSPR19QA_CA004_OUT_1</v>
      </c>
      <c r="D532" s="4" t="s">
        <v>268</v>
      </c>
      <c r="E532" s="4" t="s">
        <v>119</v>
      </c>
      <c r="F532" s="4" t="s">
        <v>76</v>
      </c>
      <c r="G532" s="4" t="s">
        <v>59</v>
      </c>
      <c r="H532" s="2" t="str">
        <f t="shared" ca="1" si="15"/>
        <v>[…]12/07/2019 10:26:12</v>
      </c>
      <c r="I532" s="2" t="str">
        <f t="shared" ca="1" si="14"/>
        <v>[…]12/07/2019 10:26:12</v>
      </c>
      <c r="J532" s="2" t="str">
        <f t="shared" ca="1" si="14"/>
        <v>[…]12/07/2019 10:26:12</v>
      </c>
      <c r="K532" s="2" t="str">
        <f t="shared" ca="1" si="14"/>
        <v>[…]12/07/2019 10:26:12</v>
      </c>
      <c r="L532" s="2" t="str">
        <f t="shared" ca="1" si="14"/>
        <v>[…]12/07/2019 10:26:12</v>
      </c>
    </row>
    <row r="533" spans="1:12" x14ac:dyDescent="0.25">
      <c r="A533" s="13" t="s">
        <v>23</v>
      </c>
      <c r="B533" s="4" t="str">
        <f t="shared" si="9"/>
        <v>PR19QA_CA004_OUT_1</v>
      </c>
      <c r="C533" s="12" t="str">
        <f t="shared" si="10"/>
        <v>WSHPR19QA_CA004_OUT_1</v>
      </c>
      <c r="D533" s="4" t="s">
        <v>268</v>
      </c>
      <c r="E533" s="4" t="s">
        <v>119</v>
      </c>
      <c r="F533" s="4" t="s">
        <v>76</v>
      </c>
      <c r="G533" s="4" t="s">
        <v>59</v>
      </c>
      <c r="H533" s="2" t="str">
        <f t="shared" ca="1" si="15"/>
        <v>[…]12/07/2019 10:26:12</v>
      </c>
      <c r="I533" s="2" t="str">
        <f t="shared" ca="1" si="14"/>
        <v>[…]12/07/2019 10:26:12</v>
      </c>
      <c r="J533" s="2" t="str">
        <f t="shared" ca="1" si="14"/>
        <v>[…]12/07/2019 10:26:12</v>
      </c>
      <c r="K533" s="2" t="str">
        <f t="shared" ca="1" si="14"/>
        <v>[…]12/07/2019 10:26:12</v>
      </c>
      <c r="L533" s="2" t="str">
        <f t="shared" ca="1" si="14"/>
        <v>[…]12/07/2019 10:26:12</v>
      </c>
    </row>
    <row r="534" spans="1:12" x14ac:dyDescent="0.25">
      <c r="A534" s="13" t="s">
        <v>10</v>
      </c>
      <c r="B534" s="4" t="str">
        <f t="shared" si="9"/>
        <v>PR19QA_CA004_OUT_1</v>
      </c>
      <c r="C534" s="12" t="str">
        <f t="shared" si="10"/>
        <v>WSXPR19QA_CA004_OUT_1</v>
      </c>
      <c r="D534" s="4" t="s">
        <v>268</v>
      </c>
      <c r="E534" s="4" t="s">
        <v>119</v>
      </c>
      <c r="F534" s="4" t="s">
        <v>76</v>
      </c>
      <c r="G534" s="4" t="s">
        <v>59</v>
      </c>
      <c r="H534" s="2" t="str">
        <f t="shared" ca="1" si="15"/>
        <v>[…]12/07/2019 10:26:12</v>
      </c>
      <c r="I534" s="2" t="str">
        <f t="shared" ca="1" si="14"/>
        <v>[…]12/07/2019 10:26:12</v>
      </c>
      <c r="J534" s="2" t="str">
        <f t="shared" ca="1" si="14"/>
        <v>[…]12/07/2019 10:26:12</v>
      </c>
      <c r="K534" s="2" t="str">
        <f t="shared" ca="1" si="14"/>
        <v>[…]12/07/2019 10:26:12</v>
      </c>
      <c r="L534" s="2" t="str">
        <f t="shared" ca="1" si="14"/>
        <v>[…]12/07/2019 10:26:12</v>
      </c>
    </row>
    <row r="535" spans="1:12" x14ac:dyDescent="0.25">
      <c r="A535" s="13" t="s">
        <v>11</v>
      </c>
      <c r="B535" s="4" t="str">
        <f t="shared" si="9"/>
        <v>PR19QA_CA004_OUT_1</v>
      </c>
      <c r="C535" s="12" t="str">
        <f t="shared" si="10"/>
        <v>YKYPR19QA_CA004_OUT_1</v>
      </c>
      <c r="D535" s="4" t="s">
        <v>268</v>
      </c>
      <c r="E535" s="4" t="s">
        <v>119</v>
      </c>
      <c r="F535" s="4" t="s">
        <v>76</v>
      </c>
      <c r="G535" s="4" t="s">
        <v>59</v>
      </c>
      <c r="H535" s="2" t="str">
        <f t="shared" ca="1" si="15"/>
        <v>[…]12/07/2019 10:26:12</v>
      </c>
      <c r="I535" s="2" t="str">
        <f t="shared" ca="1" si="14"/>
        <v>[…]12/07/2019 10:26:12</v>
      </c>
      <c r="J535" s="2" t="str">
        <f t="shared" ca="1" si="14"/>
        <v>[…]12/07/2019 10:26:12</v>
      </c>
      <c r="K535" s="2" t="str">
        <f t="shared" ca="1" si="14"/>
        <v>[…]12/07/2019 10:26:12</v>
      </c>
      <c r="L535" s="2" t="str">
        <f t="shared" ca="1" si="14"/>
        <v>[…]12/07/2019 10:26:12</v>
      </c>
    </row>
    <row r="536" spans="1:12" x14ac:dyDescent="0.25">
      <c r="A536" s="13" t="s">
        <v>12</v>
      </c>
      <c r="B536" s="4" t="str">
        <f t="shared" si="9"/>
        <v>PR19QA_CA004_OUT_1</v>
      </c>
      <c r="C536" s="12" t="str">
        <f t="shared" si="10"/>
        <v>AFWPR19QA_CA004_OUT_1</v>
      </c>
      <c r="D536" s="4" t="s">
        <v>268</v>
      </c>
      <c r="E536" s="4" t="s">
        <v>119</v>
      </c>
      <c r="F536" s="4" t="s">
        <v>76</v>
      </c>
      <c r="G536" s="4" t="s">
        <v>59</v>
      </c>
      <c r="H536" s="2" t="str">
        <f t="shared" ca="1" si="15"/>
        <v>[…]12/07/2019 10:26:12</v>
      </c>
      <c r="I536" s="2" t="str">
        <f t="shared" ca="1" si="14"/>
        <v>[…]12/07/2019 10:26:12</v>
      </c>
      <c r="J536" s="2" t="str">
        <f t="shared" ca="1" si="14"/>
        <v>[…]12/07/2019 10:26:12</v>
      </c>
      <c r="K536" s="2" t="str">
        <f t="shared" ca="1" si="14"/>
        <v>[…]12/07/2019 10:26:12</v>
      </c>
      <c r="L536" s="2" t="str">
        <f t="shared" ca="1" si="14"/>
        <v>[…]12/07/2019 10:26:12</v>
      </c>
    </row>
    <row r="537" spans="1:12" x14ac:dyDescent="0.25">
      <c r="A537" s="13" t="s">
        <v>13</v>
      </c>
      <c r="B537" s="4" t="str">
        <f t="shared" si="9"/>
        <v>PR19QA_CA004_OUT_1</v>
      </c>
      <c r="C537" s="12" t="str">
        <f t="shared" si="10"/>
        <v>BRLPR19QA_CA004_OUT_1</v>
      </c>
      <c r="D537" s="4" t="s">
        <v>268</v>
      </c>
      <c r="E537" s="4" t="s">
        <v>119</v>
      </c>
      <c r="F537" s="4" t="s">
        <v>76</v>
      </c>
      <c r="G537" s="4" t="s">
        <v>59</v>
      </c>
      <c r="H537" s="2" t="str">
        <f t="shared" ca="1" si="15"/>
        <v>[…]12/07/2019 10:26:12</v>
      </c>
      <c r="I537" s="2" t="str">
        <f t="shared" ca="1" si="14"/>
        <v>[…]12/07/2019 10:26:12</v>
      </c>
      <c r="J537" s="2" t="str">
        <f t="shared" ca="1" si="14"/>
        <v>[…]12/07/2019 10:26:12</v>
      </c>
      <c r="K537" s="2" t="str">
        <f t="shared" ca="1" si="14"/>
        <v>[…]12/07/2019 10:26:12</v>
      </c>
      <c r="L537" s="2" t="str">
        <f t="shared" ca="1" si="14"/>
        <v>[…]12/07/2019 10:26:12</v>
      </c>
    </row>
    <row r="538" spans="1:12" x14ac:dyDescent="0.25">
      <c r="A538" s="13" t="s">
        <v>14</v>
      </c>
      <c r="B538" s="4" t="str">
        <f t="shared" si="9"/>
        <v>PR19QA_CA004_OUT_1</v>
      </c>
      <c r="C538" s="12" t="str">
        <f t="shared" si="10"/>
        <v>DVWPR19QA_CA004_OUT_1</v>
      </c>
      <c r="D538" s="4" t="s">
        <v>268</v>
      </c>
      <c r="E538" s="4" t="s">
        <v>119</v>
      </c>
      <c r="F538" s="4" t="s">
        <v>76</v>
      </c>
      <c r="G538" s="4" t="s">
        <v>59</v>
      </c>
      <c r="H538" s="2" t="str">
        <f t="shared" ca="1" si="15"/>
        <v>[…]12/07/2019 10:26:12</v>
      </c>
      <c r="I538" s="2" t="str">
        <f t="shared" ca="1" si="14"/>
        <v>[…]12/07/2019 10:26:12</v>
      </c>
      <c r="J538" s="2" t="str">
        <f t="shared" ca="1" si="14"/>
        <v>[…]12/07/2019 10:26:12</v>
      </c>
      <c r="K538" s="2" t="str">
        <f t="shared" ca="1" si="14"/>
        <v>[…]12/07/2019 10:26:12</v>
      </c>
      <c r="L538" s="2" t="str">
        <f t="shared" ca="1" si="14"/>
        <v>[…]12/07/2019 10:26:12</v>
      </c>
    </row>
    <row r="539" spans="1:12" x14ac:dyDescent="0.25">
      <c r="A539" s="13" t="s">
        <v>15</v>
      </c>
      <c r="B539" s="4" t="str">
        <f t="shared" si="9"/>
        <v>PR19QA_CA004_OUT_1</v>
      </c>
      <c r="C539" s="12" t="str">
        <f t="shared" si="10"/>
        <v>PRTPR19QA_CA004_OUT_1</v>
      </c>
      <c r="D539" s="4" t="s">
        <v>268</v>
      </c>
      <c r="E539" s="4" t="s">
        <v>119</v>
      </c>
      <c r="F539" s="4" t="s">
        <v>76</v>
      </c>
      <c r="G539" s="4" t="s">
        <v>59</v>
      </c>
      <c r="H539" s="2" t="str">
        <f t="shared" ca="1" si="15"/>
        <v>[…]12/07/2019 10:26:12</v>
      </c>
      <c r="I539" s="2" t="str">
        <f t="shared" ca="1" si="14"/>
        <v>[…]12/07/2019 10:26:12</v>
      </c>
      <c r="J539" s="2" t="str">
        <f t="shared" ca="1" si="14"/>
        <v>[…]12/07/2019 10:26:12</v>
      </c>
      <c r="K539" s="2" t="str">
        <f t="shared" ca="1" si="14"/>
        <v>[…]12/07/2019 10:26:12</v>
      </c>
      <c r="L539" s="2" t="str">
        <f t="shared" ca="1" si="14"/>
        <v>[…]12/07/2019 10:26:12</v>
      </c>
    </row>
    <row r="540" spans="1:12" x14ac:dyDescent="0.25">
      <c r="A540" s="13" t="s">
        <v>16</v>
      </c>
      <c r="B540" s="4" t="str">
        <f t="shared" si="9"/>
        <v>PR19QA_CA004_OUT_1</v>
      </c>
      <c r="C540" s="12" t="str">
        <f t="shared" si="10"/>
        <v>SESPR19QA_CA004_OUT_1</v>
      </c>
      <c r="D540" s="4" t="s">
        <v>268</v>
      </c>
      <c r="E540" s="4" t="s">
        <v>119</v>
      </c>
      <c r="F540" s="4" t="s">
        <v>76</v>
      </c>
      <c r="G540" s="4" t="s">
        <v>59</v>
      </c>
      <c r="H540" s="2" t="str">
        <f t="shared" ref="H540:H542" ca="1" si="16">CONCATENATE("[…]", TEXT(NOW(),"dd/mm/yyy hh:mm:ss"))</f>
        <v>[…]12/07/2019 10:26:12</v>
      </c>
      <c r="I540" s="2" t="str">
        <f t="shared" ca="1" si="14"/>
        <v>[…]12/07/2019 10:26:12</v>
      </c>
      <c r="J540" s="2" t="str">
        <f t="shared" ca="1" si="14"/>
        <v>[…]12/07/2019 10:26:12</v>
      </c>
      <c r="K540" s="2" t="str">
        <f t="shared" ca="1" si="14"/>
        <v>[…]12/07/2019 10:26:12</v>
      </c>
      <c r="L540" s="2" t="str">
        <f t="shared" ca="1" si="14"/>
        <v>[…]12/07/2019 10:26:12</v>
      </c>
    </row>
    <row r="541" spans="1:12" x14ac:dyDescent="0.25">
      <c r="A541" s="13" t="s">
        <v>17</v>
      </c>
      <c r="B541" s="4" t="str">
        <f t="shared" si="9"/>
        <v>PR19QA_CA004_OUT_1</v>
      </c>
      <c r="C541" s="12" t="str">
        <f t="shared" si="10"/>
        <v>SEWPR19QA_CA004_OUT_1</v>
      </c>
      <c r="D541" s="4" t="s">
        <v>268</v>
      </c>
      <c r="E541" s="4" t="s">
        <v>119</v>
      </c>
      <c r="F541" s="4" t="s">
        <v>76</v>
      </c>
      <c r="G541" s="4" t="s">
        <v>59</v>
      </c>
      <c r="H541" s="2" t="str">
        <f t="shared" ca="1" si="16"/>
        <v>[…]12/07/2019 10:26:12</v>
      </c>
      <c r="I541" s="2" t="str">
        <f t="shared" ca="1" si="14"/>
        <v>[…]12/07/2019 10:26:12</v>
      </c>
      <c r="J541" s="2" t="str">
        <f t="shared" ca="1" si="14"/>
        <v>[…]12/07/2019 10:26:12</v>
      </c>
      <c r="K541" s="2" t="str">
        <f t="shared" ca="1" si="14"/>
        <v>[…]12/07/2019 10:26:12</v>
      </c>
      <c r="L541" s="2" t="str">
        <f t="shared" ca="1" si="14"/>
        <v>[…]12/07/2019 10:26:12</v>
      </c>
    </row>
    <row r="542" spans="1:12" x14ac:dyDescent="0.25">
      <c r="A542" s="13" t="s">
        <v>18</v>
      </c>
      <c r="B542" s="4" t="str">
        <f t="shared" si="9"/>
        <v>PR19QA_CA004_OUT_1</v>
      </c>
      <c r="C542" s="12" t="str">
        <f t="shared" si="10"/>
        <v>SSCPR19QA_CA004_OUT_1</v>
      </c>
      <c r="D542" s="4" t="s">
        <v>268</v>
      </c>
      <c r="E542" s="4" t="s">
        <v>119</v>
      </c>
      <c r="F542" s="4" t="s">
        <v>76</v>
      </c>
      <c r="G542" s="4" t="s">
        <v>59</v>
      </c>
      <c r="H542" s="2" t="str">
        <f t="shared" ca="1" si="16"/>
        <v>[…]12/07/2019 10:26:12</v>
      </c>
      <c r="I542" s="2" t="str">
        <f t="shared" ca="1" si="14"/>
        <v>[…]12/07/2019 10:26:12</v>
      </c>
      <c r="J542" s="2" t="str">
        <f t="shared" ca="1" si="14"/>
        <v>[…]12/07/2019 10:26:12</v>
      </c>
      <c r="K542" s="2" t="str">
        <f t="shared" ca="1" si="14"/>
        <v>[…]12/07/2019 10:26:12</v>
      </c>
      <c r="L542" s="2" t="str">
        <f t="shared" ca="1" si="14"/>
        <v>[…]12/07/2019 10:26:12</v>
      </c>
    </row>
    <row r="543" spans="1:12" x14ac:dyDescent="0.25">
      <c r="A543" s="13" t="s">
        <v>4</v>
      </c>
      <c r="B543" s="4" t="str">
        <f t="shared" si="9"/>
        <v>PR19QA_CA004_OUT_2</v>
      </c>
      <c r="C543" s="12" t="str">
        <f t="shared" si="10"/>
        <v>ANHPR19QA_CA004_OUT_2</v>
      </c>
      <c r="D543" s="4" t="s">
        <v>269</v>
      </c>
      <c r="E543" s="4" t="s">
        <v>120</v>
      </c>
      <c r="F543" s="4" t="s">
        <v>76</v>
      </c>
      <c r="G543" s="4" t="s">
        <v>59</v>
      </c>
      <c r="H543" s="2" t="str">
        <f ca="1">MID(CELL("filename",$E$1),SEARCH("[",CELL("filename",$E$1))+1,SEARCH(".",CELL("filename",$E$1))-1-SEARCH("[",CELL("filename",$E$1)))</f>
        <v>FM_WW4_ST_DD</v>
      </c>
      <c r="I543" s="2" t="str">
        <f t="shared" ref="I543:L558" ca="1" si="17">MID(CELL("filename",$E$1),SEARCH("[",CELL("filename",$E$1))+1,SEARCH(".",CELL("filename",$E$1))-1-SEARCH("[",CELL("filename",$E$1)))</f>
        <v>FM_WW4_ST_DD</v>
      </c>
      <c r="J543" s="2" t="str">
        <f t="shared" ca="1" si="17"/>
        <v>FM_WW4_ST_DD</v>
      </c>
      <c r="K543" s="2" t="str">
        <f t="shared" ca="1" si="17"/>
        <v>FM_WW4_ST_DD</v>
      </c>
      <c r="L543" s="2" t="str">
        <f t="shared" ca="1" si="17"/>
        <v>FM_WW4_ST_DD</v>
      </c>
    </row>
    <row r="544" spans="1:12" x14ac:dyDescent="0.25">
      <c r="A544" s="13" t="s">
        <v>90</v>
      </c>
      <c r="B544" s="4" t="str">
        <f t="shared" si="9"/>
        <v>PR19QA_CA004_OUT_2</v>
      </c>
      <c r="C544" s="12" t="str">
        <f t="shared" si="10"/>
        <v>HDDPR19QA_CA004_OUT_2</v>
      </c>
      <c r="D544" s="4" t="s">
        <v>269</v>
      </c>
      <c r="E544" s="4" t="s">
        <v>120</v>
      </c>
      <c r="F544" s="4" t="s">
        <v>76</v>
      </c>
      <c r="G544" s="4" t="s">
        <v>59</v>
      </c>
      <c r="H544" s="2" t="str">
        <f t="shared" ref="H544:L562" ca="1" si="18">MID(CELL("filename",$E$1),SEARCH("[",CELL("filename",$E$1))+1,SEARCH(".",CELL("filename",$E$1))-1-SEARCH("[",CELL("filename",$E$1)))</f>
        <v>FM_WW4_ST_DD</v>
      </c>
      <c r="I544" s="2" t="str">
        <f t="shared" ca="1" si="17"/>
        <v>FM_WW4_ST_DD</v>
      </c>
      <c r="J544" s="2" t="str">
        <f t="shared" ca="1" si="17"/>
        <v>FM_WW4_ST_DD</v>
      </c>
      <c r="K544" s="2" t="str">
        <f t="shared" ca="1" si="17"/>
        <v>FM_WW4_ST_DD</v>
      </c>
      <c r="L544" s="2" t="str">
        <f t="shared" ca="1" si="17"/>
        <v>FM_WW4_ST_DD</v>
      </c>
    </row>
    <row r="545" spans="1:12" x14ac:dyDescent="0.25">
      <c r="A545" s="13" t="s">
        <v>5</v>
      </c>
      <c r="B545" s="4" t="str">
        <f t="shared" si="9"/>
        <v>PR19QA_CA004_OUT_2</v>
      </c>
      <c r="C545" s="12" t="str">
        <f t="shared" si="10"/>
        <v>NESPR19QA_CA004_OUT_2</v>
      </c>
      <c r="D545" s="4" t="s">
        <v>269</v>
      </c>
      <c r="E545" s="4" t="s">
        <v>120</v>
      </c>
      <c r="F545" s="4" t="s">
        <v>76</v>
      </c>
      <c r="G545" s="4" t="s">
        <v>59</v>
      </c>
      <c r="H545" s="2" t="str">
        <f t="shared" ca="1" si="18"/>
        <v>FM_WW4_ST_DD</v>
      </c>
      <c r="I545" s="2" t="str">
        <f t="shared" ca="1" si="17"/>
        <v>FM_WW4_ST_DD</v>
      </c>
      <c r="J545" s="2" t="str">
        <f t="shared" ca="1" si="17"/>
        <v>FM_WW4_ST_DD</v>
      </c>
      <c r="K545" s="2" t="str">
        <f t="shared" ca="1" si="17"/>
        <v>FM_WW4_ST_DD</v>
      </c>
      <c r="L545" s="2" t="str">
        <f t="shared" ca="1" si="17"/>
        <v>FM_WW4_ST_DD</v>
      </c>
    </row>
    <row r="546" spans="1:12" x14ac:dyDescent="0.25">
      <c r="A546" s="13" t="s">
        <v>6</v>
      </c>
      <c r="B546" s="4" t="str">
        <f t="shared" si="9"/>
        <v>PR19QA_CA004_OUT_2</v>
      </c>
      <c r="C546" s="12" t="str">
        <f t="shared" si="10"/>
        <v>NWTPR19QA_CA004_OUT_2</v>
      </c>
      <c r="D546" s="4" t="s">
        <v>269</v>
      </c>
      <c r="E546" s="4" t="s">
        <v>120</v>
      </c>
      <c r="F546" s="4" t="s">
        <v>76</v>
      </c>
      <c r="G546" s="4" t="s">
        <v>59</v>
      </c>
      <c r="H546" s="2" t="str">
        <f t="shared" ca="1" si="18"/>
        <v>FM_WW4_ST_DD</v>
      </c>
      <c r="I546" s="2" t="str">
        <f t="shared" ca="1" si="17"/>
        <v>FM_WW4_ST_DD</v>
      </c>
      <c r="J546" s="2" t="str">
        <f t="shared" ca="1" si="17"/>
        <v>FM_WW4_ST_DD</v>
      </c>
      <c r="K546" s="2" t="str">
        <f t="shared" ca="1" si="17"/>
        <v>FM_WW4_ST_DD</v>
      </c>
      <c r="L546" s="2" t="str">
        <f t="shared" ca="1" si="17"/>
        <v>FM_WW4_ST_DD</v>
      </c>
    </row>
    <row r="547" spans="1:12" x14ac:dyDescent="0.25">
      <c r="A547" s="13" t="s">
        <v>7</v>
      </c>
      <c r="B547" s="4" t="str">
        <f t="shared" si="9"/>
        <v>PR19QA_CA004_OUT_2</v>
      </c>
      <c r="C547" s="12" t="str">
        <f t="shared" si="10"/>
        <v>SRNPR19QA_CA004_OUT_2</v>
      </c>
      <c r="D547" s="4" t="s">
        <v>269</v>
      </c>
      <c r="E547" s="4" t="s">
        <v>120</v>
      </c>
      <c r="F547" s="4" t="s">
        <v>76</v>
      </c>
      <c r="G547" s="4" t="s">
        <v>59</v>
      </c>
      <c r="H547" s="2" t="str">
        <f t="shared" ca="1" si="18"/>
        <v>FM_WW4_ST_DD</v>
      </c>
      <c r="I547" s="2" t="str">
        <f t="shared" ca="1" si="17"/>
        <v>FM_WW4_ST_DD</v>
      </c>
      <c r="J547" s="2" t="str">
        <f t="shared" ca="1" si="17"/>
        <v>FM_WW4_ST_DD</v>
      </c>
      <c r="K547" s="2" t="str">
        <f t="shared" ca="1" si="17"/>
        <v>FM_WW4_ST_DD</v>
      </c>
      <c r="L547" s="2" t="str">
        <f t="shared" ca="1" si="17"/>
        <v>FM_WW4_ST_DD</v>
      </c>
    </row>
    <row r="548" spans="1:12" x14ac:dyDescent="0.25">
      <c r="A548" s="13" t="s">
        <v>89</v>
      </c>
      <c r="B548" s="4" t="str">
        <f t="shared" si="9"/>
        <v>PR19QA_CA004_OUT_2</v>
      </c>
      <c r="C548" s="12" t="str">
        <f t="shared" si="10"/>
        <v>SVEPR19QA_CA004_OUT_2</v>
      </c>
      <c r="D548" s="4" t="s">
        <v>269</v>
      </c>
      <c r="E548" s="4" t="s">
        <v>120</v>
      </c>
      <c r="F548" s="4" t="s">
        <v>76</v>
      </c>
      <c r="G548" s="4" t="s">
        <v>59</v>
      </c>
      <c r="H548" s="2" t="str">
        <f t="shared" ca="1" si="18"/>
        <v>FM_WW4_ST_DD</v>
      </c>
      <c r="I548" s="2" t="str">
        <f t="shared" ca="1" si="17"/>
        <v>FM_WW4_ST_DD</v>
      </c>
      <c r="J548" s="2" t="str">
        <f t="shared" ca="1" si="17"/>
        <v>FM_WW4_ST_DD</v>
      </c>
      <c r="K548" s="2" t="str">
        <f t="shared" ca="1" si="17"/>
        <v>FM_WW4_ST_DD</v>
      </c>
      <c r="L548" s="2" t="str">
        <f t="shared" ca="1" si="17"/>
        <v>FM_WW4_ST_DD</v>
      </c>
    </row>
    <row r="549" spans="1:12" x14ac:dyDescent="0.25">
      <c r="A549" s="13" t="s">
        <v>93</v>
      </c>
      <c r="B549" s="4" t="str">
        <f t="shared" si="9"/>
        <v>PR19QA_CA004_OUT_2</v>
      </c>
      <c r="C549" s="12" t="str">
        <f t="shared" si="10"/>
        <v>SVHPR19QA_CA004_OUT_2</v>
      </c>
      <c r="D549" s="4" t="s">
        <v>269</v>
      </c>
      <c r="E549" s="4" t="s">
        <v>120</v>
      </c>
      <c r="F549" s="4" t="s">
        <v>76</v>
      </c>
      <c r="G549" s="4" t="s">
        <v>59</v>
      </c>
      <c r="H549" s="2" t="str">
        <f t="shared" ca="1" si="18"/>
        <v>FM_WW4_ST_DD</v>
      </c>
      <c r="I549" s="2" t="str">
        <f t="shared" ca="1" si="17"/>
        <v>FM_WW4_ST_DD</v>
      </c>
      <c r="J549" s="2" t="str">
        <f t="shared" ca="1" si="17"/>
        <v>FM_WW4_ST_DD</v>
      </c>
      <c r="K549" s="2" t="str">
        <f t="shared" ca="1" si="17"/>
        <v>FM_WW4_ST_DD</v>
      </c>
      <c r="L549" s="2" t="str">
        <f t="shared" ca="1" si="17"/>
        <v>FM_WW4_ST_DD</v>
      </c>
    </row>
    <row r="550" spans="1:12" x14ac:dyDescent="0.25">
      <c r="A550" s="13" t="s">
        <v>8</v>
      </c>
      <c r="B550" s="4" t="str">
        <f t="shared" si="9"/>
        <v>PR19QA_CA004_OUT_2</v>
      </c>
      <c r="C550" s="12" t="str">
        <f t="shared" si="10"/>
        <v>SVTPR19QA_CA004_OUT_2</v>
      </c>
      <c r="D550" s="4" t="s">
        <v>269</v>
      </c>
      <c r="E550" s="4" t="s">
        <v>120</v>
      </c>
      <c r="F550" s="4" t="s">
        <v>76</v>
      </c>
      <c r="G550" s="4" t="s">
        <v>59</v>
      </c>
      <c r="H550" s="2" t="str">
        <f t="shared" ca="1" si="18"/>
        <v>FM_WW4_ST_DD</v>
      </c>
      <c r="I550" s="2" t="str">
        <f t="shared" ca="1" si="17"/>
        <v>FM_WW4_ST_DD</v>
      </c>
      <c r="J550" s="2" t="str">
        <f t="shared" ca="1" si="17"/>
        <v>FM_WW4_ST_DD</v>
      </c>
      <c r="K550" s="2" t="str">
        <f t="shared" ca="1" si="17"/>
        <v>FM_WW4_ST_DD</v>
      </c>
      <c r="L550" s="2" t="str">
        <f t="shared" ca="1" si="17"/>
        <v>FM_WW4_ST_DD</v>
      </c>
    </row>
    <row r="551" spans="1:12" x14ac:dyDescent="0.25">
      <c r="A551" s="13" t="s">
        <v>19</v>
      </c>
      <c r="B551" s="4" t="str">
        <f t="shared" si="9"/>
        <v>PR19QA_CA004_OUT_2</v>
      </c>
      <c r="C551" s="12" t="str">
        <f t="shared" si="10"/>
        <v>SWBPR19QA_CA004_OUT_2</v>
      </c>
      <c r="D551" s="4" t="s">
        <v>269</v>
      </c>
      <c r="E551" s="4" t="s">
        <v>120</v>
      </c>
      <c r="F551" s="4" t="s">
        <v>76</v>
      </c>
      <c r="G551" s="4" t="s">
        <v>59</v>
      </c>
      <c r="H551" s="2" t="str">
        <f t="shared" ca="1" si="18"/>
        <v>FM_WW4_ST_DD</v>
      </c>
      <c r="I551" s="2" t="str">
        <f t="shared" ca="1" si="17"/>
        <v>FM_WW4_ST_DD</v>
      </c>
      <c r="J551" s="2" t="str">
        <f t="shared" ca="1" si="17"/>
        <v>FM_WW4_ST_DD</v>
      </c>
      <c r="K551" s="2" t="str">
        <f t="shared" ca="1" si="17"/>
        <v>FM_WW4_ST_DD</v>
      </c>
      <c r="L551" s="2" t="str">
        <f t="shared" ca="1" si="17"/>
        <v>FM_WW4_ST_DD</v>
      </c>
    </row>
    <row r="552" spans="1:12" x14ac:dyDescent="0.25">
      <c r="A552" s="13" t="s">
        <v>9</v>
      </c>
      <c r="B552" s="4" t="str">
        <f t="shared" si="9"/>
        <v>PR19QA_CA004_OUT_2</v>
      </c>
      <c r="C552" s="12" t="str">
        <f t="shared" si="10"/>
        <v>TMSPR19QA_CA004_OUT_2</v>
      </c>
      <c r="D552" s="4" t="s">
        <v>269</v>
      </c>
      <c r="E552" s="4" t="s">
        <v>120</v>
      </c>
      <c r="F552" s="4" t="s">
        <v>76</v>
      </c>
      <c r="G552" s="4" t="s">
        <v>59</v>
      </c>
      <c r="H552" s="2" t="str">
        <f t="shared" ca="1" si="18"/>
        <v>FM_WW4_ST_DD</v>
      </c>
      <c r="I552" s="2" t="str">
        <f t="shared" ca="1" si="17"/>
        <v>FM_WW4_ST_DD</v>
      </c>
      <c r="J552" s="2" t="str">
        <f t="shared" ca="1" si="17"/>
        <v>FM_WW4_ST_DD</v>
      </c>
      <c r="K552" s="2" t="str">
        <f t="shared" ca="1" si="17"/>
        <v>FM_WW4_ST_DD</v>
      </c>
      <c r="L552" s="2" t="str">
        <f t="shared" ca="1" si="17"/>
        <v>FM_WW4_ST_DD</v>
      </c>
    </row>
    <row r="553" spans="1:12" x14ac:dyDescent="0.25">
      <c r="A553" s="13" t="s">
        <v>23</v>
      </c>
      <c r="B553" s="4" t="str">
        <f t="shared" si="9"/>
        <v>PR19QA_CA004_OUT_2</v>
      </c>
      <c r="C553" s="12" t="str">
        <f t="shared" si="10"/>
        <v>WSHPR19QA_CA004_OUT_2</v>
      </c>
      <c r="D553" s="4" t="s">
        <v>269</v>
      </c>
      <c r="E553" s="4" t="s">
        <v>120</v>
      </c>
      <c r="F553" s="4" t="s">
        <v>76</v>
      </c>
      <c r="G553" s="4" t="s">
        <v>59</v>
      </c>
      <c r="H553" s="2" t="str">
        <f t="shared" ca="1" si="18"/>
        <v>FM_WW4_ST_DD</v>
      </c>
      <c r="I553" s="2" t="str">
        <f t="shared" ca="1" si="17"/>
        <v>FM_WW4_ST_DD</v>
      </c>
      <c r="J553" s="2" t="str">
        <f t="shared" ca="1" si="17"/>
        <v>FM_WW4_ST_DD</v>
      </c>
      <c r="K553" s="2" t="str">
        <f t="shared" ca="1" si="17"/>
        <v>FM_WW4_ST_DD</v>
      </c>
      <c r="L553" s="2" t="str">
        <f t="shared" ca="1" si="17"/>
        <v>FM_WW4_ST_DD</v>
      </c>
    </row>
    <row r="554" spans="1:12" x14ac:dyDescent="0.25">
      <c r="A554" s="13" t="s">
        <v>10</v>
      </c>
      <c r="B554" s="4" t="str">
        <f t="shared" si="9"/>
        <v>PR19QA_CA004_OUT_2</v>
      </c>
      <c r="C554" s="12" t="str">
        <f t="shared" si="10"/>
        <v>WSXPR19QA_CA004_OUT_2</v>
      </c>
      <c r="D554" s="4" t="s">
        <v>269</v>
      </c>
      <c r="E554" s="4" t="s">
        <v>120</v>
      </c>
      <c r="F554" s="4" t="s">
        <v>76</v>
      </c>
      <c r="G554" s="4" t="s">
        <v>59</v>
      </c>
      <c r="H554" s="2" t="str">
        <f t="shared" ca="1" si="18"/>
        <v>FM_WW4_ST_DD</v>
      </c>
      <c r="I554" s="2" t="str">
        <f t="shared" ca="1" si="17"/>
        <v>FM_WW4_ST_DD</v>
      </c>
      <c r="J554" s="2" t="str">
        <f t="shared" ca="1" si="17"/>
        <v>FM_WW4_ST_DD</v>
      </c>
      <c r="K554" s="2" t="str">
        <f t="shared" ca="1" si="17"/>
        <v>FM_WW4_ST_DD</v>
      </c>
      <c r="L554" s="2" t="str">
        <f t="shared" ca="1" si="17"/>
        <v>FM_WW4_ST_DD</v>
      </c>
    </row>
    <row r="555" spans="1:12" x14ac:dyDescent="0.25">
      <c r="A555" s="13" t="s">
        <v>11</v>
      </c>
      <c r="B555" s="4" t="str">
        <f t="shared" si="9"/>
        <v>PR19QA_CA004_OUT_2</v>
      </c>
      <c r="C555" s="12" t="str">
        <f t="shared" si="10"/>
        <v>YKYPR19QA_CA004_OUT_2</v>
      </c>
      <c r="D555" s="4" t="s">
        <v>269</v>
      </c>
      <c r="E555" s="4" t="s">
        <v>120</v>
      </c>
      <c r="F555" s="4" t="s">
        <v>76</v>
      </c>
      <c r="G555" s="4" t="s">
        <v>59</v>
      </c>
      <c r="H555" s="2" t="str">
        <f t="shared" ca="1" si="18"/>
        <v>FM_WW4_ST_DD</v>
      </c>
      <c r="I555" s="2" t="str">
        <f t="shared" ca="1" si="17"/>
        <v>FM_WW4_ST_DD</v>
      </c>
      <c r="J555" s="2" t="str">
        <f t="shared" ca="1" si="17"/>
        <v>FM_WW4_ST_DD</v>
      </c>
      <c r="K555" s="2" t="str">
        <f t="shared" ca="1" si="17"/>
        <v>FM_WW4_ST_DD</v>
      </c>
      <c r="L555" s="2" t="str">
        <f t="shared" ca="1" si="17"/>
        <v>FM_WW4_ST_DD</v>
      </c>
    </row>
    <row r="556" spans="1:12" x14ac:dyDescent="0.25">
      <c r="A556" s="13" t="s">
        <v>12</v>
      </c>
      <c r="B556" s="4" t="str">
        <f t="shared" ref="B556:B562" si="19">D556</f>
        <v>PR19QA_CA004_OUT_2</v>
      </c>
      <c r="C556" s="12" t="str">
        <f t="shared" si="10"/>
        <v>AFWPR19QA_CA004_OUT_2</v>
      </c>
      <c r="D556" s="4" t="s">
        <v>269</v>
      </c>
      <c r="E556" s="4" t="s">
        <v>120</v>
      </c>
      <c r="F556" s="4" t="s">
        <v>76</v>
      </c>
      <c r="G556" s="4" t="s">
        <v>59</v>
      </c>
      <c r="H556" s="2" t="str">
        <f t="shared" ca="1" si="18"/>
        <v>FM_WW4_ST_DD</v>
      </c>
      <c r="I556" s="2" t="str">
        <f t="shared" ca="1" si="17"/>
        <v>FM_WW4_ST_DD</v>
      </c>
      <c r="J556" s="2" t="str">
        <f t="shared" ca="1" si="17"/>
        <v>FM_WW4_ST_DD</v>
      </c>
      <c r="K556" s="2" t="str">
        <f t="shared" ca="1" si="17"/>
        <v>FM_WW4_ST_DD</v>
      </c>
      <c r="L556" s="2" t="str">
        <f t="shared" ca="1" si="17"/>
        <v>FM_WW4_ST_DD</v>
      </c>
    </row>
    <row r="557" spans="1:12" x14ac:dyDescent="0.25">
      <c r="A557" s="13" t="s">
        <v>13</v>
      </c>
      <c r="B557" s="4" t="str">
        <f t="shared" si="19"/>
        <v>PR19QA_CA004_OUT_2</v>
      </c>
      <c r="C557" s="12" t="str">
        <f t="shared" si="10"/>
        <v>BRLPR19QA_CA004_OUT_2</v>
      </c>
      <c r="D557" s="4" t="s">
        <v>269</v>
      </c>
      <c r="E557" s="4" t="s">
        <v>120</v>
      </c>
      <c r="F557" s="4" t="s">
        <v>76</v>
      </c>
      <c r="G557" s="4" t="s">
        <v>59</v>
      </c>
      <c r="H557" s="2" t="str">
        <f t="shared" ca="1" si="18"/>
        <v>FM_WW4_ST_DD</v>
      </c>
      <c r="I557" s="2" t="str">
        <f t="shared" ca="1" si="17"/>
        <v>FM_WW4_ST_DD</v>
      </c>
      <c r="J557" s="2" t="str">
        <f t="shared" ca="1" si="17"/>
        <v>FM_WW4_ST_DD</v>
      </c>
      <c r="K557" s="2" t="str">
        <f t="shared" ca="1" si="17"/>
        <v>FM_WW4_ST_DD</v>
      </c>
      <c r="L557" s="2" t="str">
        <f t="shared" ca="1" si="17"/>
        <v>FM_WW4_ST_DD</v>
      </c>
    </row>
    <row r="558" spans="1:12" x14ac:dyDescent="0.25">
      <c r="A558" s="13" t="s">
        <v>14</v>
      </c>
      <c r="B558" s="4" t="str">
        <f t="shared" si="19"/>
        <v>PR19QA_CA004_OUT_2</v>
      </c>
      <c r="C558" s="12" t="str">
        <f t="shared" si="10"/>
        <v>DVWPR19QA_CA004_OUT_2</v>
      </c>
      <c r="D558" s="4" t="s">
        <v>269</v>
      </c>
      <c r="E558" s="4" t="s">
        <v>120</v>
      </c>
      <c r="F558" s="4" t="s">
        <v>76</v>
      </c>
      <c r="G558" s="4" t="s">
        <v>59</v>
      </c>
      <c r="H558" s="2" t="str">
        <f t="shared" ca="1" si="18"/>
        <v>FM_WW4_ST_DD</v>
      </c>
      <c r="I558" s="2" t="str">
        <f t="shared" ca="1" si="17"/>
        <v>FM_WW4_ST_DD</v>
      </c>
      <c r="J558" s="2" t="str">
        <f t="shared" ca="1" si="17"/>
        <v>FM_WW4_ST_DD</v>
      </c>
      <c r="K558" s="2" t="str">
        <f t="shared" ca="1" si="17"/>
        <v>FM_WW4_ST_DD</v>
      </c>
      <c r="L558" s="2" t="str">
        <f t="shared" ca="1" si="17"/>
        <v>FM_WW4_ST_DD</v>
      </c>
    </row>
    <row r="559" spans="1:12" x14ac:dyDescent="0.25">
      <c r="A559" s="13" t="s">
        <v>15</v>
      </c>
      <c r="B559" s="4" t="str">
        <f t="shared" si="19"/>
        <v>PR19QA_CA004_OUT_2</v>
      </c>
      <c r="C559" s="12" t="str">
        <f t="shared" si="10"/>
        <v>PRTPR19QA_CA004_OUT_2</v>
      </c>
      <c r="D559" s="4" t="s">
        <v>269</v>
      </c>
      <c r="E559" s="4" t="s">
        <v>120</v>
      </c>
      <c r="F559" s="4" t="s">
        <v>76</v>
      </c>
      <c r="G559" s="4" t="s">
        <v>59</v>
      </c>
      <c r="H559" s="2" t="str">
        <f t="shared" ca="1" si="18"/>
        <v>FM_WW4_ST_DD</v>
      </c>
      <c r="I559" s="2" t="str">
        <f t="shared" ca="1" si="18"/>
        <v>FM_WW4_ST_DD</v>
      </c>
      <c r="J559" s="2" t="str">
        <f t="shared" ca="1" si="18"/>
        <v>FM_WW4_ST_DD</v>
      </c>
      <c r="K559" s="2" t="str">
        <f t="shared" ca="1" si="18"/>
        <v>FM_WW4_ST_DD</v>
      </c>
      <c r="L559" s="2" t="str">
        <f t="shared" ca="1" si="18"/>
        <v>FM_WW4_ST_DD</v>
      </c>
    </row>
    <row r="560" spans="1:12" x14ac:dyDescent="0.25">
      <c r="A560" s="13" t="s">
        <v>16</v>
      </c>
      <c r="B560" s="4" t="str">
        <f t="shared" si="19"/>
        <v>PR19QA_CA004_OUT_2</v>
      </c>
      <c r="C560" s="12" t="str">
        <f t="shared" si="10"/>
        <v>SESPR19QA_CA004_OUT_2</v>
      </c>
      <c r="D560" s="4" t="s">
        <v>269</v>
      </c>
      <c r="E560" s="4" t="s">
        <v>120</v>
      </c>
      <c r="F560" s="4" t="s">
        <v>76</v>
      </c>
      <c r="G560" s="4" t="s">
        <v>59</v>
      </c>
      <c r="H560" s="2" t="str">
        <f t="shared" ca="1" si="18"/>
        <v>FM_WW4_ST_DD</v>
      </c>
      <c r="I560" s="2" t="str">
        <f t="shared" ca="1" si="18"/>
        <v>FM_WW4_ST_DD</v>
      </c>
      <c r="J560" s="2" t="str">
        <f t="shared" ca="1" si="18"/>
        <v>FM_WW4_ST_DD</v>
      </c>
      <c r="K560" s="2" t="str">
        <f t="shared" ca="1" si="18"/>
        <v>FM_WW4_ST_DD</v>
      </c>
      <c r="L560" s="2" t="str">
        <f t="shared" ca="1" si="18"/>
        <v>FM_WW4_ST_DD</v>
      </c>
    </row>
    <row r="561" spans="1:12" x14ac:dyDescent="0.25">
      <c r="A561" s="13" t="s">
        <v>17</v>
      </c>
      <c r="B561" s="4" t="str">
        <f t="shared" si="19"/>
        <v>PR19QA_CA004_OUT_2</v>
      </c>
      <c r="C561" s="12" t="str">
        <f t="shared" si="10"/>
        <v>SEWPR19QA_CA004_OUT_2</v>
      </c>
      <c r="D561" s="4" t="s">
        <v>269</v>
      </c>
      <c r="E561" s="4" t="s">
        <v>120</v>
      </c>
      <c r="F561" s="4" t="s">
        <v>76</v>
      </c>
      <c r="G561" s="4" t="s">
        <v>59</v>
      </c>
      <c r="H561" s="2" t="str">
        <f t="shared" ca="1" si="18"/>
        <v>FM_WW4_ST_DD</v>
      </c>
      <c r="I561" s="2" t="str">
        <f t="shared" ca="1" si="18"/>
        <v>FM_WW4_ST_DD</v>
      </c>
      <c r="J561" s="2" t="str">
        <f t="shared" ca="1" si="18"/>
        <v>FM_WW4_ST_DD</v>
      </c>
      <c r="K561" s="2" t="str">
        <f t="shared" ca="1" si="18"/>
        <v>FM_WW4_ST_DD</v>
      </c>
      <c r="L561" s="2" t="str">
        <f t="shared" ca="1" si="18"/>
        <v>FM_WW4_ST_DD</v>
      </c>
    </row>
    <row r="562" spans="1:12" x14ac:dyDescent="0.25">
      <c r="A562" s="13" t="s">
        <v>18</v>
      </c>
      <c r="B562" s="4" t="str">
        <f t="shared" si="19"/>
        <v>PR19QA_CA004_OUT_2</v>
      </c>
      <c r="C562" s="12" t="str">
        <f t="shared" ref="C562" si="20">A562&amp;B562</f>
        <v>SSCPR19QA_CA004_OUT_2</v>
      </c>
      <c r="D562" s="4" t="s">
        <v>269</v>
      </c>
      <c r="E562" s="4" t="s">
        <v>120</v>
      </c>
      <c r="F562" s="4" t="s">
        <v>76</v>
      </c>
      <c r="G562" s="4" t="s">
        <v>59</v>
      </c>
      <c r="H562" s="2" t="str">
        <f t="shared" ca="1" si="18"/>
        <v>FM_WW4_ST_DD</v>
      </c>
      <c r="I562" s="2" t="str">
        <f t="shared" ca="1" si="18"/>
        <v>FM_WW4_ST_DD</v>
      </c>
      <c r="J562" s="2" t="str">
        <f t="shared" ca="1" si="18"/>
        <v>FM_WW4_ST_DD</v>
      </c>
      <c r="K562" s="2" t="str">
        <f t="shared" ca="1" si="18"/>
        <v>FM_WW4_ST_DD</v>
      </c>
      <c r="L562" s="2" t="str">
        <f t="shared" ca="1" si="18"/>
        <v>FM_WW4_ST_DD</v>
      </c>
    </row>
  </sheetData>
  <autoFilter ref="A2:L56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1"/>
  </sheetPr>
  <dimension ref="A1"/>
  <sheetViews>
    <sheetView showGridLines="0" workbookViewId="0"/>
  </sheetViews>
  <sheetFormatPr defaultRowHeight="14.25" x14ac:dyDescent="0.2"/>
  <sheetData>
    <row r="1" spans="1:1" x14ac:dyDescent="0.2">
      <c r="A1" s="220"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3:Q28"/>
  <sheetViews>
    <sheetView showGridLines="0" zoomScale="80" zoomScaleNormal="80" workbookViewId="0"/>
  </sheetViews>
  <sheetFormatPr defaultColWidth="9" defaultRowHeight="12.75" x14ac:dyDescent="0.2"/>
  <cols>
    <col min="1" max="1" width="1.625" style="20" customWidth="1"/>
    <col min="2" max="2" width="2.625" style="20" customWidth="1"/>
    <col min="3" max="3" width="10.625" style="20" customWidth="1"/>
    <col min="4" max="4" width="10" style="20" bestFit="1" customWidth="1"/>
    <col min="5" max="5" width="11.625" style="20" customWidth="1"/>
    <col min="6" max="6" width="8.625" style="20" bestFit="1" customWidth="1"/>
    <col min="7" max="8" width="9" style="20"/>
    <col min="9" max="9" width="9.625" style="20" customWidth="1"/>
    <col min="10" max="10" width="12" style="20" customWidth="1"/>
    <col min="11" max="16384" width="9" style="20"/>
  </cols>
  <sheetData>
    <row r="3" spans="2:13" x14ac:dyDescent="0.2">
      <c r="C3" s="81" t="s">
        <v>102</v>
      </c>
    </row>
    <row r="5" spans="2:13" ht="13.5" customHeight="1" x14ac:dyDescent="0.2">
      <c r="C5" s="23" t="s">
        <v>103</v>
      </c>
      <c r="D5" s="24"/>
      <c r="E5" s="25"/>
      <c r="F5" s="87">
        <v>0.95834601119011198</v>
      </c>
      <c r="G5" s="20" t="s">
        <v>104</v>
      </c>
    </row>
    <row r="6" spans="2:13" ht="13.5" customHeight="1" x14ac:dyDescent="0.2">
      <c r="C6" s="21" t="s">
        <v>105</v>
      </c>
      <c r="D6" s="21"/>
      <c r="E6" s="21"/>
      <c r="F6" s="87">
        <f>'Modelled costs'!$W$25</f>
        <v>0.91110746494632211</v>
      </c>
      <c r="G6" s="20" t="s">
        <v>104</v>
      </c>
    </row>
    <row r="7" spans="2:13" ht="14.25" customHeight="1" x14ac:dyDescent="0.2">
      <c r="C7" s="22"/>
      <c r="D7" s="22"/>
      <c r="E7" s="22"/>
      <c r="F7" s="84"/>
    </row>
    <row r="8" spans="2:13" x14ac:dyDescent="0.2">
      <c r="C8" s="81"/>
      <c r="G8" s="81" t="s">
        <v>115</v>
      </c>
      <c r="H8" s="22"/>
      <c r="I8" s="22"/>
      <c r="J8" s="22"/>
      <c r="K8" s="82"/>
    </row>
    <row r="9" spans="2:13" x14ac:dyDescent="0.2">
      <c r="G9" s="21" t="s">
        <v>106</v>
      </c>
      <c r="I9" s="22"/>
      <c r="J9" s="22"/>
      <c r="K9" s="82"/>
    </row>
    <row r="10" spans="2:13" x14ac:dyDescent="0.2">
      <c r="C10" s="21" t="str">
        <f>IF($G$9="Historical",$C$5,$C$6)</f>
        <v>Within sector catch-up - historical</v>
      </c>
      <c r="D10" s="21"/>
      <c r="E10" s="21"/>
      <c r="G10" s="87">
        <f>IF($G$9="Historical",$F$5,$F$6)</f>
        <v>0.95834601119011198</v>
      </c>
      <c r="I10" s="241" t="s">
        <v>410</v>
      </c>
      <c r="J10" s="241"/>
      <c r="K10" s="241"/>
      <c r="L10" s="241"/>
      <c r="M10" s="241"/>
    </row>
    <row r="11" spans="2:13" ht="25.5" x14ac:dyDescent="0.2">
      <c r="C11" s="17" t="s">
        <v>116</v>
      </c>
      <c r="D11" s="176" t="s">
        <v>34</v>
      </c>
      <c r="E11" s="176" t="s">
        <v>353</v>
      </c>
      <c r="F11" s="176" t="s">
        <v>354</v>
      </c>
      <c r="G11" s="176" t="s">
        <v>379</v>
      </c>
      <c r="I11" s="241"/>
      <c r="J11" s="241"/>
      <c r="K11" s="241"/>
      <c r="L11" s="241"/>
      <c r="M11" s="241"/>
    </row>
    <row r="12" spans="2:13" x14ac:dyDescent="0.2">
      <c r="B12" s="21">
        <v>1</v>
      </c>
      <c r="C12" s="17">
        <v>2021</v>
      </c>
      <c r="D12" s="177">
        <v>1.4999999999999999E-2</v>
      </c>
      <c r="E12" s="177">
        <v>4.0000000000000001E-3</v>
      </c>
      <c r="F12" s="177">
        <f>D12-E12</f>
        <v>1.0999999999999999E-2</v>
      </c>
      <c r="G12" s="177">
        <f>IF($G$9="Historical",F12,0)</f>
        <v>1.0999999999999999E-2</v>
      </c>
      <c r="I12" s="241"/>
      <c r="J12" s="241"/>
      <c r="K12" s="241"/>
      <c r="L12" s="241"/>
      <c r="M12" s="241"/>
    </row>
    <row r="13" spans="2:13" x14ac:dyDescent="0.2">
      <c r="B13" s="21">
        <v>2</v>
      </c>
      <c r="C13" s="17">
        <v>2022</v>
      </c>
      <c r="D13" s="177">
        <v>1.4999999999999999E-2</v>
      </c>
      <c r="E13" s="177">
        <v>3.8999999999999998E-3</v>
      </c>
      <c r="F13" s="177">
        <f t="shared" ref="F13:F16" si="0">D13-E13</f>
        <v>1.1099999999999999E-2</v>
      </c>
      <c r="G13" s="177">
        <f>IF(G9="Historical",(1+F12)*(1+F13)-1,0)</f>
        <v>2.22220999999998E-2</v>
      </c>
      <c r="I13" s="241"/>
      <c r="J13" s="241"/>
      <c r="K13" s="241"/>
      <c r="L13" s="241"/>
      <c r="M13" s="241"/>
    </row>
    <row r="14" spans="2:13" x14ac:dyDescent="0.2">
      <c r="B14" s="21">
        <v>3</v>
      </c>
      <c r="C14" s="17">
        <v>2023</v>
      </c>
      <c r="D14" s="177">
        <v>1.4999999999999999E-2</v>
      </c>
      <c r="E14" s="177">
        <v>4.1000000000000003E-3</v>
      </c>
      <c r="F14" s="177">
        <f t="shared" si="0"/>
        <v>1.09E-2</v>
      </c>
      <c r="G14" s="177">
        <f>IF(G9="Historical",(1+F12)*(1+F13)*(1+F14)-1,0)</f>
        <v>3.3364320889999632E-2</v>
      </c>
      <c r="I14" s="85"/>
      <c r="J14" s="22"/>
      <c r="K14" s="82"/>
    </row>
    <row r="15" spans="2:13" x14ac:dyDescent="0.2">
      <c r="B15" s="21">
        <v>4</v>
      </c>
      <c r="C15" s="17">
        <v>2024</v>
      </c>
      <c r="D15" s="177">
        <v>1.4999999999999999E-2</v>
      </c>
      <c r="E15" s="177">
        <v>4.4999999999999997E-3</v>
      </c>
      <c r="F15" s="177">
        <f t="shared" si="0"/>
        <v>1.0499999999999999E-2</v>
      </c>
      <c r="G15" s="177">
        <f>IF(G9="Historical",(1+F12)*(1+F13)*(1+F14)*(1+F15)-1,0)</f>
        <v>4.4214646259344681E-2</v>
      </c>
      <c r="I15" s="85"/>
      <c r="J15" s="22"/>
      <c r="K15" s="82"/>
    </row>
    <row r="16" spans="2:13" x14ac:dyDescent="0.2">
      <c r="B16" s="21">
        <v>5</v>
      </c>
      <c r="C16" s="17">
        <v>2025</v>
      </c>
      <c r="D16" s="177">
        <v>1.4999999999999999E-2</v>
      </c>
      <c r="E16" s="177">
        <v>4.8999999999999998E-3</v>
      </c>
      <c r="F16" s="177">
        <f t="shared" si="0"/>
        <v>1.01E-2</v>
      </c>
      <c r="G16" s="177">
        <f>IF(G9="Historical",(1+F12)*(1+F13)*(1+F14)*(1+F15)*(1+F16)-1,0)</f>
        <v>5.47612141865641E-2</v>
      </c>
      <c r="I16" s="85"/>
      <c r="J16" s="22"/>
      <c r="K16" s="82"/>
    </row>
    <row r="18" spans="3:17" x14ac:dyDescent="0.2">
      <c r="C18" s="81" t="s">
        <v>99</v>
      </c>
      <c r="G18" s="81" t="s">
        <v>404</v>
      </c>
    </row>
    <row r="19" spans="3:17" x14ac:dyDescent="0.2">
      <c r="C19" s="81"/>
      <c r="K19" s="22"/>
      <c r="L19" s="22"/>
      <c r="M19" s="22"/>
      <c r="N19" s="22"/>
      <c r="O19" s="22"/>
      <c r="P19" s="22"/>
      <c r="Q19" s="22"/>
    </row>
    <row r="20" spans="3:17" x14ac:dyDescent="0.2">
      <c r="C20" s="21" t="s">
        <v>35</v>
      </c>
      <c r="D20" s="88">
        <v>0.5</v>
      </c>
      <c r="E20" s="214"/>
      <c r="G20" s="21" t="s">
        <v>100</v>
      </c>
      <c r="H20" s="88">
        <v>0.5</v>
      </c>
      <c r="I20" s="214"/>
      <c r="K20" s="22"/>
      <c r="L20" s="22"/>
      <c r="M20" s="22"/>
      <c r="N20" s="22"/>
      <c r="O20" s="83"/>
      <c r="P20" s="22"/>
      <c r="Q20" s="22"/>
    </row>
    <row r="21" spans="3:17" x14ac:dyDescent="0.2">
      <c r="C21" s="21" t="s">
        <v>36</v>
      </c>
      <c r="D21" s="88">
        <v>0.5</v>
      </c>
      <c r="E21" s="214"/>
      <c r="G21" s="21" t="s">
        <v>101</v>
      </c>
      <c r="H21" s="88">
        <v>0.5</v>
      </c>
      <c r="I21" s="214"/>
      <c r="K21" s="22"/>
      <c r="L21" s="22"/>
      <c r="M21" s="22"/>
      <c r="N21" s="22"/>
      <c r="O21" s="83"/>
      <c r="P21" s="22"/>
      <c r="Q21" s="22"/>
    </row>
    <row r="22" spans="3:17" x14ac:dyDescent="0.2">
      <c r="C22" s="21" t="s">
        <v>38</v>
      </c>
      <c r="D22" s="88">
        <v>1</v>
      </c>
      <c r="E22" s="214"/>
      <c r="K22" s="22"/>
      <c r="L22" s="22"/>
      <c r="M22" s="22"/>
      <c r="N22" s="22"/>
      <c r="O22" s="84"/>
      <c r="P22" s="22"/>
      <c r="Q22" s="22"/>
    </row>
    <row r="23" spans="3:17" x14ac:dyDescent="0.2">
      <c r="C23" s="21" t="s">
        <v>39</v>
      </c>
      <c r="D23" s="88">
        <v>0.5</v>
      </c>
      <c r="E23" s="214"/>
      <c r="K23" s="22"/>
      <c r="L23" s="22"/>
      <c r="M23" s="22"/>
      <c r="N23" s="22"/>
      <c r="O23" s="84"/>
      <c r="P23" s="22"/>
      <c r="Q23" s="22"/>
    </row>
    <row r="24" spans="3:17" x14ac:dyDescent="0.2">
      <c r="C24" s="21" t="s">
        <v>40</v>
      </c>
      <c r="D24" s="88">
        <v>0.5</v>
      </c>
      <c r="E24" s="214"/>
      <c r="K24" s="22"/>
      <c r="L24" s="22"/>
      <c r="M24" s="22"/>
      <c r="N24" s="22"/>
      <c r="O24" s="84"/>
      <c r="P24" s="22"/>
      <c r="Q24" s="22"/>
    </row>
    <row r="25" spans="3:17" x14ac:dyDescent="0.2">
      <c r="C25" s="22"/>
      <c r="D25" s="85"/>
      <c r="E25" s="86"/>
      <c r="K25" s="22"/>
      <c r="L25" s="22"/>
      <c r="M25" s="22"/>
      <c r="N25" s="22"/>
      <c r="O25" s="22"/>
      <c r="P25" s="22"/>
      <c r="Q25" s="22"/>
    </row>
    <row r="26" spans="3:17" x14ac:dyDescent="0.2">
      <c r="C26" s="22"/>
      <c r="D26" s="85"/>
      <c r="E26" s="86"/>
      <c r="K26" s="22"/>
      <c r="L26" s="22"/>
      <c r="M26" s="22"/>
      <c r="N26" s="22"/>
      <c r="O26" s="22"/>
      <c r="P26" s="22"/>
      <c r="Q26" s="22"/>
    </row>
    <row r="27" spans="3:17" x14ac:dyDescent="0.2">
      <c r="C27" s="22"/>
      <c r="D27" s="85"/>
      <c r="E27" s="86"/>
      <c r="K27" s="22"/>
      <c r="L27" s="22"/>
      <c r="M27" s="22"/>
      <c r="N27" s="22"/>
      <c r="O27" s="22"/>
      <c r="P27" s="22"/>
      <c r="Q27" s="22"/>
    </row>
    <row r="28" spans="3:17" x14ac:dyDescent="0.2">
      <c r="C28" s="22"/>
      <c r="D28" s="85"/>
      <c r="E28" s="86"/>
      <c r="K28" s="22"/>
      <c r="L28" s="22"/>
      <c r="M28" s="22"/>
      <c r="N28" s="22"/>
      <c r="O28" s="22"/>
      <c r="P28" s="22"/>
      <c r="Q28" s="22"/>
    </row>
  </sheetData>
  <mergeCells count="1">
    <mergeCell ref="I10:M13"/>
  </mergeCells>
  <conditionalFormatting sqref="E20">
    <cfRule type="expression" dxfId="12" priority="9">
      <formula>E20="error"</formula>
    </cfRule>
    <cfRule type="expression" dxfId="11" priority="10">
      <formula>E20="OK"</formula>
    </cfRule>
  </conditionalFormatting>
  <conditionalFormatting sqref="I21">
    <cfRule type="expression" dxfId="10" priority="3">
      <formula>I21="error"</formula>
    </cfRule>
    <cfRule type="expression" dxfId="9" priority="4">
      <formula>I21="OK"</formula>
    </cfRule>
  </conditionalFormatting>
  <conditionalFormatting sqref="E21:E28">
    <cfRule type="expression" dxfId="8" priority="7">
      <formula>E21="error"</formula>
    </cfRule>
    <cfRule type="expression" dxfId="7" priority="8">
      <formula>E21="OK"</formula>
    </cfRule>
  </conditionalFormatting>
  <conditionalFormatting sqref="I20">
    <cfRule type="expression" dxfId="6" priority="5">
      <formula>I20="error"</formula>
    </cfRule>
    <cfRule type="expression" dxfId="5" priority="6">
      <formula>I20="OK"</formula>
    </cfRule>
  </conditionalFormatting>
  <conditionalFormatting sqref="D20:D24">
    <cfRule type="cellIs" dxfId="4" priority="2" operator="equal">
      <formula>0</formula>
    </cfRule>
  </conditionalFormatting>
  <conditionalFormatting sqref="H20:H21">
    <cfRule type="cellIs" dxfId="3" priority="1" operator="equal">
      <formula>0</formula>
    </cfRule>
  </conditionalFormatting>
  <dataValidations count="1">
    <dataValidation type="list" allowBlank="1" showInputMessage="1" showErrorMessage="1" sqref="F4 G9">
      <formula1>"Forward looking, Historical"</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L96"/>
  <sheetViews>
    <sheetView showGridLines="0" zoomScale="80" zoomScaleNormal="80" workbookViewId="0">
      <pane xSplit="3" ySplit="6" topLeftCell="D7" activePane="bottomRight" state="frozen"/>
      <selection pane="topRight" activeCell="D1" sqref="D1"/>
      <selection pane="bottomLeft" activeCell="A7" sqref="A7"/>
      <selection pane="bottomRight"/>
    </sheetView>
  </sheetViews>
  <sheetFormatPr defaultColWidth="9" defaultRowHeight="12.75" x14ac:dyDescent="0.2"/>
  <cols>
    <col min="1" max="1" width="7.625" style="5" customWidth="1"/>
    <col min="2" max="2" width="7.125" style="5" bestFit="1" customWidth="1"/>
    <col min="3" max="3" width="5.125" style="5" customWidth="1"/>
    <col min="4" max="6" width="9" style="5"/>
    <col min="7" max="10" width="11.5" style="5" customWidth="1"/>
    <col min="11" max="12" width="9" style="5"/>
    <col min="13" max="13" width="11" style="5" customWidth="1"/>
    <col min="14" max="14" width="11.5" style="5" customWidth="1"/>
    <col min="15" max="15" width="10.5" style="5" customWidth="1"/>
    <col min="16" max="16" width="10.625" style="5" customWidth="1"/>
    <col min="17" max="17" width="10.5" style="5" customWidth="1"/>
    <col min="18" max="18" width="13" style="5" customWidth="1"/>
    <col min="19" max="19" width="11.5" style="5" customWidth="1"/>
    <col min="20" max="20" width="12.125" style="5" customWidth="1"/>
    <col min="21" max="21" width="12" style="5" customWidth="1"/>
    <col min="22" max="22" width="14.625" style="5" customWidth="1"/>
    <col min="23" max="23" width="12.5" style="5" customWidth="1"/>
    <col min="24" max="24" width="13.625" style="5" customWidth="1"/>
    <col min="25" max="25" width="12.5" style="5" customWidth="1"/>
    <col min="26" max="26" width="14" style="5" customWidth="1"/>
    <col min="27" max="33" width="11.625" style="5" customWidth="1"/>
    <col min="34" max="16384" width="9" style="5"/>
  </cols>
  <sheetData>
    <row r="1" spans="1:38" ht="15.75" x14ac:dyDescent="0.25">
      <c r="A1" s="62" t="s">
        <v>141</v>
      </c>
    </row>
    <row r="2" spans="1:38" ht="24.6" customHeight="1" x14ac:dyDescent="0.2">
      <c r="A2" s="104" t="s">
        <v>145</v>
      </c>
      <c r="K2" s="242" t="s">
        <v>405</v>
      </c>
      <c r="L2" s="242"/>
      <c r="M2" s="242"/>
      <c r="N2" s="242"/>
      <c r="O2" s="242"/>
    </row>
    <row r="3" spans="1:38" ht="33.6" customHeight="1" x14ac:dyDescent="0.2">
      <c r="D3" s="101"/>
      <c r="E3" s="101"/>
      <c r="F3" s="101"/>
      <c r="G3" s="101"/>
      <c r="H3" s="20"/>
      <c r="I3" s="20"/>
      <c r="J3" s="20"/>
      <c r="K3" s="242"/>
      <c r="L3" s="242"/>
      <c r="M3" s="242"/>
      <c r="N3" s="242"/>
      <c r="O3" s="242"/>
      <c r="P3" s="20"/>
      <c r="Q3" s="20"/>
      <c r="R3" s="20"/>
      <c r="S3" s="20"/>
      <c r="T3" s="20"/>
      <c r="U3" s="20"/>
      <c r="V3" s="20"/>
      <c r="W3" s="20"/>
      <c r="X3" s="20"/>
      <c r="Y3" s="20"/>
      <c r="Z3" s="20"/>
      <c r="AA3" s="141"/>
      <c r="AB3" s="142"/>
      <c r="AC3" s="142"/>
      <c r="AD3" s="142"/>
      <c r="AE3" s="142"/>
      <c r="AF3" s="142"/>
      <c r="AG3" s="142"/>
    </row>
    <row r="4" spans="1:38" s="19" customFormat="1" ht="42" customHeight="1" x14ac:dyDescent="0.2">
      <c r="D4" s="138" t="s">
        <v>122</v>
      </c>
      <c r="E4" s="138"/>
      <c r="F4" s="138"/>
      <c r="G4" s="138"/>
      <c r="H4" s="138"/>
      <c r="I4" s="138"/>
      <c r="J4" s="138"/>
      <c r="K4" s="139" t="s">
        <v>154</v>
      </c>
      <c r="L4" s="139"/>
      <c r="M4" s="139"/>
      <c r="N4" s="139"/>
      <c r="O4" s="139"/>
      <c r="P4" s="139"/>
      <c r="Q4" s="139"/>
      <c r="R4" s="139"/>
      <c r="S4" s="139"/>
      <c r="T4" s="139"/>
      <c r="U4" s="139"/>
      <c r="V4" s="139"/>
      <c r="W4" s="139"/>
      <c r="X4" s="139"/>
      <c r="Y4" s="139"/>
      <c r="Z4" s="139"/>
      <c r="AA4" s="143" t="s">
        <v>166</v>
      </c>
      <c r="AB4" s="140"/>
      <c r="AC4" s="140"/>
      <c r="AD4" s="140"/>
      <c r="AE4" s="140"/>
      <c r="AF4" s="140"/>
      <c r="AG4" s="140"/>
    </row>
    <row r="5" spans="1:38" ht="38.25" x14ac:dyDescent="0.2">
      <c r="D5" s="94" t="s">
        <v>314</v>
      </c>
      <c r="E5" s="94"/>
      <c r="F5" s="94"/>
      <c r="G5" s="94" t="s">
        <v>313</v>
      </c>
      <c r="H5" s="94" t="s">
        <v>312</v>
      </c>
      <c r="I5" s="94" t="s">
        <v>311</v>
      </c>
      <c r="J5" s="94" t="s">
        <v>310</v>
      </c>
      <c r="K5" s="135" t="s">
        <v>309</v>
      </c>
      <c r="L5" s="135" t="s">
        <v>308</v>
      </c>
      <c r="M5" s="135" t="s">
        <v>360</v>
      </c>
      <c r="N5" s="135" t="s">
        <v>307</v>
      </c>
      <c r="O5" s="135" t="s">
        <v>306</v>
      </c>
      <c r="P5" s="135" t="s">
        <v>305</v>
      </c>
      <c r="Q5" s="135" t="s">
        <v>361</v>
      </c>
      <c r="R5" s="135" t="s">
        <v>304</v>
      </c>
      <c r="S5" s="135" t="s">
        <v>303</v>
      </c>
      <c r="T5" s="135" t="s">
        <v>302</v>
      </c>
      <c r="U5" s="135" t="s">
        <v>362</v>
      </c>
      <c r="V5" s="135" t="s">
        <v>301</v>
      </c>
      <c r="W5" s="135" t="s">
        <v>300</v>
      </c>
      <c r="X5" s="135" t="s">
        <v>299</v>
      </c>
      <c r="Y5" s="135" t="s">
        <v>363</v>
      </c>
      <c r="Z5" s="135" t="s">
        <v>298</v>
      </c>
      <c r="AA5" s="109" t="s">
        <v>297</v>
      </c>
      <c r="AB5" s="109" t="s">
        <v>296</v>
      </c>
      <c r="AC5" s="109" t="s">
        <v>295</v>
      </c>
      <c r="AD5" s="109" t="s">
        <v>294</v>
      </c>
      <c r="AE5" s="109" t="s">
        <v>167</v>
      </c>
      <c r="AF5" s="109" t="s">
        <v>167</v>
      </c>
      <c r="AG5" s="109" t="s">
        <v>167</v>
      </c>
    </row>
    <row r="6" spans="1:38" ht="63.75" x14ac:dyDescent="0.2">
      <c r="A6" s="102" t="s">
        <v>142</v>
      </c>
      <c r="B6" s="102" t="s">
        <v>20</v>
      </c>
      <c r="C6" s="103" t="s">
        <v>116</v>
      </c>
      <c r="D6" s="33" t="s">
        <v>123</v>
      </c>
      <c r="E6" s="33" t="s">
        <v>143</v>
      </c>
      <c r="F6" s="33" t="s">
        <v>144</v>
      </c>
      <c r="G6" s="33" t="s">
        <v>111</v>
      </c>
      <c r="H6" s="33" t="s">
        <v>124</v>
      </c>
      <c r="I6" s="33" t="s">
        <v>125</v>
      </c>
      <c r="J6" s="33" t="s">
        <v>112</v>
      </c>
      <c r="K6" s="136" t="s">
        <v>152</v>
      </c>
      <c r="L6" s="136" t="s">
        <v>153</v>
      </c>
      <c r="M6" s="136" t="s">
        <v>155</v>
      </c>
      <c r="N6" s="136" t="s">
        <v>159</v>
      </c>
      <c r="O6" s="136" t="s">
        <v>156</v>
      </c>
      <c r="P6" s="136" t="s">
        <v>157</v>
      </c>
      <c r="Q6" s="136" t="s">
        <v>158</v>
      </c>
      <c r="R6" s="136" t="s">
        <v>406</v>
      </c>
      <c r="S6" s="136" t="s">
        <v>160</v>
      </c>
      <c r="T6" s="136" t="s">
        <v>161</v>
      </c>
      <c r="U6" s="136" t="s">
        <v>162</v>
      </c>
      <c r="V6" s="136" t="s">
        <v>407</v>
      </c>
      <c r="W6" s="136" t="s">
        <v>163</v>
      </c>
      <c r="X6" s="136" t="s">
        <v>164</v>
      </c>
      <c r="Y6" s="136" t="s">
        <v>165</v>
      </c>
      <c r="Z6" s="136" t="s">
        <v>408</v>
      </c>
      <c r="AA6" s="110" t="s">
        <v>123</v>
      </c>
      <c r="AB6" s="110" t="s">
        <v>143</v>
      </c>
      <c r="AC6" s="110" t="s">
        <v>144</v>
      </c>
      <c r="AD6" s="110" t="s">
        <v>111</v>
      </c>
      <c r="AE6" s="110" t="s">
        <v>124</v>
      </c>
      <c r="AF6" s="110" t="s">
        <v>125</v>
      </c>
      <c r="AG6" s="110" t="s">
        <v>112</v>
      </c>
    </row>
    <row r="7" spans="1:38" x14ac:dyDescent="0.2">
      <c r="A7" s="108" t="str">
        <f>'Forecast drivers'!C6</f>
        <v>ANH21</v>
      </c>
      <c r="B7" s="108" t="str">
        <f>'Forecast drivers'!A6</f>
        <v>ANH</v>
      </c>
      <c r="C7" s="108">
        <f>'Forecast drivers'!B6</f>
        <v>2021</v>
      </c>
      <c r="D7" s="51">
        <v>45.799879992999998</v>
      </c>
      <c r="E7" s="51"/>
      <c r="F7" s="51"/>
      <c r="G7" s="51">
        <v>218.01519836965409</v>
      </c>
      <c r="H7" s="51">
        <v>133.81053860199992</v>
      </c>
      <c r="I7" s="51">
        <v>306.02585697865402</v>
      </c>
      <c r="J7" s="51">
        <v>351.82573697165401</v>
      </c>
      <c r="K7" s="137">
        <v>1.575</v>
      </c>
      <c r="L7" s="137">
        <v>6.0999999999999999E-2</v>
      </c>
      <c r="M7" s="137">
        <v>0</v>
      </c>
      <c r="N7" s="137">
        <v>0.47599999999999998</v>
      </c>
      <c r="O7" s="137">
        <v>2.08</v>
      </c>
      <c r="P7" s="137">
        <v>0</v>
      </c>
      <c r="Q7" s="137">
        <v>0</v>
      </c>
      <c r="R7" s="137">
        <v>0</v>
      </c>
      <c r="S7" s="137">
        <v>2.403</v>
      </c>
      <c r="T7" s="137">
        <v>0.44900000000000001</v>
      </c>
      <c r="U7" s="137">
        <v>0</v>
      </c>
      <c r="V7" s="137">
        <v>1.5449999999999999</v>
      </c>
      <c r="W7" s="137">
        <v>2.988</v>
      </c>
      <c r="X7" s="137">
        <v>3.7989999999999999</v>
      </c>
      <c r="Y7" s="137">
        <v>34.006222606187102</v>
      </c>
      <c r="Z7" s="137">
        <v>2.3769999999999998</v>
      </c>
      <c r="AA7" s="111">
        <v>66.492947761999986</v>
      </c>
      <c r="AB7" s="111">
        <v>11.595830431</v>
      </c>
      <c r="AC7" s="111">
        <v>101.87295190399999</v>
      </c>
      <c r="AD7" s="111">
        <v>331.14523295400011</v>
      </c>
      <c r="AE7" s="111">
        <f>AA7+AB7+AC7</f>
        <v>179.96173009699999</v>
      </c>
      <c r="AF7" s="111">
        <f>AB7+AC7+AD7</f>
        <v>444.61401528900012</v>
      </c>
      <c r="AG7" s="111">
        <f>SUM(AA7:AD7)</f>
        <v>511.10696305100009</v>
      </c>
      <c r="AH7" s="134"/>
      <c r="AI7" s="134"/>
      <c r="AJ7" s="134"/>
      <c r="AK7" s="134"/>
      <c r="AL7" s="134"/>
    </row>
    <row r="8" spans="1:38" x14ac:dyDescent="0.2">
      <c r="A8" s="108" t="str">
        <f>'Forecast drivers'!C7</f>
        <v>ANH22</v>
      </c>
      <c r="B8" s="108" t="str">
        <f>'Forecast drivers'!A7</f>
        <v>ANH</v>
      </c>
      <c r="C8" s="108">
        <f>'Forecast drivers'!B7</f>
        <v>2022</v>
      </c>
      <c r="D8" s="51">
        <v>38.860300187999997</v>
      </c>
      <c r="E8" s="51"/>
      <c r="F8" s="51"/>
      <c r="G8" s="51">
        <v>232.574079600148</v>
      </c>
      <c r="H8" s="51">
        <v>114.42605197200001</v>
      </c>
      <c r="I8" s="51">
        <v>308.13983138414801</v>
      </c>
      <c r="J8" s="51">
        <v>347.00013157214801</v>
      </c>
      <c r="K8" s="137">
        <v>1.591</v>
      </c>
      <c r="L8" s="137">
        <v>0.36299999999999999</v>
      </c>
      <c r="M8" s="137">
        <v>0</v>
      </c>
      <c r="N8" s="137">
        <v>0.48</v>
      </c>
      <c r="O8" s="137">
        <v>2.101</v>
      </c>
      <c r="P8" s="137">
        <v>0</v>
      </c>
      <c r="Q8" s="137">
        <v>0</v>
      </c>
      <c r="R8" s="137">
        <v>0</v>
      </c>
      <c r="S8" s="137">
        <v>2.427</v>
      </c>
      <c r="T8" s="137">
        <v>0.54200000000000004</v>
      </c>
      <c r="U8" s="137">
        <v>0</v>
      </c>
      <c r="V8" s="137">
        <v>1.56</v>
      </c>
      <c r="W8" s="137">
        <v>3.0169999999999999</v>
      </c>
      <c r="X8" s="137">
        <v>4.1029999999999998</v>
      </c>
      <c r="Y8" s="137">
        <v>40.339584817277</v>
      </c>
      <c r="Z8" s="137">
        <v>2.4</v>
      </c>
      <c r="AA8" s="111">
        <v>66.910899139999998</v>
      </c>
      <c r="AB8" s="111">
        <v>11.234107291000001</v>
      </c>
      <c r="AC8" s="111">
        <v>101.86023947899999</v>
      </c>
      <c r="AD8" s="111">
        <v>410.91293227900002</v>
      </c>
      <c r="AE8" s="111">
        <f t="shared" ref="AE8:AE61" si="0">AA8+AB8+AC8</f>
        <v>180.00524590999999</v>
      </c>
      <c r="AF8" s="111">
        <f t="shared" ref="AF8:AF71" si="1">AB8+AC8+AD8</f>
        <v>524.00727904899998</v>
      </c>
      <c r="AG8" s="111">
        <f t="shared" ref="AG8:AG71" si="2">SUM(AA8:AD8)</f>
        <v>590.91817818899995</v>
      </c>
      <c r="AH8" s="134"/>
      <c r="AI8" s="134"/>
      <c r="AJ8" s="134"/>
      <c r="AK8" s="134"/>
      <c r="AL8" s="134"/>
    </row>
    <row r="9" spans="1:38" x14ac:dyDescent="0.2">
      <c r="A9" s="108" t="str">
        <f>'Forecast drivers'!C8</f>
        <v>ANH23</v>
      </c>
      <c r="B9" s="108" t="str">
        <f>'Forecast drivers'!A8</f>
        <v>ANH</v>
      </c>
      <c r="C9" s="108">
        <f>'Forecast drivers'!B8</f>
        <v>2023</v>
      </c>
      <c r="D9" s="51">
        <v>37.148884940000002</v>
      </c>
      <c r="E9" s="51"/>
      <c r="F9" s="51"/>
      <c r="G9" s="51">
        <v>232.91859459374086</v>
      </c>
      <c r="H9" s="51">
        <v>102.35235493400006</v>
      </c>
      <c r="I9" s="51">
        <v>298.12206458774091</v>
      </c>
      <c r="J9" s="51">
        <v>335.27094952774092</v>
      </c>
      <c r="K9" s="137">
        <v>1.607</v>
      </c>
      <c r="L9" s="137">
        <v>0</v>
      </c>
      <c r="M9" s="137">
        <v>0</v>
      </c>
      <c r="N9" s="137">
        <v>0.48499999999999999</v>
      </c>
      <c r="O9" s="137">
        <v>2.121</v>
      </c>
      <c r="P9" s="137">
        <v>0</v>
      </c>
      <c r="Q9" s="137">
        <v>0</v>
      </c>
      <c r="R9" s="137">
        <v>0</v>
      </c>
      <c r="S9" s="137">
        <v>2.4500000000000002</v>
      </c>
      <c r="T9" s="137">
        <v>0.39800000000000002</v>
      </c>
      <c r="U9" s="137">
        <v>0</v>
      </c>
      <c r="V9" s="137">
        <v>1.575</v>
      </c>
      <c r="W9" s="137">
        <v>3.0470000000000002</v>
      </c>
      <c r="X9" s="137">
        <v>4.2759999999999998</v>
      </c>
      <c r="Y9" s="137">
        <v>40.006048473587903</v>
      </c>
      <c r="Z9" s="137">
        <v>2.4239999999999999</v>
      </c>
      <c r="AA9" s="111">
        <v>67.009631616000007</v>
      </c>
      <c r="AB9" s="111">
        <v>11.226105078</v>
      </c>
      <c r="AC9" s="111">
        <v>92.901897771999998</v>
      </c>
      <c r="AD9" s="111">
        <v>464.96862263499986</v>
      </c>
      <c r="AE9" s="111">
        <f t="shared" si="0"/>
        <v>171.13763446600001</v>
      </c>
      <c r="AF9" s="111">
        <f t="shared" si="1"/>
        <v>569.09662548499989</v>
      </c>
      <c r="AG9" s="111">
        <f t="shared" si="2"/>
        <v>636.10625710099987</v>
      </c>
      <c r="AH9" s="134"/>
      <c r="AI9" s="134"/>
      <c r="AJ9" s="134"/>
      <c r="AK9" s="134"/>
      <c r="AL9" s="134"/>
    </row>
    <row r="10" spans="1:38" x14ac:dyDescent="0.2">
      <c r="A10" s="108" t="str">
        <f>'Forecast drivers'!C9</f>
        <v>ANH24</v>
      </c>
      <c r="B10" s="108" t="str">
        <f>'Forecast drivers'!A9</f>
        <v>ANH</v>
      </c>
      <c r="C10" s="108">
        <f>'Forecast drivers'!B9</f>
        <v>2024</v>
      </c>
      <c r="D10" s="51">
        <v>34.291783252999998</v>
      </c>
      <c r="E10" s="51"/>
      <c r="F10" s="51"/>
      <c r="G10" s="51">
        <v>225.39300176779017</v>
      </c>
      <c r="H10" s="51">
        <v>99.476727421000021</v>
      </c>
      <c r="I10" s="51">
        <v>290.57794593579018</v>
      </c>
      <c r="J10" s="51">
        <v>324.86972918879019</v>
      </c>
      <c r="K10" s="137">
        <v>1.623</v>
      </c>
      <c r="L10" s="137">
        <v>0</v>
      </c>
      <c r="M10" s="137">
        <v>0</v>
      </c>
      <c r="N10" s="137">
        <v>0.48899999999999999</v>
      </c>
      <c r="O10" s="137">
        <v>2.1419999999999999</v>
      </c>
      <c r="P10" s="137">
        <v>0</v>
      </c>
      <c r="Q10" s="137">
        <v>0</v>
      </c>
      <c r="R10" s="137">
        <v>0</v>
      </c>
      <c r="S10" s="137">
        <v>2.4750000000000001</v>
      </c>
      <c r="T10" s="137">
        <v>0.308</v>
      </c>
      <c r="U10" s="137">
        <v>0</v>
      </c>
      <c r="V10" s="137">
        <v>1.591</v>
      </c>
      <c r="W10" s="137">
        <v>3.0760000000000001</v>
      </c>
      <c r="X10" s="137">
        <v>4.407</v>
      </c>
      <c r="Y10" s="137">
        <v>39.415651929220097</v>
      </c>
      <c r="Z10" s="137">
        <v>2.4470000000000001</v>
      </c>
      <c r="AA10" s="111">
        <v>57.308373643000003</v>
      </c>
      <c r="AB10" s="111">
        <v>10.071288574</v>
      </c>
      <c r="AC10" s="111">
        <v>115.04777159400001</v>
      </c>
      <c r="AD10" s="111">
        <v>439.60416910600009</v>
      </c>
      <c r="AE10" s="111">
        <f t="shared" si="0"/>
        <v>182.42743381100001</v>
      </c>
      <c r="AF10" s="111">
        <f t="shared" si="1"/>
        <v>564.72322927400012</v>
      </c>
      <c r="AG10" s="111">
        <f t="shared" si="2"/>
        <v>622.0316029170001</v>
      </c>
      <c r="AH10" s="134"/>
    </row>
    <row r="11" spans="1:38" x14ac:dyDescent="0.2">
      <c r="A11" s="108" t="str">
        <f>'Forecast drivers'!C10</f>
        <v>ANH25</v>
      </c>
      <c r="B11" s="108" t="str">
        <f>'Forecast drivers'!A10</f>
        <v>ANH</v>
      </c>
      <c r="C11" s="108">
        <f>'Forecast drivers'!B10</f>
        <v>2025</v>
      </c>
      <c r="D11" s="51">
        <v>31.794810493</v>
      </c>
      <c r="E11" s="51"/>
      <c r="F11" s="51"/>
      <c r="G11" s="51">
        <v>210.99117827300822</v>
      </c>
      <c r="H11" s="51">
        <v>97.994599999999963</v>
      </c>
      <c r="I11" s="51">
        <v>277.19096778000818</v>
      </c>
      <c r="J11" s="51">
        <v>308.98577827300818</v>
      </c>
      <c r="K11" s="137">
        <v>1.639</v>
      </c>
      <c r="L11" s="137">
        <v>0</v>
      </c>
      <c r="M11" s="137">
        <v>0</v>
      </c>
      <c r="N11" s="137">
        <v>0.49399999999999999</v>
      </c>
      <c r="O11" s="137">
        <v>2.1640000000000001</v>
      </c>
      <c r="P11" s="137">
        <v>0</v>
      </c>
      <c r="Q11" s="137">
        <v>0</v>
      </c>
      <c r="R11" s="137">
        <v>0</v>
      </c>
      <c r="S11" s="137">
        <v>2.4990000000000001</v>
      </c>
      <c r="T11" s="137">
        <v>0.35499999999999998</v>
      </c>
      <c r="U11" s="137">
        <v>0</v>
      </c>
      <c r="V11" s="137">
        <v>1.6060000000000001</v>
      </c>
      <c r="W11" s="137">
        <v>3.1070000000000002</v>
      </c>
      <c r="X11" s="137">
        <v>4.0919999999999996</v>
      </c>
      <c r="Y11" s="137">
        <v>36.798908378436103</v>
      </c>
      <c r="Z11" s="137">
        <v>2.4710000000000001</v>
      </c>
      <c r="AA11" s="111">
        <v>45.886944161999999</v>
      </c>
      <c r="AB11" s="111">
        <v>9.2922685569999999</v>
      </c>
      <c r="AC11" s="111">
        <v>95.196946834000002</v>
      </c>
      <c r="AD11" s="111">
        <v>334.56784778200011</v>
      </c>
      <c r="AE11" s="111">
        <f t="shared" si="0"/>
        <v>150.37615955300001</v>
      </c>
      <c r="AF11" s="111">
        <f t="shared" si="1"/>
        <v>439.05706317300013</v>
      </c>
      <c r="AG11" s="111">
        <f t="shared" si="2"/>
        <v>484.94400733500015</v>
      </c>
      <c r="AH11" s="134"/>
      <c r="AI11" s="134"/>
    </row>
    <row r="12" spans="1:38" x14ac:dyDescent="0.2">
      <c r="A12" s="108" t="str">
        <f>'Forecast drivers'!C11</f>
        <v>NES21</v>
      </c>
      <c r="B12" s="108" t="str">
        <f>'Forecast drivers'!A11</f>
        <v>NES</v>
      </c>
      <c r="C12" s="108">
        <f>'Forecast drivers'!B11</f>
        <v>2021</v>
      </c>
      <c r="D12" s="51">
        <v>17.478999999999999</v>
      </c>
      <c r="E12" s="51"/>
      <c r="F12" s="51"/>
      <c r="G12" s="51">
        <v>134.23899999999998</v>
      </c>
      <c r="H12" s="51">
        <v>89.568000000000012</v>
      </c>
      <c r="I12" s="51">
        <v>206.32799999999997</v>
      </c>
      <c r="J12" s="51">
        <v>223.80699999999999</v>
      </c>
      <c r="K12" s="137">
        <v>4.9569999999999999</v>
      </c>
      <c r="L12" s="137">
        <v>0</v>
      </c>
      <c r="M12" s="137">
        <v>0</v>
      </c>
      <c r="N12" s="137">
        <v>0.40600000000000003</v>
      </c>
      <c r="O12" s="137">
        <v>1.036</v>
      </c>
      <c r="P12" s="137">
        <v>0</v>
      </c>
      <c r="Q12" s="137">
        <v>0</v>
      </c>
      <c r="R12" s="137">
        <v>9.0999999999999998E-2</v>
      </c>
      <c r="S12" s="137">
        <v>0.312</v>
      </c>
      <c r="T12" s="137">
        <v>0</v>
      </c>
      <c r="U12" s="137">
        <v>0</v>
      </c>
      <c r="V12" s="137">
        <v>1.8280000000000001</v>
      </c>
      <c r="W12" s="137">
        <v>1.827</v>
      </c>
      <c r="X12" s="137">
        <v>0</v>
      </c>
      <c r="Y12" s="137">
        <v>14.188000000000001</v>
      </c>
      <c r="Z12" s="137">
        <v>4.1260000000000003</v>
      </c>
      <c r="AA12" s="111">
        <v>54.478999999999999</v>
      </c>
      <c r="AB12" s="111">
        <v>15.709</v>
      </c>
      <c r="AC12" s="111">
        <v>87.941999999999993</v>
      </c>
      <c r="AD12" s="111">
        <v>189.553</v>
      </c>
      <c r="AE12" s="111">
        <f t="shared" si="0"/>
        <v>158.13</v>
      </c>
      <c r="AF12" s="111">
        <f t="shared" si="1"/>
        <v>293.20400000000001</v>
      </c>
      <c r="AG12" s="111">
        <f t="shared" si="2"/>
        <v>347.68299999999999</v>
      </c>
      <c r="AH12" s="134"/>
    </row>
    <row r="13" spans="1:38" x14ac:dyDescent="0.2">
      <c r="A13" s="108" t="str">
        <f>'Forecast drivers'!C12</f>
        <v>NES22</v>
      </c>
      <c r="B13" s="108" t="str">
        <f>'Forecast drivers'!A12</f>
        <v>NES</v>
      </c>
      <c r="C13" s="108">
        <f>'Forecast drivers'!B12</f>
        <v>2022</v>
      </c>
      <c r="D13" s="51">
        <v>17.269000000000002</v>
      </c>
      <c r="E13" s="51"/>
      <c r="F13" s="51"/>
      <c r="G13" s="51">
        <v>132.82900000000001</v>
      </c>
      <c r="H13" s="51">
        <v>88.669999999999987</v>
      </c>
      <c r="I13" s="51">
        <v>204.23</v>
      </c>
      <c r="J13" s="51">
        <v>221.499</v>
      </c>
      <c r="K13" s="137">
        <v>4.9569999999999999</v>
      </c>
      <c r="L13" s="137">
        <v>0</v>
      </c>
      <c r="M13" s="137">
        <v>0</v>
      </c>
      <c r="N13" s="137">
        <v>0.49299999999999999</v>
      </c>
      <c r="O13" s="137">
        <v>1.036</v>
      </c>
      <c r="P13" s="137">
        <v>0</v>
      </c>
      <c r="Q13" s="137">
        <v>0</v>
      </c>
      <c r="R13" s="137">
        <v>0.111</v>
      </c>
      <c r="S13" s="137">
        <v>0.312</v>
      </c>
      <c r="T13" s="137">
        <v>0</v>
      </c>
      <c r="U13" s="137">
        <v>0</v>
      </c>
      <c r="V13" s="137">
        <v>2.218</v>
      </c>
      <c r="W13" s="137">
        <v>1.827</v>
      </c>
      <c r="X13" s="137">
        <v>0</v>
      </c>
      <c r="Y13" s="137">
        <v>14.036</v>
      </c>
      <c r="Z13" s="137">
        <v>5.0060000000000002</v>
      </c>
      <c r="AA13" s="111">
        <v>54.238999999999997</v>
      </c>
      <c r="AB13" s="111">
        <v>15.641</v>
      </c>
      <c r="AC13" s="111">
        <v>90.525999999999996</v>
      </c>
      <c r="AD13" s="111">
        <v>206.387</v>
      </c>
      <c r="AE13" s="111">
        <f t="shared" si="0"/>
        <v>160.40600000000001</v>
      </c>
      <c r="AF13" s="111">
        <f t="shared" si="1"/>
        <v>312.55399999999997</v>
      </c>
      <c r="AG13" s="111">
        <f t="shared" si="2"/>
        <v>366.79300000000001</v>
      </c>
      <c r="AH13" s="134"/>
    </row>
    <row r="14" spans="1:38" x14ac:dyDescent="0.2">
      <c r="A14" s="108" t="str">
        <f>'Forecast drivers'!C13</f>
        <v>NES23</v>
      </c>
      <c r="B14" s="108" t="str">
        <f>'Forecast drivers'!A13</f>
        <v>NES</v>
      </c>
      <c r="C14" s="108">
        <f>'Forecast drivers'!B13</f>
        <v>2023</v>
      </c>
      <c r="D14" s="51">
        <v>17.071999999999999</v>
      </c>
      <c r="E14" s="51"/>
      <c r="F14" s="51"/>
      <c r="G14" s="51">
        <v>131.34799999999998</v>
      </c>
      <c r="H14" s="51">
        <v>87.87700000000001</v>
      </c>
      <c r="I14" s="51">
        <v>202.15299999999999</v>
      </c>
      <c r="J14" s="51">
        <v>219.22499999999999</v>
      </c>
      <c r="K14" s="137">
        <v>4.9569999999999999</v>
      </c>
      <c r="L14" s="137">
        <v>0</v>
      </c>
      <c r="M14" s="137">
        <v>0</v>
      </c>
      <c r="N14" s="137">
        <v>0.498</v>
      </c>
      <c r="O14" s="137">
        <v>1.036</v>
      </c>
      <c r="P14" s="137">
        <v>0</v>
      </c>
      <c r="Q14" s="137">
        <v>0</v>
      </c>
      <c r="R14" s="137">
        <v>0.112</v>
      </c>
      <c r="S14" s="137">
        <v>0.312</v>
      </c>
      <c r="T14" s="137">
        <v>0</v>
      </c>
      <c r="U14" s="137">
        <v>0</v>
      </c>
      <c r="V14" s="137">
        <v>2.2389999999999999</v>
      </c>
      <c r="W14" s="137">
        <v>1.827</v>
      </c>
      <c r="X14" s="137">
        <v>0</v>
      </c>
      <c r="Y14" s="137">
        <v>13.839</v>
      </c>
      <c r="Z14" s="137">
        <v>5.0549999999999997</v>
      </c>
      <c r="AA14" s="111">
        <v>52.564</v>
      </c>
      <c r="AB14" s="111">
        <v>15.594999999999999</v>
      </c>
      <c r="AC14" s="111">
        <v>86.552999999999997</v>
      </c>
      <c r="AD14" s="111">
        <v>203.59</v>
      </c>
      <c r="AE14" s="111">
        <f t="shared" si="0"/>
        <v>154.71199999999999</v>
      </c>
      <c r="AF14" s="111">
        <f t="shared" si="1"/>
        <v>305.738</v>
      </c>
      <c r="AG14" s="111">
        <f t="shared" si="2"/>
        <v>358.30200000000002</v>
      </c>
      <c r="AH14" s="134"/>
    </row>
    <row r="15" spans="1:38" x14ac:dyDescent="0.2">
      <c r="A15" s="108" t="str">
        <f>'Forecast drivers'!C14</f>
        <v>NES24</v>
      </c>
      <c r="B15" s="108" t="str">
        <f>'Forecast drivers'!A14</f>
        <v>NES</v>
      </c>
      <c r="C15" s="108">
        <f>'Forecast drivers'!B14</f>
        <v>2024</v>
      </c>
      <c r="D15" s="51">
        <v>16.880000000000003</v>
      </c>
      <c r="E15" s="51"/>
      <c r="F15" s="51"/>
      <c r="G15" s="51">
        <v>129.69899999999998</v>
      </c>
      <c r="H15" s="51">
        <v>87.126000000000005</v>
      </c>
      <c r="I15" s="51">
        <v>199.94499999999999</v>
      </c>
      <c r="J15" s="51">
        <v>216.82499999999999</v>
      </c>
      <c r="K15" s="137">
        <v>4.9569999999999999</v>
      </c>
      <c r="L15" s="137">
        <v>0</v>
      </c>
      <c r="M15" s="137">
        <v>0</v>
      </c>
      <c r="N15" s="137">
        <v>0.503</v>
      </c>
      <c r="O15" s="137">
        <v>1.036</v>
      </c>
      <c r="P15" s="137">
        <v>0</v>
      </c>
      <c r="Q15" s="137">
        <v>0</v>
      </c>
      <c r="R15" s="137">
        <v>0.113</v>
      </c>
      <c r="S15" s="137">
        <v>0.312</v>
      </c>
      <c r="T15" s="137">
        <v>0</v>
      </c>
      <c r="U15" s="137">
        <v>0</v>
      </c>
      <c r="V15" s="137">
        <v>2.2610000000000001</v>
      </c>
      <c r="W15" s="137">
        <v>1.827</v>
      </c>
      <c r="X15" s="137">
        <v>0</v>
      </c>
      <c r="Y15" s="137">
        <v>13.545999999999999</v>
      </c>
      <c r="Z15" s="137">
        <v>5.1050000000000004</v>
      </c>
      <c r="AA15" s="111">
        <v>50.923000000000002</v>
      </c>
      <c r="AB15" s="111">
        <v>8.891</v>
      </c>
      <c r="AC15" s="111">
        <v>85.652000000000001</v>
      </c>
      <c r="AD15" s="111">
        <v>189.19499999999999</v>
      </c>
      <c r="AE15" s="111">
        <f t="shared" si="0"/>
        <v>145.46600000000001</v>
      </c>
      <c r="AF15" s="111">
        <f t="shared" si="1"/>
        <v>283.738</v>
      </c>
      <c r="AG15" s="111">
        <f t="shared" si="2"/>
        <v>334.661</v>
      </c>
      <c r="AH15" s="134"/>
    </row>
    <row r="16" spans="1:38" x14ac:dyDescent="0.2">
      <c r="A16" s="108" t="str">
        <f>'Forecast drivers'!C15</f>
        <v>NES25</v>
      </c>
      <c r="B16" s="108" t="str">
        <f>'Forecast drivers'!A15</f>
        <v>NES</v>
      </c>
      <c r="C16" s="108">
        <f>'Forecast drivers'!B15</f>
        <v>2025</v>
      </c>
      <c r="D16" s="51">
        <v>16.698</v>
      </c>
      <c r="E16" s="51"/>
      <c r="F16" s="51"/>
      <c r="G16" s="51">
        <v>128.99299999999999</v>
      </c>
      <c r="H16" s="51">
        <v>86.441000000000003</v>
      </c>
      <c r="I16" s="51">
        <v>198.73599999999999</v>
      </c>
      <c r="J16" s="51">
        <v>215.434</v>
      </c>
      <c r="K16" s="137">
        <v>4.9569999999999999</v>
      </c>
      <c r="L16" s="137">
        <v>0</v>
      </c>
      <c r="M16" s="137">
        <v>0</v>
      </c>
      <c r="N16" s="137">
        <v>0.50700000000000001</v>
      </c>
      <c r="O16" s="137">
        <v>1.036</v>
      </c>
      <c r="P16" s="137">
        <v>0</v>
      </c>
      <c r="Q16" s="137">
        <v>0</v>
      </c>
      <c r="R16" s="137">
        <v>0.114</v>
      </c>
      <c r="S16" s="137">
        <v>0.312</v>
      </c>
      <c r="T16" s="137">
        <v>0</v>
      </c>
      <c r="U16" s="137">
        <v>0</v>
      </c>
      <c r="V16" s="137">
        <v>2.2829999999999999</v>
      </c>
      <c r="W16" s="137">
        <v>1.827</v>
      </c>
      <c r="X16" s="137">
        <v>0</v>
      </c>
      <c r="Y16" s="137">
        <v>13.686</v>
      </c>
      <c r="Z16" s="137">
        <v>5.1539999999999999</v>
      </c>
      <c r="AA16" s="111">
        <v>50.734999999999999</v>
      </c>
      <c r="AB16" s="111">
        <v>8.8420000000000005</v>
      </c>
      <c r="AC16" s="111">
        <v>75.022999999999996</v>
      </c>
      <c r="AD16" s="111">
        <v>174.62900000000002</v>
      </c>
      <c r="AE16" s="111">
        <f t="shared" si="0"/>
        <v>134.6</v>
      </c>
      <c r="AF16" s="111">
        <f t="shared" si="1"/>
        <v>258.49400000000003</v>
      </c>
      <c r="AG16" s="111">
        <f t="shared" si="2"/>
        <v>309.22900000000004</v>
      </c>
      <c r="AH16" s="134"/>
    </row>
    <row r="17" spans="1:34" x14ac:dyDescent="0.2">
      <c r="A17" s="108" t="str">
        <f>'Forecast drivers'!C16</f>
        <v>NWT21</v>
      </c>
      <c r="B17" s="108" t="str">
        <f>'Forecast drivers'!A16</f>
        <v>NWT</v>
      </c>
      <c r="C17" s="108">
        <f>'Forecast drivers'!B16</f>
        <v>2021</v>
      </c>
      <c r="D17" s="51">
        <v>31.41060788989013</v>
      </c>
      <c r="E17" s="51"/>
      <c r="F17" s="51"/>
      <c r="G17" s="51">
        <v>182.59459929750543</v>
      </c>
      <c r="H17" s="51">
        <v>154.18642524804878</v>
      </c>
      <c r="I17" s="51">
        <v>305.37041665566409</v>
      </c>
      <c r="J17" s="51">
        <v>336.7810245455542</v>
      </c>
      <c r="K17" s="137">
        <v>6.0607904010554397E-3</v>
      </c>
      <c r="L17" s="137">
        <v>0</v>
      </c>
      <c r="M17" s="137">
        <v>0</v>
      </c>
      <c r="N17" s="137">
        <v>1.2203237290423801</v>
      </c>
      <c r="O17" s="137">
        <v>0.89575372383083696</v>
      </c>
      <c r="P17" s="137">
        <v>0</v>
      </c>
      <c r="Q17" s="137">
        <v>0</v>
      </c>
      <c r="R17" s="137">
        <v>1.1294942508988599</v>
      </c>
      <c r="S17" s="137">
        <v>0.15832073058884399</v>
      </c>
      <c r="T17" s="137">
        <v>0</v>
      </c>
      <c r="U17" s="137">
        <v>0</v>
      </c>
      <c r="V17" s="137">
        <v>6.96330227119629</v>
      </c>
      <c r="W17" s="137">
        <v>0.223541714785539</v>
      </c>
      <c r="X17" s="137">
        <v>0</v>
      </c>
      <c r="Y17" s="137">
        <v>9.304552600570819</v>
      </c>
      <c r="Z17" s="137">
        <v>6.4834834873200604</v>
      </c>
      <c r="AA17" s="111">
        <v>66.533904059288972</v>
      </c>
      <c r="AB17" s="111">
        <v>18.383253788711205</v>
      </c>
      <c r="AC17" s="111">
        <v>117.26673082284587</v>
      </c>
      <c r="AD17" s="111">
        <v>336.95454729796023</v>
      </c>
      <c r="AE17" s="111">
        <f t="shared" si="0"/>
        <v>202.18388867084604</v>
      </c>
      <c r="AF17" s="111">
        <f t="shared" si="1"/>
        <v>472.60453190951728</v>
      </c>
      <c r="AG17" s="111">
        <f t="shared" si="2"/>
        <v>539.13843596880633</v>
      </c>
      <c r="AH17" s="134"/>
    </row>
    <row r="18" spans="1:34" x14ac:dyDescent="0.2">
      <c r="A18" s="108" t="str">
        <f>'Forecast drivers'!C17</f>
        <v>NWT22</v>
      </c>
      <c r="B18" s="108" t="str">
        <f>'Forecast drivers'!A17</f>
        <v>NWT</v>
      </c>
      <c r="C18" s="108">
        <f>'Forecast drivers'!B17</f>
        <v>2022</v>
      </c>
      <c r="D18" s="51">
        <v>32.677356134343718</v>
      </c>
      <c r="E18" s="51"/>
      <c r="F18" s="51"/>
      <c r="G18" s="51">
        <v>196.18131510326504</v>
      </c>
      <c r="H18" s="51">
        <v>170.43191631792411</v>
      </c>
      <c r="I18" s="51">
        <v>333.93587528684543</v>
      </c>
      <c r="J18" s="51">
        <v>366.61323142118914</v>
      </c>
      <c r="K18" s="137">
        <v>6.0607904010554397E-3</v>
      </c>
      <c r="L18" s="137">
        <v>0</v>
      </c>
      <c r="M18" s="137">
        <v>0</v>
      </c>
      <c r="N18" s="137">
        <v>0.90898305730631002</v>
      </c>
      <c r="O18" s="137">
        <v>0.89095902520225601</v>
      </c>
      <c r="P18" s="137">
        <v>0</v>
      </c>
      <c r="Q18" s="137">
        <v>0</v>
      </c>
      <c r="R18" s="137">
        <v>0.84132686512423305</v>
      </c>
      <c r="S18" s="137">
        <v>0.159706657484216</v>
      </c>
      <c r="T18" s="137">
        <v>0</v>
      </c>
      <c r="U18" s="137">
        <v>0</v>
      </c>
      <c r="V18" s="137">
        <v>5.1436135788283002</v>
      </c>
      <c r="W18" s="137">
        <v>0.223541714785539</v>
      </c>
      <c r="X18" s="137">
        <v>0</v>
      </c>
      <c r="Y18" s="137">
        <v>9.208906849512589</v>
      </c>
      <c r="Z18" s="137">
        <v>4.8293551145840903</v>
      </c>
      <c r="AA18" s="111">
        <v>68.753889918086031</v>
      </c>
      <c r="AB18" s="111">
        <v>18.256237774820811</v>
      </c>
      <c r="AC18" s="111">
        <v>132.89176361685247</v>
      </c>
      <c r="AD18" s="111">
        <v>287.32949857346193</v>
      </c>
      <c r="AE18" s="111">
        <f t="shared" si="0"/>
        <v>219.90189130975932</v>
      </c>
      <c r="AF18" s="111">
        <f t="shared" si="1"/>
        <v>438.47749996513522</v>
      </c>
      <c r="AG18" s="111">
        <f t="shared" si="2"/>
        <v>507.23138988322125</v>
      </c>
      <c r="AH18" s="134"/>
    </row>
    <row r="19" spans="1:34" x14ac:dyDescent="0.2">
      <c r="A19" s="108" t="str">
        <f>'Forecast drivers'!C18</f>
        <v>NWT23</v>
      </c>
      <c r="B19" s="108" t="str">
        <f>'Forecast drivers'!A18</f>
        <v>NWT</v>
      </c>
      <c r="C19" s="108">
        <f>'Forecast drivers'!B18</f>
        <v>2023</v>
      </c>
      <c r="D19" s="51">
        <v>33.535246737948242</v>
      </c>
      <c r="E19" s="51"/>
      <c r="F19" s="51"/>
      <c r="G19" s="51">
        <v>200.48675414579702</v>
      </c>
      <c r="H19" s="51">
        <v>186.30413206961146</v>
      </c>
      <c r="I19" s="51">
        <v>353.25563947746025</v>
      </c>
      <c r="J19" s="51">
        <v>386.79088621540848</v>
      </c>
      <c r="K19" s="137">
        <v>6.0607904010554397E-3</v>
      </c>
      <c r="L19" s="137">
        <v>0</v>
      </c>
      <c r="M19" s="137">
        <v>0</v>
      </c>
      <c r="N19" s="137">
        <v>5.5972341470325301E-2</v>
      </c>
      <c r="O19" s="137">
        <v>0.89800465891172199</v>
      </c>
      <c r="P19" s="137">
        <v>0</v>
      </c>
      <c r="Q19" s="137">
        <v>0</v>
      </c>
      <c r="R19" s="137">
        <v>5.1806284181403803E-2</v>
      </c>
      <c r="S19" s="137">
        <v>0.16110726577568499</v>
      </c>
      <c r="T19" s="137">
        <v>0</v>
      </c>
      <c r="U19" s="137">
        <v>0</v>
      </c>
      <c r="V19" s="137">
        <v>0.31539933329321201</v>
      </c>
      <c r="W19" s="137">
        <v>0.223541714785539</v>
      </c>
      <c r="X19" s="137">
        <v>0</v>
      </c>
      <c r="Y19" s="137">
        <v>9.1106553104482497</v>
      </c>
      <c r="Z19" s="137">
        <v>0.29737662477010601</v>
      </c>
      <c r="AA19" s="111">
        <v>69.028882740061221</v>
      </c>
      <c r="AB19" s="111">
        <v>18.358938424124574</v>
      </c>
      <c r="AC19" s="111">
        <v>149.96832752835311</v>
      </c>
      <c r="AD19" s="111">
        <v>261.62845744328763</v>
      </c>
      <c r="AE19" s="111">
        <f t="shared" si="0"/>
        <v>237.35614869253891</v>
      </c>
      <c r="AF19" s="111">
        <f t="shared" si="1"/>
        <v>429.95572339576529</v>
      </c>
      <c r="AG19" s="111">
        <f t="shared" si="2"/>
        <v>498.98460613582654</v>
      </c>
      <c r="AH19" s="134"/>
    </row>
    <row r="20" spans="1:34" x14ac:dyDescent="0.2">
      <c r="A20" s="108" t="str">
        <f>'Forecast drivers'!C19</f>
        <v>NWT24</v>
      </c>
      <c r="B20" s="108" t="str">
        <f>'Forecast drivers'!A19</f>
        <v>NWT</v>
      </c>
      <c r="C20" s="108">
        <f>'Forecast drivers'!B19</f>
        <v>2024</v>
      </c>
      <c r="D20" s="51">
        <v>37.271973597722884</v>
      </c>
      <c r="E20" s="51"/>
      <c r="F20" s="51"/>
      <c r="G20" s="51">
        <v>186.74307830262168</v>
      </c>
      <c r="H20" s="51">
        <v>173.37531601558337</v>
      </c>
      <c r="I20" s="51">
        <v>322.84642072048217</v>
      </c>
      <c r="J20" s="51">
        <v>360.11839431820505</v>
      </c>
      <c r="K20" s="137">
        <v>6.0607904010554397E-3</v>
      </c>
      <c r="L20" s="137">
        <v>0</v>
      </c>
      <c r="M20" s="137">
        <v>0</v>
      </c>
      <c r="N20" s="137">
        <v>4.9258107750844202E-2</v>
      </c>
      <c r="O20" s="137">
        <v>0.90905098862414502</v>
      </c>
      <c r="P20" s="137">
        <v>0</v>
      </c>
      <c r="Q20" s="137">
        <v>0</v>
      </c>
      <c r="R20" s="137">
        <v>4.5591795185687602E-2</v>
      </c>
      <c r="S20" s="137">
        <v>0.162522488561131</v>
      </c>
      <c r="T20" s="137">
        <v>0</v>
      </c>
      <c r="U20" s="137">
        <v>0</v>
      </c>
      <c r="V20" s="137">
        <v>0.27639619949733601</v>
      </c>
      <c r="W20" s="137">
        <v>0.223541714785539</v>
      </c>
      <c r="X20" s="137">
        <v>0</v>
      </c>
      <c r="Y20" s="137">
        <v>24.780124816032931</v>
      </c>
      <c r="Z20" s="137">
        <v>0.26170443188041798</v>
      </c>
      <c r="AA20" s="111">
        <v>77.062762448850606</v>
      </c>
      <c r="AB20" s="111">
        <v>18.335279067705169</v>
      </c>
      <c r="AC20" s="111">
        <v>130.63130697612453</v>
      </c>
      <c r="AD20" s="111">
        <v>263.07846022852993</v>
      </c>
      <c r="AE20" s="111">
        <f t="shared" si="0"/>
        <v>226.0293484926803</v>
      </c>
      <c r="AF20" s="111">
        <f t="shared" si="1"/>
        <v>412.04504627235963</v>
      </c>
      <c r="AG20" s="111">
        <f t="shared" si="2"/>
        <v>489.10780872121023</v>
      </c>
      <c r="AH20" s="134"/>
    </row>
    <row r="21" spans="1:34" x14ac:dyDescent="0.2">
      <c r="A21" s="108" t="str">
        <f>'Forecast drivers'!C20</f>
        <v>NWT25</v>
      </c>
      <c r="B21" s="108" t="str">
        <f>'Forecast drivers'!A20</f>
        <v>NWT</v>
      </c>
      <c r="C21" s="108">
        <f>'Forecast drivers'!B20</f>
        <v>2025</v>
      </c>
      <c r="D21" s="51">
        <v>43.591392373149915</v>
      </c>
      <c r="E21" s="51"/>
      <c r="F21" s="51"/>
      <c r="G21" s="51">
        <v>175.75808322789788</v>
      </c>
      <c r="H21" s="51">
        <v>163.83802024594524</v>
      </c>
      <c r="I21" s="51">
        <v>296.00471110069321</v>
      </c>
      <c r="J21" s="51">
        <v>339.59610347384313</v>
      </c>
      <c r="K21" s="137">
        <v>6.0607904010554397E-3</v>
      </c>
      <c r="L21" s="137">
        <v>0</v>
      </c>
      <c r="M21" s="137">
        <v>0</v>
      </c>
      <c r="N21" s="137">
        <v>3.1512636719345601E-2</v>
      </c>
      <c r="O21" s="137">
        <v>0.92102236910611801</v>
      </c>
      <c r="P21" s="137">
        <v>0</v>
      </c>
      <c r="Q21" s="137">
        <v>0</v>
      </c>
      <c r="R21" s="137">
        <v>2.91671309490113E-2</v>
      </c>
      <c r="S21" s="137">
        <v>0.163949273313785</v>
      </c>
      <c r="T21" s="137">
        <v>0</v>
      </c>
      <c r="U21" s="137">
        <v>0</v>
      </c>
      <c r="V21" s="137">
        <v>0.17682313477049899</v>
      </c>
      <c r="W21" s="137">
        <v>0.223541714785539</v>
      </c>
      <c r="X21" s="137">
        <v>0</v>
      </c>
      <c r="Y21" s="137">
        <v>25.194895111887739</v>
      </c>
      <c r="Z21" s="137">
        <v>0.16742414733844499</v>
      </c>
      <c r="AA21" s="111">
        <v>93.021314020770106</v>
      </c>
      <c r="AB21" s="111">
        <v>18.373085213570068</v>
      </c>
      <c r="AC21" s="111">
        <v>114.67075427714271</v>
      </c>
      <c r="AD21" s="111">
        <v>258.82852669918873</v>
      </c>
      <c r="AE21" s="111">
        <f t="shared" si="0"/>
        <v>226.06515351148289</v>
      </c>
      <c r="AF21" s="111">
        <f t="shared" si="1"/>
        <v>391.87236618990153</v>
      </c>
      <c r="AG21" s="111">
        <f t="shared" si="2"/>
        <v>484.89368021067162</v>
      </c>
      <c r="AH21" s="134"/>
    </row>
    <row r="22" spans="1:34" x14ac:dyDescent="0.2">
      <c r="A22" s="108" t="str">
        <f>'Forecast drivers'!C21</f>
        <v>SRN21</v>
      </c>
      <c r="B22" s="108" t="str">
        <f>'Forecast drivers'!A21</f>
        <v>SRN</v>
      </c>
      <c r="C22" s="108">
        <f>'Forecast drivers'!B21</f>
        <v>2021</v>
      </c>
      <c r="D22" s="51">
        <v>14.84</v>
      </c>
      <c r="E22" s="51"/>
      <c r="F22" s="51"/>
      <c r="G22" s="51">
        <v>76.62299999999999</v>
      </c>
      <c r="H22" s="51">
        <v>104.39400000000001</v>
      </c>
      <c r="I22" s="51">
        <v>166.17699999999999</v>
      </c>
      <c r="J22" s="51">
        <v>181.017</v>
      </c>
      <c r="K22" s="137">
        <v>0.99</v>
      </c>
      <c r="L22" s="137">
        <v>0.77800000000000002</v>
      </c>
      <c r="M22" s="137">
        <v>0.77800000000000002</v>
      </c>
      <c r="N22" s="137">
        <v>0.17799999999999999</v>
      </c>
      <c r="O22" s="137">
        <v>0</v>
      </c>
      <c r="P22" s="137">
        <v>0</v>
      </c>
      <c r="Q22" s="137">
        <v>0</v>
      </c>
      <c r="R22" s="137">
        <v>0</v>
      </c>
      <c r="S22" s="137">
        <v>1</v>
      </c>
      <c r="T22" s="137">
        <v>0.49099999999999999</v>
      </c>
      <c r="U22" s="137">
        <v>0.49099999999999999</v>
      </c>
      <c r="V22" s="137">
        <v>2.7719999999999998</v>
      </c>
      <c r="W22" s="137">
        <v>0.77400000000000002</v>
      </c>
      <c r="X22" s="137">
        <v>1.1439999999999999</v>
      </c>
      <c r="Y22" s="137">
        <v>21.222000000000001</v>
      </c>
      <c r="Z22" s="137">
        <v>1.9239999999999999</v>
      </c>
      <c r="AA22" s="111">
        <v>25.086000000000002</v>
      </c>
      <c r="AB22" s="111">
        <v>0.621</v>
      </c>
      <c r="AC22" s="111">
        <v>117.33099999999999</v>
      </c>
      <c r="AD22" s="111">
        <v>108.37099999999998</v>
      </c>
      <c r="AE22" s="111">
        <f t="shared" si="0"/>
        <v>143.03799999999998</v>
      </c>
      <c r="AF22" s="111">
        <f t="shared" si="1"/>
        <v>226.32299999999998</v>
      </c>
      <c r="AG22" s="111">
        <f t="shared" si="2"/>
        <v>251.40899999999996</v>
      </c>
      <c r="AH22" s="134"/>
    </row>
    <row r="23" spans="1:34" x14ac:dyDescent="0.2">
      <c r="A23" s="108" t="str">
        <f>'Forecast drivers'!C22</f>
        <v>SRN22</v>
      </c>
      <c r="B23" s="108" t="str">
        <f>'Forecast drivers'!A22</f>
        <v>SRN</v>
      </c>
      <c r="C23" s="108">
        <f>'Forecast drivers'!B22</f>
        <v>2022</v>
      </c>
      <c r="D23" s="51">
        <v>14.628</v>
      </c>
      <c r="E23" s="51"/>
      <c r="F23" s="51"/>
      <c r="G23" s="51">
        <v>90.396000000000015</v>
      </c>
      <c r="H23" s="51">
        <v>91.352999999999952</v>
      </c>
      <c r="I23" s="51">
        <v>167.12099999999998</v>
      </c>
      <c r="J23" s="51">
        <v>181.74899999999997</v>
      </c>
      <c r="K23" s="137">
        <v>0.99</v>
      </c>
      <c r="L23" s="137">
        <v>0.497</v>
      </c>
      <c r="M23" s="137">
        <v>0.497</v>
      </c>
      <c r="N23" s="137">
        <v>0.18</v>
      </c>
      <c r="O23" s="137">
        <v>0</v>
      </c>
      <c r="P23" s="137">
        <v>0</v>
      </c>
      <c r="Q23" s="137">
        <v>0</v>
      </c>
      <c r="R23" s="137">
        <v>0</v>
      </c>
      <c r="S23" s="137">
        <v>1</v>
      </c>
      <c r="T23" s="137">
        <v>2.4159999999999999</v>
      </c>
      <c r="U23" s="137">
        <v>2.4159999999999999</v>
      </c>
      <c r="V23" s="137">
        <v>2.68</v>
      </c>
      <c r="W23" s="137">
        <v>0.77400000000000002</v>
      </c>
      <c r="X23" s="137">
        <v>1.1439999999999999</v>
      </c>
      <c r="Y23" s="137">
        <v>21.222000000000001</v>
      </c>
      <c r="Z23" s="137">
        <v>2.0779999999999998</v>
      </c>
      <c r="AA23" s="111">
        <v>24.015000000000001</v>
      </c>
      <c r="AB23" s="111">
        <v>0.621</v>
      </c>
      <c r="AC23" s="111">
        <v>106.61</v>
      </c>
      <c r="AD23" s="111">
        <v>121.13800000000001</v>
      </c>
      <c r="AE23" s="111">
        <f t="shared" si="0"/>
        <v>131.24600000000001</v>
      </c>
      <c r="AF23" s="111">
        <f t="shared" si="1"/>
        <v>228.369</v>
      </c>
      <c r="AG23" s="111">
        <f t="shared" si="2"/>
        <v>252.38400000000001</v>
      </c>
      <c r="AH23" s="134"/>
    </row>
    <row r="24" spans="1:34" x14ac:dyDescent="0.2">
      <c r="A24" s="108" t="str">
        <f>'Forecast drivers'!C23</f>
        <v>SRN23</v>
      </c>
      <c r="B24" s="108" t="str">
        <f>'Forecast drivers'!A23</f>
        <v>SRN</v>
      </c>
      <c r="C24" s="108">
        <f>'Forecast drivers'!B23</f>
        <v>2023</v>
      </c>
      <c r="D24" s="51">
        <v>13.895</v>
      </c>
      <c r="E24" s="51"/>
      <c r="F24" s="51"/>
      <c r="G24" s="51">
        <v>86.113000000000014</v>
      </c>
      <c r="H24" s="51">
        <v>82.792999999999992</v>
      </c>
      <c r="I24" s="51">
        <v>155.011</v>
      </c>
      <c r="J24" s="51">
        <v>168.90600000000001</v>
      </c>
      <c r="K24" s="137">
        <v>0.99</v>
      </c>
      <c r="L24" s="137">
        <v>0.372</v>
      </c>
      <c r="M24" s="137">
        <v>0.372</v>
      </c>
      <c r="N24" s="137">
        <v>0.184</v>
      </c>
      <c r="O24" s="137">
        <v>0</v>
      </c>
      <c r="P24" s="137">
        <v>0</v>
      </c>
      <c r="Q24" s="137">
        <v>0</v>
      </c>
      <c r="R24" s="137">
        <v>0</v>
      </c>
      <c r="S24" s="137">
        <v>1</v>
      </c>
      <c r="T24" s="137">
        <v>4.5640000000000001</v>
      </c>
      <c r="U24" s="137">
        <v>4.5640000000000001</v>
      </c>
      <c r="V24" s="137">
        <v>2.7269999999999999</v>
      </c>
      <c r="W24" s="137">
        <v>0.77400000000000002</v>
      </c>
      <c r="X24" s="137">
        <v>1.1439999999999999</v>
      </c>
      <c r="Y24" s="137">
        <v>21.222000000000001</v>
      </c>
      <c r="Z24" s="137">
        <v>2.1139999999999999</v>
      </c>
      <c r="AA24" s="111">
        <v>22.600999999999999</v>
      </c>
      <c r="AB24" s="111">
        <v>0.629</v>
      </c>
      <c r="AC24" s="111">
        <v>88.795999999999992</v>
      </c>
      <c r="AD24" s="111">
        <v>119.923</v>
      </c>
      <c r="AE24" s="111">
        <f t="shared" si="0"/>
        <v>112.026</v>
      </c>
      <c r="AF24" s="111">
        <f t="shared" si="1"/>
        <v>209.34800000000001</v>
      </c>
      <c r="AG24" s="111">
        <f t="shared" si="2"/>
        <v>231.94900000000001</v>
      </c>
      <c r="AH24" s="134"/>
    </row>
    <row r="25" spans="1:34" x14ac:dyDescent="0.2">
      <c r="A25" s="108" t="str">
        <f>'Forecast drivers'!C24</f>
        <v>SRN24</v>
      </c>
      <c r="B25" s="108" t="str">
        <f>'Forecast drivers'!A24</f>
        <v>SRN</v>
      </c>
      <c r="C25" s="108">
        <f>'Forecast drivers'!B24</f>
        <v>2024</v>
      </c>
      <c r="D25" s="51">
        <v>13.066000000000001</v>
      </c>
      <c r="E25" s="51"/>
      <c r="F25" s="51"/>
      <c r="G25" s="51">
        <v>72.890999999999991</v>
      </c>
      <c r="H25" s="51">
        <v>67.188000000000017</v>
      </c>
      <c r="I25" s="51">
        <v>127.01300000000001</v>
      </c>
      <c r="J25" s="51">
        <v>140.07900000000001</v>
      </c>
      <c r="K25" s="137">
        <v>0.99</v>
      </c>
      <c r="L25" s="137">
        <v>0.36399999999999999</v>
      </c>
      <c r="M25" s="137">
        <v>0.36399999999999999</v>
      </c>
      <c r="N25" s="137">
        <v>0.183</v>
      </c>
      <c r="O25" s="137">
        <v>0</v>
      </c>
      <c r="P25" s="137">
        <v>0</v>
      </c>
      <c r="Q25" s="137">
        <v>0</v>
      </c>
      <c r="R25" s="137">
        <v>0</v>
      </c>
      <c r="S25" s="137">
        <v>1</v>
      </c>
      <c r="T25" s="137">
        <v>2.5550000000000002</v>
      </c>
      <c r="U25" s="137">
        <v>2.5550000000000002</v>
      </c>
      <c r="V25" s="137">
        <v>2.7149999999999999</v>
      </c>
      <c r="W25" s="137">
        <v>0.77400000000000002</v>
      </c>
      <c r="X25" s="137">
        <v>1.1439999999999999</v>
      </c>
      <c r="Y25" s="137">
        <v>21.222000000000001</v>
      </c>
      <c r="Z25" s="137">
        <v>2.105</v>
      </c>
      <c r="AA25" s="111">
        <v>22.837000000000003</v>
      </c>
      <c r="AB25" s="111">
        <v>0.629</v>
      </c>
      <c r="AC25" s="111">
        <v>69.634</v>
      </c>
      <c r="AD25" s="111">
        <v>121.01299999999999</v>
      </c>
      <c r="AE25" s="111">
        <f t="shared" si="0"/>
        <v>93.100000000000009</v>
      </c>
      <c r="AF25" s="111">
        <f t="shared" si="1"/>
        <v>191.27600000000001</v>
      </c>
      <c r="AG25" s="111">
        <f t="shared" si="2"/>
        <v>214.113</v>
      </c>
      <c r="AH25" s="134"/>
    </row>
    <row r="26" spans="1:34" x14ac:dyDescent="0.2">
      <c r="A26" s="108" t="str">
        <f>'Forecast drivers'!C25</f>
        <v>SRN25</v>
      </c>
      <c r="B26" s="108" t="str">
        <f>'Forecast drivers'!A25</f>
        <v>SRN</v>
      </c>
      <c r="C26" s="108">
        <f>'Forecast drivers'!B25</f>
        <v>2025</v>
      </c>
      <c r="D26" s="51">
        <v>12.853</v>
      </c>
      <c r="E26" s="51"/>
      <c r="F26" s="51"/>
      <c r="G26" s="51">
        <v>71.462999999999994</v>
      </c>
      <c r="H26" s="51">
        <v>63.061000000000007</v>
      </c>
      <c r="I26" s="51">
        <v>121.67100000000001</v>
      </c>
      <c r="J26" s="51">
        <v>134.524</v>
      </c>
      <c r="K26" s="137">
        <v>0.99</v>
      </c>
      <c r="L26" s="137">
        <v>0.152</v>
      </c>
      <c r="M26" s="137">
        <v>0.152</v>
      </c>
      <c r="N26" s="137">
        <v>0.185</v>
      </c>
      <c r="O26" s="137">
        <v>0</v>
      </c>
      <c r="P26" s="137">
        <v>0</v>
      </c>
      <c r="Q26" s="137">
        <v>0</v>
      </c>
      <c r="R26" s="137">
        <v>0</v>
      </c>
      <c r="S26" s="137">
        <v>1</v>
      </c>
      <c r="T26" s="137">
        <v>1.337</v>
      </c>
      <c r="U26" s="137">
        <v>1.337</v>
      </c>
      <c r="V26" s="137">
        <v>2.7429999999999999</v>
      </c>
      <c r="W26" s="137">
        <v>0.77400000000000002</v>
      </c>
      <c r="X26" s="137">
        <v>1.1439999999999999</v>
      </c>
      <c r="Y26" s="137">
        <v>21.222000000000001</v>
      </c>
      <c r="Z26" s="137">
        <v>2.1280000000000001</v>
      </c>
      <c r="AA26" s="111">
        <v>22.974000000000004</v>
      </c>
      <c r="AB26" s="111">
        <v>0.622</v>
      </c>
      <c r="AC26" s="111">
        <v>69.981999999999999</v>
      </c>
      <c r="AD26" s="111">
        <v>136.30599999999998</v>
      </c>
      <c r="AE26" s="111">
        <f t="shared" si="0"/>
        <v>93.578000000000003</v>
      </c>
      <c r="AF26" s="111">
        <f t="shared" si="1"/>
        <v>206.90999999999997</v>
      </c>
      <c r="AG26" s="111">
        <f t="shared" si="2"/>
        <v>229.88399999999999</v>
      </c>
      <c r="AH26" s="134"/>
    </row>
    <row r="27" spans="1:34" x14ac:dyDescent="0.2">
      <c r="A27" s="108" t="str">
        <f>'Forecast drivers'!C31</f>
        <v>SWB21</v>
      </c>
      <c r="B27" s="108" t="str">
        <f>'Forecast drivers'!A31</f>
        <v>SWB</v>
      </c>
      <c r="C27" s="108">
        <f>'Forecast drivers'!B31</f>
        <v>2021</v>
      </c>
      <c r="D27" s="51">
        <v>7.3469999999999986</v>
      </c>
      <c r="E27" s="51"/>
      <c r="F27" s="51"/>
      <c r="G27" s="51">
        <v>63.119</v>
      </c>
      <c r="H27" s="51">
        <v>47.396000000000001</v>
      </c>
      <c r="I27" s="51">
        <v>103.16800000000001</v>
      </c>
      <c r="J27" s="51">
        <v>110.515</v>
      </c>
      <c r="K27" s="137">
        <v>0</v>
      </c>
      <c r="L27" s="137">
        <v>0</v>
      </c>
      <c r="M27" s="137">
        <v>0.13800000000000001</v>
      </c>
      <c r="N27" s="137">
        <v>0.20399999999999999</v>
      </c>
      <c r="O27" s="137">
        <v>0</v>
      </c>
      <c r="P27" s="137">
        <v>0</v>
      </c>
      <c r="Q27" s="137">
        <v>0</v>
      </c>
      <c r="R27" s="137">
        <v>0.14399999999999999</v>
      </c>
      <c r="S27" s="137">
        <v>0</v>
      </c>
      <c r="T27" s="137">
        <v>0</v>
      </c>
      <c r="U27" s="137">
        <v>0</v>
      </c>
      <c r="V27" s="137">
        <v>1.9750000000000001</v>
      </c>
      <c r="W27" s="137">
        <v>0.95799999999999996</v>
      </c>
      <c r="X27" s="137">
        <v>4</v>
      </c>
      <c r="Y27" s="137">
        <v>7.3719999999999999</v>
      </c>
      <c r="Z27" s="137">
        <v>2.3319999999999999</v>
      </c>
      <c r="AA27" s="111">
        <v>16.638000000000002</v>
      </c>
      <c r="AB27" s="111">
        <v>4.5860000000000003</v>
      </c>
      <c r="AC27" s="111">
        <v>52.760999999999996</v>
      </c>
      <c r="AD27" s="111">
        <v>88.838000000000008</v>
      </c>
      <c r="AE27" s="111">
        <f t="shared" si="0"/>
        <v>73.984999999999999</v>
      </c>
      <c r="AF27" s="111">
        <f t="shared" si="1"/>
        <v>146.185</v>
      </c>
      <c r="AG27" s="111">
        <f t="shared" si="2"/>
        <v>162.82300000000001</v>
      </c>
      <c r="AH27" s="134"/>
    </row>
    <row r="28" spans="1:34" x14ac:dyDescent="0.2">
      <c r="A28" s="108" t="str">
        <f>'Forecast drivers'!C32</f>
        <v>SWB22</v>
      </c>
      <c r="B28" s="108" t="str">
        <f>'Forecast drivers'!A32</f>
        <v>SWB</v>
      </c>
      <c r="C28" s="108">
        <f>'Forecast drivers'!B32</f>
        <v>2022</v>
      </c>
      <c r="D28" s="51">
        <v>7.8779999999999983</v>
      </c>
      <c r="E28" s="51"/>
      <c r="F28" s="51"/>
      <c r="G28" s="51">
        <v>63.609999999999992</v>
      </c>
      <c r="H28" s="51">
        <v>54.646000000000008</v>
      </c>
      <c r="I28" s="51">
        <v>110.378</v>
      </c>
      <c r="J28" s="51">
        <v>118.256</v>
      </c>
      <c r="K28" s="137">
        <v>0</v>
      </c>
      <c r="L28" s="137">
        <v>0</v>
      </c>
      <c r="M28" s="137">
        <v>1.2999999999999999E-2</v>
      </c>
      <c r="N28" s="137">
        <v>0.20599999999999999</v>
      </c>
      <c r="O28" s="137">
        <v>0</v>
      </c>
      <c r="P28" s="137">
        <v>0</v>
      </c>
      <c r="Q28" s="137">
        <v>0</v>
      </c>
      <c r="R28" s="137">
        <v>0.14499999999999999</v>
      </c>
      <c r="S28" s="137">
        <v>0</v>
      </c>
      <c r="T28" s="137">
        <v>0</v>
      </c>
      <c r="U28" s="137">
        <v>0</v>
      </c>
      <c r="V28" s="137">
        <v>1.9950000000000001</v>
      </c>
      <c r="W28" s="137">
        <v>0.95799999999999996</v>
      </c>
      <c r="X28" s="137">
        <v>4</v>
      </c>
      <c r="Y28" s="137">
        <v>8.7319999999999993</v>
      </c>
      <c r="Z28" s="137">
        <v>2.355</v>
      </c>
      <c r="AA28" s="111">
        <v>17.260000000000002</v>
      </c>
      <c r="AB28" s="111">
        <v>5.5290000000000008</v>
      </c>
      <c r="AC28" s="111">
        <v>64.585999999999999</v>
      </c>
      <c r="AD28" s="111">
        <v>91.38</v>
      </c>
      <c r="AE28" s="111">
        <f t="shared" si="0"/>
        <v>87.375</v>
      </c>
      <c r="AF28" s="111">
        <f t="shared" si="1"/>
        <v>161.495</v>
      </c>
      <c r="AG28" s="111">
        <f t="shared" si="2"/>
        <v>178.755</v>
      </c>
      <c r="AH28" s="134"/>
    </row>
    <row r="29" spans="1:34" x14ac:dyDescent="0.2">
      <c r="A29" s="108" t="str">
        <f>'Forecast drivers'!C33</f>
        <v>SWB23</v>
      </c>
      <c r="B29" s="108" t="str">
        <f>'Forecast drivers'!A33</f>
        <v>SWB</v>
      </c>
      <c r="C29" s="108">
        <f>'Forecast drivers'!B33</f>
        <v>2023</v>
      </c>
      <c r="D29" s="51">
        <v>7.016</v>
      </c>
      <c r="E29" s="51"/>
      <c r="F29" s="51"/>
      <c r="G29" s="51">
        <v>63.227000000000004</v>
      </c>
      <c r="H29" s="51">
        <v>59.131</v>
      </c>
      <c r="I29" s="51">
        <v>115.342</v>
      </c>
      <c r="J29" s="51">
        <v>122.358</v>
      </c>
      <c r="K29" s="137">
        <v>0</v>
      </c>
      <c r="L29" s="137">
        <v>0</v>
      </c>
      <c r="M29" s="137">
        <v>1.2999999999999999E-2</v>
      </c>
      <c r="N29" s="137">
        <v>0</v>
      </c>
      <c r="O29" s="137">
        <v>0</v>
      </c>
      <c r="P29" s="137">
        <v>0</v>
      </c>
      <c r="Q29" s="137">
        <v>0</v>
      </c>
      <c r="R29" s="137">
        <v>0</v>
      </c>
      <c r="S29" s="137">
        <v>0</v>
      </c>
      <c r="T29" s="137">
        <v>0</v>
      </c>
      <c r="U29" s="137">
        <v>0</v>
      </c>
      <c r="V29" s="137">
        <v>0</v>
      </c>
      <c r="W29" s="137">
        <v>0.95799999999999996</v>
      </c>
      <c r="X29" s="137">
        <v>4</v>
      </c>
      <c r="Y29" s="137">
        <v>9.9550000000000001</v>
      </c>
      <c r="Z29" s="137">
        <v>0</v>
      </c>
      <c r="AA29" s="111">
        <v>16.186</v>
      </c>
      <c r="AB29" s="111">
        <v>7.2919999999999998</v>
      </c>
      <c r="AC29" s="111">
        <v>80.673000000000002</v>
      </c>
      <c r="AD29" s="111">
        <v>93.052999999999997</v>
      </c>
      <c r="AE29" s="111">
        <f t="shared" si="0"/>
        <v>104.15100000000001</v>
      </c>
      <c r="AF29" s="111">
        <f t="shared" si="1"/>
        <v>181.018</v>
      </c>
      <c r="AG29" s="111">
        <f t="shared" si="2"/>
        <v>197.20400000000001</v>
      </c>
      <c r="AH29" s="134"/>
    </row>
    <row r="30" spans="1:34" x14ac:dyDescent="0.2">
      <c r="A30" s="108" t="str">
        <f>'Forecast drivers'!C34</f>
        <v>SWB24</v>
      </c>
      <c r="B30" s="108" t="str">
        <f>'Forecast drivers'!A34</f>
        <v>SWB</v>
      </c>
      <c r="C30" s="108">
        <f>'Forecast drivers'!B34</f>
        <v>2024</v>
      </c>
      <c r="D30" s="51">
        <v>5.9669999999999996</v>
      </c>
      <c r="E30" s="51"/>
      <c r="F30" s="51"/>
      <c r="G30" s="51">
        <v>59.865000000000002</v>
      </c>
      <c r="H30" s="51">
        <v>57.533999999999999</v>
      </c>
      <c r="I30" s="51">
        <v>111.432</v>
      </c>
      <c r="J30" s="51">
        <v>117.399</v>
      </c>
      <c r="K30" s="137">
        <v>0</v>
      </c>
      <c r="L30" s="137">
        <v>0</v>
      </c>
      <c r="M30" s="137">
        <v>1.2999999999999999E-2</v>
      </c>
      <c r="N30" s="137">
        <v>0</v>
      </c>
      <c r="O30" s="137">
        <v>0</v>
      </c>
      <c r="P30" s="137">
        <v>0</v>
      </c>
      <c r="Q30" s="137">
        <v>0</v>
      </c>
      <c r="R30" s="137">
        <v>0</v>
      </c>
      <c r="S30" s="137">
        <v>0</v>
      </c>
      <c r="T30" s="137">
        <v>0</v>
      </c>
      <c r="U30" s="137">
        <v>0</v>
      </c>
      <c r="V30" s="137">
        <v>0</v>
      </c>
      <c r="W30" s="137">
        <v>0.95799999999999996</v>
      </c>
      <c r="X30" s="137">
        <v>4</v>
      </c>
      <c r="Y30" s="137">
        <v>10.019</v>
      </c>
      <c r="Z30" s="137">
        <v>0</v>
      </c>
      <c r="AA30" s="111">
        <v>15.044</v>
      </c>
      <c r="AB30" s="111">
        <v>7.3369999999999997</v>
      </c>
      <c r="AC30" s="111">
        <v>77.956000000000003</v>
      </c>
      <c r="AD30" s="111">
        <v>86.439000000000007</v>
      </c>
      <c r="AE30" s="111">
        <f t="shared" si="0"/>
        <v>100.337</v>
      </c>
      <c r="AF30" s="111">
        <f t="shared" si="1"/>
        <v>171.73200000000003</v>
      </c>
      <c r="AG30" s="111">
        <f t="shared" si="2"/>
        <v>186.77600000000001</v>
      </c>
      <c r="AH30" s="134"/>
    </row>
    <row r="31" spans="1:34" x14ac:dyDescent="0.2">
      <c r="A31" s="108" t="str">
        <f>'Forecast drivers'!C35</f>
        <v>SWB25</v>
      </c>
      <c r="B31" s="108" t="str">
        <f>'Forecast drivers'!A35</f>
        <v>SWB</v>
      </c>
      <c r="C31" s="108">
        <f>'Forecast drivers'!B35</f>
        <v>2025</v>
      </c>
      <c r="D31" s="51">
        <v>5.6229999999999993</v>
      </c>
      <c r="E31" s="51"/>
      <c r="F31" s="51"/>
      <c r="G31" s="51">
        <v>59.818999999999996</v>
      </c>
      <c r="H31" s="51">
        <v>57.87</v>
      </c>
      <c r="I31" s="51">
        <v>112.06599999999999</v>
      </c>
      <c r="J31" s="51">
        <v>117.68899999999999</v>
      </c>
      <c r="K31" s="137">
        <v>0</v>
      </c>
      <c r="L31" s="137">
        <v>0</v>
      </c>
      <c r="M31" s="137">
        <v>0</v>
      </c>
      <c r="N31" s="137">
        <v>0</v>
      </c>
      <c r="O31" s="137">
        <v>0</v>
      </c>
      <c r="P31" s="137">
        <v>0</v>
      </c>
      <c r="Q31" s="137">
        <v>0</v>
      </c>
      <c r="R31" s="137">
        <v>0</v>
      </c>
      <c r="S31" s="137">
        <v>0</v>
      </c>
      <c r="T31" s="137">
        <v>0</v>
      </c>
      <c r="U31" s="137">
        <v>0</v>
      </c>
      <c r="V31" s="137">
        <v>0</v>
      </c>
      <c r="W31" s="137">
        <v>0.95799999999999996</v>
      </c>
      <c r="X31" s="137">
        <v>4</v>
      </c>
      <c r="Y31" s="137">
        <v>9.7089999999999996</v>
      </c>
      <c r="Z31" s="137">
        <v>0</v>
      </c>
      <c r="AA31" s="111">
        <v>14.776999999999999</v>
      </c>
      <c r="AB31" s="111">
        <v>7.4729999999999999</v>
      </c>
      <c r="AC31" s="111">
        <v>72.86</v>
      </c>
      <c r="AD31" s="111">
        <v>85.402000000000001</v>
      </c>
      <c r="AE31" s="111">
        <f t="shared" si="0"/>
        <v>95.11</v>
      </c>
      <c r="AF31" s="111">
        <f t="shared" si="1"/>
        <v>165.73500000000001</v>
      </c>
      <c r="AG31" s="111">
        <f t="shared" si="2"/>
        <v>180.512</v>
      </c>
      <c r="AH31" s="134"/>
    </row>
    <row r="32" spans="1:34" x14ac:dyDescent="0.2">
      <c r="A32" s="108" t="str">
        <f>'Forecast drivers'!C36</f>
        <v>TMS21</v>
      </c>
      <c r="B32" s="108" t="str">
        <f>'Forecast drivers'!A36</f>
        <v>TMS</v>
      </c>
      <c r="C32" s="108">
        <f>'Forecast drivers'!B36</f>
        <v>2021</v>
      </c>
      <c r="D32" s="51">
        <v>77.461900738688882</v>
      </c>
      <c r="E32" s="51"/>
      <c r="F32" s="51"/>
      <c r="G32" s="51">
        <v>557.10687170081917</v>
      </c>
      <c r="H32" s="51">
        <v>229.35470977380635</v>
      </c>
      <c r="I32" s="51">
        <v>708.99968073593664</v>
      </c>
      <c r="J32" s="51">
        <v>786.46158147462552</v>
      </c>
      <c r="K32" s="137">
        <v>2.7831840249554198</v>
      </c>
      <c r="L32" s="137">
        <v>0</v>
      </c>
      <c r="M32" s="137">
        <v>0</v>
      </c>
      <c r="N32" s="137">
        <v>1.1104086039207</v>
      </c>
      <c r="O32" s="137">
        <v>0</v>
      </c>
      <c r="P32" s="137">
        <v>0</v>
      </c>
      <c r="Q32" s="137">
        <v>0</v>
      </c>
      <c r="R32" s="137">
        <v>8.7279061099444694E-2</v>
      </c>
      <c r="S32" s="137">
        <v>0.73647783395349897</v>
      </c>
      <c r="T32" s="137">
        <v>0</v>
      </c>
      <c r="U32" s="137">
        <v>0</v>
      </c>
      <c r="V32" s="137">
        <v>3.09243313602152</v>
      </c>
      <c r="W32" s="137">
        <v>3.03518582695063</v>
      </c>
      <c r="X32" s="137">
        <v>0</v>
      </c>
      <c r="Y32" s="137">
        <v>43.89248509703922</v>
      </c>
      <c r="Z32" s="137">
        <v>6.53980475206727</v>
      </c>
      <c r="AA32" s="111">
        <v>101.32178911012387</v>
      </c>
      <c r="AB32" s="111">
        <v>17.781541413699056</v>
      </c>
      <c r="AC32" s="111">
        <v>176.02626245026596</v>
      </c>
      <c r="AD32" s="111">
        <v>741.2159063632422</v>
      </c>
      <c r="AE32" s="111">
        <f t="shared" si="0"/>
        <v>295.12959297408889</v>
      </c>
      <c r="AF32" s="111">
        <f t="shared" si="1"/>
        <v>935.02371022720718</v>
      </c>
      <c r="AG32" s="111">
        <f t="shared" si="2"/>
        <v>1036.3454993373311</v>
      </c>
      <c r="AH32" s="134"/>
    </row>
    <row r="33" spans="1:34" x14ac:dyDescent="0.2">
      <c r="A33" s="108" t="str">
        <f>'Forecast drivers'!C37</f>
        <v>TMS22</v>
      </c>
      <c r="B33" s="108" t="str">
        <f>'Forecast drivers'!A37</f>
        <v>TMS</v>
      </c>
      <c r="C33" s="108">
        <f>'Forecast drivers'!B37</f>
        <v>2022</v>
      </c>
      <c r="D33" s="51">
        <v>74.980978596408249</v>
      </c>
      <c r="E33" s="51"/>
      <c r="F33" s="51"/>
      <c r="G33" s="51">
        <v>554.72252522153929</v>
      </c>
      <c r="H33" s="51">
        <v>249.98812439519156</v>
      </c>
      <c r="I33" s="51">
        <v>729.7296710203226</v>
      </c>
      <c r="J33" s="51">
        <v>804.71064961673085</v>
      </c>
      <c r="K33" s="137">
        <v>2.9523159271177501</v>
      </c>
      <c r="L33" s="137">
        <v>0</v>
      </c>
      <c r="M33" s="137">
        <v>0</v>
      </c>
      <c r="N33" s="137">
        <v>1.1153002717793801</v>
      </c>
      <c r="O33" s="137">
        <v>0</v>
      </c>
      <c r="P33" s="137">
        <v>0</v>
      </c>
      <c r="Q33" s="137">
        <v>0</v>
      </c>
      <c r="R33" s="137">
        <v>8.7663550355389405E-2</v>
      </c>
      <c r="S33" s="137">
        <v>0.78123301213793095</v>
      </c>
      <c r="T33" s="137">
        <v>0</v>
      </c>
      <c r="U33" s="137">
        <v>0</v>
      </c>
      <c r="V33" s="137">
        <v>3.1060561894841698</v>
      </c>
      <c r="W33" s="137">
        <v>3.0274507860864399</v>
      </c>
      <c r="X33" s="137">
        <v>0</v>
      </c>
      <c r="Y33" s="137">
        <v>41.778741077085648</v>
      </c>
      <c r="Z33" s="137">
        <v>6.5686144646314402</v>
      </c>
      <c r="AA33" s="111">
        <v>107.08305404300287</v>
      </c>
      <c r="AB33" s="111">
        <v>29.14245287146051</v>
      </c>
      <c r="AC33" s="111">
        <v>224.19017532874489</v>
      </c>
      <c r="AD33" s="111">
        <v>765.62797721409981</v>
      </c>
      <c r="AE33" s="111">
        <f t="shared" si="0"/>
        <v>360.41568224320827</v>
      </c>
      <c r="AF33" s="111">
        <f t="shared" si="1"/>
        <v>1018.9606054143052</v>
      </c>
      <c r="AG33" s="111">
        <f t="shared" si="2"/>
        <v>1126.043659457308</v>
      </c>
      <c r="AH33" s="134"/>
    </row>
    <row r="34" spans="1:34" x14ac:dyDescent="0.2">
      <c r="A34" s="108" t="str">
        <f>'Forecast drivers'!C38</f>
        <v>TMS23</v>
      </c>
      <c r="B34" s="108" t="str">
        <f>'Forecast drivers'!A38</f>
        <v>TMS</v>
      </c>
      <c r="C34" s="108">
        <f>'Forecast drivers'!B38</f>
        <v>2023</v>
      </c>
      <c r="D34" s="51">
        <v>65.364102183136566</v>
      </c>
      <c r="E34" s="51"/>
      <c r="F34" s="51"/>
      <c r="G34" s="51">
        <v>498.40724020694773</v>
      </c>
      <c r="H34" s="51">
        <v>228.94102050962277</v>
      </c>
      <c r="I34" s="51">
        <v>661.98415853343397</v>
      </c>
      <c r="J34" s="51">
        <v>727.34826071657051</v>
      </c>
      <c r="K34" s="137">
        <v>3.0919136764552202</v>
      </c>
      <c r="L34" s="137">
        <v>0</v>
      </c>
      <c r="M34" s="137">
        <v>0</v>
      </c>
      <c r="N34" s="137">
        <v>1.1250836074967501</v>
      </c>
      <c r="O34" s="137">
        <v>0</v>
      </c>
      <c r="P34" s="137">
        <v>0</v>
      </c>
      <c r="Q34" s="137">
        <v>0</v>
      </c>
      <c r="R34" s="137">
        <v>8.8432528867278704E-2</v>
      </c>
      <c r="S34" s="137">
        <v>0.81817295111968502</v>
      </c>
      <c r="T34" s="137">
        <v>0</v>
      </c>
      <c r="U34" s="137">
        <v>0</v>
      </c>
      <c r="V34" s="137">
        <v>3.1333022964094699</v>
      </c>
      <c r="W34" s="137">
        <v>3.03895712791059</v>
      </c>
      <c r="X34" s="137">
        <v>0</v>
      </c>
      <c r="Y34" s="137">
        <v>36.14125216374633</v>
      </c>
      <c r="Z34" s="137">
        <v>6.6262338897597903</v>
      </c>
      <c r="AA34" s="111">
        <v>112.83501499804804</v>
      </c>
      <c r="AB34" s="111">
        <v>34.963764904201021</v>
      </c>
      <c r="AC34" s="111">
        <v>213.49434456144382</v>
      </c>
      <c r="AD34" s="111">
        <v>734.34935806578892</v>
      </c>
      <c r="AE34" s="111">
        <f t="shared" si="0"/>
        <v>361.29312446369289</v>
      </c>
      <c r="AF34" s="111">
        <f t="shared" si="1"/>
        <v>982.80746753143376</v>
      </c>
      <c r="AG34" s="111">
        <f t="shared" si="2"/>
        <v>1095.6424825294819</v>
      </c>
      <c r="AH34" s="134"/>
    </row>
    <row r="35" spans="1:34" x14ac:dyDescent="0.2">
      <c r="A35" s="108" t="str">
        <f>'Forecast drivers'!C39</f>
        <v>TMS24</v>
      </c>
      <c r="B35" s="108" t="str">
        <f>'Forecast drivers'!A39</f>
        <v>TMS</v>
      </c>
      <c r="C35" s="108">
        <f>'Forecast drivers'!B39</f>
        <v>2024</v>
      </c>
      <c r="D35" s="51">
        <v>53.147978796701324</v>
      </c>
      <c r="E35" s="51"/>
      <c r="F35" s="51"/>
      <c r="G35" s="51">
        <v>492.45911665755608</v>
      </c>
      <c r="H35" s="51">
        <v>186.63752998253364</v>
      </c>
      <c r="I35" s="51">
        <v>625.94866784338842</v>
      </c>
      <c r="J35" s="51">
        <v>679.09664664008972</v>
      </c>
      <c r="K35" s="137">
        <v>3.1478080545360898</v>
      </c>
      <c r="L35" s="137">
        <v>0</v>
      </c>
      <c r="M35" s="137">
        <v>0</v>
      </c>
      <c r="N35" s="137">
        <v>1.1348669432141101</v>
      </c>
      <c r="O35" s="137">
        <v>0</v>
      </c>
      <c r="P35" s="137">
        <v>0</v>
      </c>
      <c r="Q35" s="137">
        <v>0</v>
      </c>
      <c r="R35" s="137">
        <v>8.9201507379168099E-2</v>
      </c>
      <c r="S35" s="137">
        <v>0.83296355430297297</v>
      </c>
      <c r="T35" s="137">
        <v>0</v>
      </c>
      <c r="U35" s="137">
        <v>0</v>
      </c>
      <c r="V35" s="137">
        <v>3.1605484033347699</v>
      </c>
      <c r="W35" s="137">
        <v>3.04279423742731</v>
      </c>
      <c r="X35" s="137">
        <v>0</v>
      </c>
      <c r="Y35" s="137">
        <v>34.99653953274106</v>
      </c>
      <c r="Z35" s="137">
        <v>6.6838533148881396</v>
      </c>
      <c r="AA35" s="111">
        <v>109.40105516604982</v>
      </c>
      <c r="AB35" s="111">
        <v>23.960333582412531</v>
      </c>
      <c r="AC35" s="111">
        <v>188.13423952752225</v>
      </c>
      <c r="AD35" s="111">
        <v>729.37836563653366</v>
      </c>
      <c r="AE35" s="111">
        <f t="shared" si="0"/>
        <v>321.49562827598459</v>
      </c>
      <c r="AF35" s="111">
        <f t="shared" si="1"/>
        <v>941.47293874646846</v>
      </c>
      <c r="AG35" s="111">
        <f t="shared" si="2"/>
        <v>1050.8739939125182</v>
      </c>
      <c r="AH35" s="134"/>
    </row>
    <row r="36" spans="1:34" x14ac:dyDescent="0.2">
      <c r="A36" s="108" t="str">
        <f>'Forecast drivers'!C40</f>
        <v>TMS25</v>
      </c>
      <c r="B36" s="108" t="str">
        <f>'Forecast drivers'!A40</f>
        <v>TMS</v>
      </c>
      <c r="C36" s="108">
        <f>'Forecast drivers'!B40</f>
        <v>2025</v>
      </c>
      <c r="D36" s="51">
        <v>50.254614304449078</v>
      </c>
      <c r="E36" s="51"/>
      <c r="F36" s="51"/>
      <c r="G36" s="51">
        <v>475.86368696802634</v>
      </c>
      <c r="H36" s="51">
        <v>169.0145938213879</v>
      </c>
      <c r="I36" s="51">
        <v>594.62366648496516</v>
      </c>
      <c r="J36" s="51">
        <v>644.87828078941425</v>
      </c>
      <c r="K36" s="137">
        <v>3.1955447427287802</v>
      </c>
      <c r="L36" s="137">
        <v>0</v>
      </c>
      <c r="M36" s="137">
        <v>0</v>
      </c>
      <c r="N36" s="137">
        <v>1.13975861107279</v>
      </c>
      <c r="O36" s="137">
        <v>0</v>
      </c>
      <c r="P36" s="137">
        <v>0</v>
      </c>
      <c r="Q36" s="137">
        <v>0</v>
      </c>
      <c r="R36" s="137">
        <v>8.9585996635112797E-2</v>
      </c>
      <c r="S36" s="137">
        <v>0.845595493982501</v>
      </c>
      <c r="T36" s="137">
        <v>0</v>
      </c>
      <c r="U36" s="137">
        <v>0</v>
      </c>
      <c r="V36" s="137">
        <v>3.1741714567974202</v>
      </c>
      <c r="W36" s="137">
        <v>3.0381635024653701</v>
      </c>
      <c r="X36" s="137">
        <v>0</v>
      </c>
      <c r="Y36" s="137">
        <v>32.30051468159381</v>
      </c>
      <c r="Z36" s="137">
        <v>6.7126630274523098</v>
      </c>
      <c r="AA36" s="111">
        <v>106.23771103029843</v>
      </c>
      <c r="AB36" s="111">
        <v>14.316995502666787</v>
      </c>
      <c r="AC36" s="111">
        <v>185.69789330980808</v>
      </c>
      <c r="AD36" s="111">
        <v>705.77121112269208</v>
      </c>
      <c r="AE36" s="111">
        <f t="shared" si="0"/>
        <v>306.25259984277329</v>
      </c>
      <c r="AF36" s="111">
        <f t="shared" si="1"/>
        <v>905.78609993516693</v>
      </c>
      <c r="AG36" s="111">
        <f t="shared" si="2"/>
        <v>1012.0238109654654</v>
      </c>
      <c r="AH36" s="134"/>
    </row>
    <row r="37" spans="1:34" x14ac:dyDescent="0.2">
      <c r="A37" s="108" t="str">
        <f>'Forecast drivers'!C41</f>
        <v>WSH21</v>
      </c>
      <c r="B37" s="108" t="str">
        <f>'Forecast drivers'!A41</f>
        <v>WSH</v>
      </c>
      <c r="C37" s="108">
        <f>'Forecast drivers'!B41</f>
        <v>2021</v>
      </c>
      <c r="D37" s="51">
        <v>21.980999999999998</v>
      </c>
      <c r="E37" s="51"/>
      <c r="F37" s="51"/>
      <c r="G37" s="51">
        <v>108.57300000000002</v>
      </c>
      <c r="H37" s="51">
        <v>100.28499999999995</v>
      </c>
      <c r="I37" s="51">
        <v>186.87699999999998</v>
      </c>
      <c r="J37" s="51">
        <v>208.85799999999998</v>
      </c>
      <c r="K37" s="137">
        <v>7.1859999999999999</v>
      </c>
      <c r="L37" s="137">
        <v>1.946</v>
      </c>
      <c r="M37" s="137">
        <v>1.8680000000000001</v>
      </c>
      <c r="N37" s="137">
        <v>9.7000000000000003E-2</v>
      </c>
      <c r="O37" s="137">
        <v>0.5</v>
      </c>
      <c r="P37" s="137">
        <v>0</v>
      </c>
      <c r="Q37" s="137">
        <v>0</v>
      </c>
      <c r="R37" s="137">
        <v>3.3000000000000002E-2</v>
      </c>
      <c r="S37" s="137">
        <v>0.182</v>
      </c>
      <c r="T37" s="137">
        <v>0</v>
      </c>
      <c r="U37" s="137">
        <v>0</v>
      </c>
      <c r="V37" s="137">
        <v>0.64500000000000002</v>
      </c>
      <c r="W37" s="137">
        <v>1.228</v>
      </c>
      <c r="X37" s="137">
        <v>0</v>
      </c>
      <c r="Y37" s="137">
        <v>12.843</v>
      </c>
      <c r="Z37" s="137">
        <v>0.89900000000000002</v>
      </c>
      <c r="AA37" s="111">
        <v>47.999000000000002</v>
      </c>
      <c r="AB37" s="111">
        <v>14.732000000000001</v>
      </c>
      <c r="AC37" s="111">
        <v>82.527000000000001</v>
      </c>
      <c r="AD37" s="111">
        <v>195.60999999999999</v>
      </c>
      <c r="AE37" s="111">
        <f t="shared" si="0"/>
        <v>145.25800000000001</v>
      </c>
      <c r="AF37" s="111">
        <f t="shared" si="1"/>
        <v>292.86899999999997</v>
      </c>
      <c r="AG37" s="111">
        <f t="shared" si="2"/>
        <v>340.86799999999999</v>
      </c>
      <c r="AH37" s="134"/>
    </row>
    <row r="38" spans="1:34" x14ac:dyDescent="0.2">
      <c r="A38" s="108" t="str">
        <f>'Forecast drivers'!C42</f>
        <v>WSH22</v>
      </c>
      <c r="B38" s="108" t="str">
        <f>'Forecast drivers'!A42</f>
        <v>WSH</v>
      </c>
      <c r="C38" s="108">
        <f>'Forecast drivers'!B42</f>
        <v>2022</v>
      </c>
      <c r="D38" s="51">
        <v>22.913</v>
      </c>
      <c r="E38" s="51"/>
      <c r="F38" s="51"/>
      <c r="G38" s="51">
        <v>103.70000000000002</v>
      </c>
      <c r="H38" s="51">
        <v>98.215999999999951</v>
      </c>
      <c r="I38" s="51">
        <v>179.00299999999996</v>
      </c>
      <c r="J38" s="51">
        <v>201.91599999999997</v>
      </c>
      <c r="K38" s="137">
        <v>7.1859999999999999</v>
      </c>
      <c r="L38" s="137">
        <v>1.946</v>
      </c>
      <c r="M38" s="137">
        <v>0</v>
      </c>
      <c r="N38" s="137">
        <v>9.5000000000000001E-2</v>
      </c>
      <c r="O38" s="137">
        <v>0.5</v>
      </c>
      <c r="P38" s="137">
        <v>0</v>
      </c>
      <c r="Q38" s="137">
        <v>0</v>
      </c>
      <c r="R38" s="137">
        <v>3.2000000000000001E-2</v>
      </c>
      <c r="S38" s="137">
        <v>0.182</v>
      </c>
      <c r="T38" s="137">
        <v>0</v>
      </c>
      <c r="U38" s="137">
        <v>0</v>
      </c>
      <c r="V38" s="137">
        <v>0.63200000000000001</v>
      </c>
      <c r="W38" s="137">
        <v>1.228</v>
      </c>
      <c r="X38" s="137">
        <v>0</v>
      </c>
      <c r="Y38" s="137">
        <v>12.992000000000001</v>
      </c>
      <c r="Z38" s="137">
        <v>0.88100000000000001</v>
      </c>
      <c r="AA38" s="111">
        <v>63.032000000000011</v>
      </c>
      <c r="AB38" s="111">
        <v>17.451000000000001</v>
      </c>
      <c r="AC38" s="111">
        <v>78.775999999999996</v>
      </c>
      <c r="AD38" s="111">
        <v>188.21499999999997</v>
      </c>
      <c r="AE38" s="111">
        <f t="shared" si="0"/>
        <v>159.25900000000001</v>
      </c>
      <c r="AF38" s="111">
        <f t="shared" si="1"/>
        <v>284.44200000000001</v>
      </c>
      <c r="AG38" s="111">
        <f t="shared" si="2"/>
        <v>347.47399999999999</v>
      </c>
      <c r="AH38" s="134"/>
    </row>
    <row r="39" spans="1:34" x14ac:dyDescent="0.2">
      <c r="A39" s="108" t="str">
        <f>'Forecast drivers'!C43</f>
        <v>WSH23</v>
      </c>
      <c r="B39" s="108" t="str">
        <f>'Forecast drivers'!A43</f>
        <v>WSH</v>
      </c>
      <c r="C39" s="108">
        <f>'Forecast drivers'!B43</f>
        <v>2023</v>
      </c>
      <c r="D39" s="51">
        <v>23.933</v>
      </c>
      <c r="E39" s="51"/>
      <c r="F39" s="51"/>
      <c r="G39" s="51">
        <v>101.53099999999999</v>
      </c>
      <c r="H39" s="51">
        <v>92.331000000000003</v>
      </c>
      <c r="I39" s="51">
        <v>169.929</v>
      </c>
      <c r="J39" s="51">
        <v>193.86199999999999</v>
      </c>
      <c r="K39" s="137">
        <v>7.1859999999999999</v>
      </c>
      <c r="L39" s="137">
        <v>1.946</v>
      </c>
      <c r="M39" s="137">
        <v>0</v>
      </c>
      <c r="N39" s="137">
        <v>9.2999999999999999E-2</v>
      </c>
      <c r="O39" s="137">
        <v>0.5</v>
      </c>
      <c r="P39" s="137">
        <v>0</v>
      </c>
      <c r="Q39" s="137">
        <v>0</v>
      </c>
      <c r="R39" s="137">
        <v>3.1E-2</v>
      </c>
      <c r="S39" s="137">
        <v>0.182</v>
      </c>
      <c r="T39" s="137">
        <v>0</v>
      </c>
      <c r="U39" s="137">
        <v>0</v>
      </c>
      <c r="V39" s="137">
        <v>0.61899999999999999</v>
      </c>
      <c r="W39" s="137">
        <v>1.228</v>
      </c>
      <c r="X39" s="137">
        <v>0</v>
      </c>
      <c r="Y39" s="137">
        <v>13.137</v>
      </c>
      <c r="Z39" s="137">
        <v>0.86499999999999999</v>
      </c>
      <c r="AA39" s="111">
        <v>62.411999999999992</v>
      </c>
      <c r="AB39" s="111">
        <v>17.461000000000002</v>
      </c>
      <c r="AC39" s="111">
        <v>73.334999999999994</v>
      </c>
      <c r="AD39" s="111">
        <v>186.09699999999998</v>
      </c>
      <c r="AE39" s="111">
        <f t="shared" si="0"/>
        <v>153.20799999999997</v>
      </c>
      <c r="AF39" s="111">
        <f t="shared" si="1"/>
        <v>276.89299999999997</v>
      </c>
      <c r="AG39" s="111">
        <f t="shared" si="2"/>
        <v>339.30499999999995</v>
      </c>
      <c r="AH39" s="134"/>
    </row>
    <row r="40" spans="1:34" x14ac:dyDescent="0.2">
      <c r="A40" s="108" t="str">
        <f>'Forecast drivers'!C44</f>
        <v>WSH24</v>
      </c>
      <c r="B40" s="108" t="str">
        <f>'Forecast drivers'!A44</f>
        <v>WSH</v>
      </c>
      <c r="C40" s="108">
        <f>'Forecast drivers'!B44</f>
        <v>2024</v>
      </c>
      <c r="D40" s="51">
        <v>23.437000000000001</v>
      </c>
      <c r="E40" s="51"/>
      <c r="F40" s="51"/>
      <c r="G40" s="51">
        <v>98.185999999999993</v>
      </c>
      <c r="H40" s="51">
        <v>90.242000000000033</v>
      </c>
      <c r="I40" s="51">
        <v>164.99100000000001</v>
      </c>
      <c r="J40" s="51">
        <v>188.42800000000003</v>
      </c>
      <c r="K40" s="137">
        <v>7.1859999999999999</v>
      </c>
      <c r="L40" s="137">
        <v>1.946</v>
      </c>
      <c r="M40" s="137">
        <v>0</v>
      </c>
      <c r="N40" s="137">
        <v>9.1999999999999998E-2</v>
      </c>
      <c r="O40" s="137">
        <v>0.5</v>
      </c>
      <c r="P40" s="137">
        <v>0</v>
      </c>
      <c r="Q40" s="137">
        <v>0</v>
      </c>
      <c r="R40" s="137">
        <v>3.1E-2</v>
      </c>
      <c r="S40" s="137">
        <v>0.182</v>
      </c>
      <c r="T40" s="137">
        <v>0</v>
      </c>
      <c r="U40" s="137">
        <v>0</v>
      </c>
      <c r="V40" s="137">
        <v>0.60699999999999998</v>
      </c>
      <c r="W40" s="137">
        <v>1.228</v>
      </c>
      <c r="X40" s="137">
        <v>0</v>
      </c>
      <c r="Y40" s="137">
        <v>13.18</v>
      </c>
      <c r="Z40" s="137">
        <v>0.84699999999999998</v>
      </c>
      <c r="AA40" s="111">
        <v>58.101000000000006</v>
      </c>
      <c r="AB40" s="111">
        <v>15.568</v>
      </c>
      <c r="AC40" s="111">
        <v>69.14</v>
      </c>
      <c r="AD40" s="111">
        <v>182.48399999999998</v>
      </c>
      <c r="AE40" s="111">
        <f t="shared" si="0"/>
        <v>142.80900000000003</v>
      </c>
      <c r="AF40" s="111">
        <f t="shared" si="1"/>
        <v>267.19200000000001</v>
      </c>
      <c r="AG40" s="111">
        <f t="shared" si="2"/>
        <v>325.29300000000001</v>
      </c>
      <c r="AH40" s="134"/>
    </row>
    <row r="41" spans="1:34" x14ac:dyDescent="0.2">
      <c r="A41" s="108" t="str">
        <f>'Forecast drivers'!C45</f>
        <v>WSH25</v>
      </c>
      <c r="B41" s="108" t="str">
        <f>'Forecast drivers'!A45</f>
        <v>WSH</v>
      </c>
      <c r="C41" s="108">
        <f>'Forecast drivers'!B45</f>
        <v>2025</v>
      </c>
      <c r="D41" s="51">
        <v>19.957000000000001</v>
      </c>
      <c r="E41" s="51"/>
      <c r="F41" s="51"/>
      <c r="G41" s="51">
        <v>97.804000000000002</v>
      </c>
      <c r="H41" s="51">
        <v>86.183999999999997</v>
      </c>
      <c r="I41" s="51">
        <v>164.03100000000001</v>
      </c>
      <c r="J41" s="51">
        <v>183.988</v>
      </c>
      <c r="K41" s="137">
        <v>7.1859999999999999</v>
      </c>
      <c r="L41" s="137">
        <v>1.946</v>
      </c>
      <c r="M41" s="137">
        <v>0</v>
      </c>
      <c r="N41" s="137">
        <v>0.09</v>
      </c>
      <c r="O41" s="137">
        <v>0.5</v>
      </c>
      <c r="P41" s="137">
        <v>0</v>
      </c>
      <c r="Q41" s="137">
        <v>0</v>
      </c>
      <c r="R41" s="137">
        <v>0.03</v>
      </c>
      <c r="S41" s="137">
        <v>0.182</v>
      </c>
      <c r="T41" s="137">
        <v>0</v>
      </c>
      <c r="U41" s="137">
        <v>0</v>
      </c>
      <c r="V41" s="137">
        <v>0.59499999999999997</v>
      </c>
      <c r="W41" s="137">
        <v>1.228</v>
      </c>
      <c r="X41" s="137">
        <v>0</v>
      </c>
      <c r="Y41" s="137">
        <v>13.207999999999998</v>
      </c>
      <c r="Z41" s="137">
        <v>0.83099999999999996</v>
      </c>
      <c r="AA41" s="111">
        <v>45.094000000000001</v>
      </c>
      <c r="AB41" s="111">
        <v>13.789000000000001</v>
      </c>
      <c r="AC41" s="111">
        <v>73.103999999999999</v>
      </c>
      <c r="AD41" s="111">
        <v>185.01599999999999</v>
      </c>
      <c r="AE41" s="111">
        <f t="shared" si="0"/>
        <v>131.98699999999999</v>
      </c>
      <c r="AF41" s="111">
        <f t="shared" si="1"/>
        <v>271.90899999999999</v>
      </c>
      <c r="AG41" s="111">
        <f t="shared" si="2"/>
        <v>317.00299999999999</v>
      </c>
      <c r="AH41" s="134"/>
    </row>
    <row r="42" spans="1:34" x14ac:dyDescent="0.2">
      <c r="A42" s="108" t="str">
        <f>'Forecast drivers'!C46</f>
        <v>WSX21</v>
      </c>
      <c r="B42" s="108" t="str">
        <f>'Forecast drivers'!A46</f>
        <v>WSX</v>
      </c>
      <c r="C42" s="108">
        <f>'Forecast drivers'!B46</f>
        <v>2021</v>
      </c>
      <c r="D42" s="51">
        <v>9.4817751565757806</v>
      </c>
      <c r="E42" s="51"/>
      <c r="F42" s="51"/>
      <c r="G42" s="51">
        <v>52.339014247385137</v>
      </c>
      <c r="H42" s="51">
        <v>37.99191895867942</v>
      </c>
      <c r="I42" s="51">
        <v>80.849158049488778</v>
      </c>
      <c r="J42" s="51">
        <v>90.330933206064557</v>
      </c>
      <c r="K42" s="137">
        <v>0.55315236690799996</v>
      </c>
      <c r="L42" s="137">
        <v>0</v>
      </c>
      <c r="M42" s="137">
        <v>0</v>
      </c>
      <c r="N42" s="137">
        <v>0.504</v>
      </c>
      <c r="O42" s="137">
        <v>0</v>
      </c>
      <c r="P42" s="137">
        <v>0</v>
      </c>
      <c r="Q42" s="137">
        <v>0</v>
      </c>
      <c r="R42" s="137">
        <v>0</v>
      </c>
      <c r="S42" s="137">
        <v>0</v>
      </c>
      <c r="T42" s="137">
        <v>0</v>
      </c>
      <c r="U42" s="137">
        <v>0</v>
      </c>
      <c r="V42" s="137">
        <v>1.2213556701030901</v>
      </c>
      <c r="W42" s="137">
        <v>0.51005</v>
      </c>
      <c r="X42" s="137">
        <v>0</v>
      </c>
      <c r="Y42" s="137">
        <v>4.7483846153846105</v>
      </c>
      <c r="Z42" s="137">
        <v>2.5396443298969098</v>
      </c>
      <c r="AA42" s="111">
        <v>24.565232934958996</v>
      </c>
      <c r="AB42" s="111">
        <v>0</v>
      </c>
      <c r="AC42" s="111">
        <v>46.169257716938816</v>
      </c>
      <c r="AD42" s="111">
        <v>62.951205612365307</v>
      </c>
      <c r="AE42" s="111">
        <f t="shared" si="0"/>
        <v>70.734490651897815</v>
      </c>
      <c r="AF42" s="111">
        <f t="shared" si="1"/>
        <v>109.12046332930413</v>
      </c>
      <c r="AG42" s="111">
        <f t="shared" si="2"/>
        <v>133.68569626426313</v>
      </c>
      <c r="AH42" s="134"/>
    </row>
    <row r="43" spans="1:34" x14ac:dyDescent="0.2">
      <c r="A43" s="108" t="str">
        <f>'Forecast drivers'!C47</f>
        <v>WSX22</v>
      </c>
      <c r="B43" s="108" t="str">
        <f>'Forecast drivers'!A47</f>
        <v>WSX</v>
      </c>
      <c r="C43" s="108">
        <f>'Forecast drivers'!B47</f>
        <v>2022</v>
      </c>
      <c r="D43" s="51">
        <v>11.0274882684361</v>
      </c>
      <c r="E43" s="51"/>
      <c r="F43" s="51"/>
      <c r="G43" s="51">
        <v>50.297029775269408</v>
      </c>
      <c r="H43" s="51">
        <v>38.380517549068955</v>
      </c>
      <c r="I43" s="51">
        <v>77.650059055902261</v>
      </c>
      <c r="J43" s="51">
        <v>88.677547324338363</v>
      </c>
      <c r="K43" s="137">
        <v>0.55315236690799996</v>
      </c>
      <c r="L43" s="137">
        <v>0</v>
      </c>
      <c r="M43" s="137">
        <v>0</v>
      </c>
      <c r="N43" s="137">
        <v>0.50600000000000001</v>
      </c>
      <c r="O43" s="137">
        <v>0</v>
      </c>
      <c r="P43" s="137">
        <v>0</v>
      </c>
      <c r="Q43" s="137">
        <v>0</v>
      </c>
      <c r="R43" s="137">
        <v>0</v>
      </c>
      <c r="S43" s="137">
        <v>0</v>
      </c>
      <c r="T43" s="137">
        <v>0</v>
      </c>
      <c r="U43" s="137">
        <v>0</v>
      </c>
      <c r="V43" s="137">
        <v>1.2252525773195899</v>
      </c>
      <c r="W43" s="137">
        <v>0.51005</v>
      </c>
      <c r="X43" s="137">
        <v>0</v>
      </c>
      <c r="Y43" s="137">
        <v>4.7483846153846194</v>
      </c>
      <c r="Z43" s="137">
        <v>2.54774742268041</v>
      </c>
      <c r="AA43" s="111">
        <v>16.682476011448497</v>
      </c>
      <c r="AB43" s="111">
        <v>0</v>
      </c>
      <c r="AC43" s="111">
        <v>47.251746464698911</v>
      </c>
      <c r="AD43" s="111">
        <v>61.070753832557109</v>
      </c>
      <c r="AE43" s="111">
        <f t="shared" si="0"/>
        <v>63.934222476147411</v>
      </c>
      <c r="AF43" s="111">
        <f t="shared" si="1"/>
        <v>108.32250029725603</v>
      </c>
      <c r="AG43" s="111">
        <f t="shared" si="2"/>
        <v>125.00497630870453</v>
      </c>
      <c r="AH43" s="134"/>
    </row>
    <row r="44" spans="1:34" x14ac:dyDescent="0.2">
      <c r="A44" s="108" t="str">
        <f>'Forecast drivers'!C48</f>
        <v>WSX23</v>
      </c>
      <c r="B44" s="108" t="str">
        <f>'Forecast drivers'!A48</f>
        <v>WSX</v>
      </c>
      <c r="C44" s="108">
        <f>'Forecast drivers'!B48</f>
        <v>2023</v>
      </c>
      <c r="D44" s="51">
        <v>11.20239317812414</v>
      </c>
      <c r="E44" s="51"/>
      <c r="F44" s="51"/>
      <c r="G44" s="51">
        <v>53.913486027441778</v>
      </c>
      <c r="H44" s="51">
        <v>52.995104211482527</v>
      </c>
      <c r="I44" s="51">
        <v>95.706197060800164</v>
      </c>
      <c r="J44" s="51">
        <v>106.9085902389243</v>
      </c>
      <c r="K44" s="137">
        <v>0.55315236690799996</v>
      </c>
      <c r="L44" s="137">
        <v>0</v>
      </c>
      <c r="M44" s="137">
        <v>0</v>
      </c>
      <c r="N44" s="137">
        <v>0.50700000000000001</v>
      </c>
      <c r="O44" s="137">
        <v>0</v>
      </c>
      <c r="P44" s="137">
        <v>0</v>
      </c>
      <c r="Q44" s="137">
        <v>0</v>
      </c>
      <c r="R44" s="137">
        <v>0</v>
      </c>
      <c r="S44" s="137">
        <v>0</v>
      </c>
      <c r="T44" s="137">
        <v>0</v>
      </c>
      <c r="U44" s="137">
        <v>0</v>
      </c>
      <c r="V44" s="137">
        <v>1.2284999999999999</v>
      </c>
      <c r="W44" s="137">
        <v>0.51005</v>
      </c>
      <c r="X44" s="137">
        <v>0</v>
      </c>
      <c r="Y44" s="137">
        <v>4.7483846153846105</v>
      </c>
      <c r="Z44" s="137">
        <v>2.5545</v>
      </c>
      <c r="AA44" s="111">
        <v>16.316151382674995</v>
      </c>
      <c r="AB44" s="111">
        <v>0</v>
      </c>
      <c r="AC44" s="111">
        <v>62.2917386020397</v>
      </c>
      <c r="AD44" s="111">
        <v>65.07678893088341</v>
      </c>
      <c r="AE44" s="111">
        <f t="shared" si="0"/>
        <v>78.607889984714689</v>
      </c>
      <c r="AF44" s="111">
        <f t="shared" si="1"/>
        <v>127.36852753292311</v>
      </c>
      <c r="AG44" s="111">
        <f t="shared" si="2"/>
        <v>143.68467891559811</v>
      </c>
      <c r="AH44" s="134"/>
    </row>
    <row r="45" spans="1:34" x14ac:dyDescent="0.2">
      <c r="A45" s="108" t="str">
        <f>'Forecast drivers'!C49</f>
        <v>WSX24</v>
      </c>
      <c r="B45" s="108" t="str">
        <f>'Forecast drivers'!A49</f>
        <v>WSX</v>
      </c>
      <c r="C45" s="108">
        <f>'Forecast drivers'!B49</f>
        <v>2024</v>
      </c>
      <c r="D45" s="51">
        <v>8.8909177862490694</v>
      </c>
      <c r="E45" s="51"/>
      <c r="F45" s="51"/>
      <c r="G45" s="51">
        <v>52.429948353834874</v>
      </c>
      <c r="H45" s="51">
        <v>39.068108498935032</v>
      </c>
      <c r="I45" s="51">
        <v>82.60713906652083</v>
      </c>
      <c r="J45" s="51">
        <v>91.498056852769906</v>
      </c>
      <c r="K45" s="137">
        <v>0.55315236690799996</v>
      </c>
      <c r="L45" s="137">
        <v>0</v>
      </c>
      <c r="M45" s="137">
        <v>0</v>
      </c>
      <c r="N45" s="137">
        <v>0.50900000000000001</v>
      </c>
      <c r="O45" s="137">
        <v>0</v>
      </c>
      <c r="P45" s="137">
        <v>0</v>
      </c>
      <c r="Q45" s="137">
        <v>0</v>
      </c>
      <c r="R45" s="137">
        <v>0</v>
      </c>
      <c r="S45" s="137">
        <v>0</v>
      </c>
      <c r="T45" s="137">
        <v>0</v>
      </c>
      <c r="U45" s="137">
        <v>0</v>
      </c>
      <c r="V45" s="137">
        <v>1.23304639175258</v>
      </c>
      <c r="W45" s="137">
        <v>0.51005</v>
      </c>
      <c r="X45" s="137">
        <v>0</v>
      </c>
      <c r="Y45" s="137">
        <v>4.7483846153846194</v>
      </c>
      <c r="Z45" s="137">
        <v>2.5639536082474201</v>
      </c>
      <c r="AA45" s="111">
        <v>13.0062455869537</v>
      </c>
      <c r="AB45" s="111">
        <v>0</v>
      </c>
      <c r="AC45" s="111">
        <v>47.994670012136616</v>
      </c>
      <c r="AD45" s="111">
        <v>63.72311087266111</v>
      </c>
      <c r="AE45" s="111">
        <f t="shared" si="0"/>
        <v>61.00091559909032</v>
      </c>
      <c r="AF45" s="111">
        <f t="shared" si="1"/>
        <v>111.71778088479772</v>
      </c>
      <c r="AG45" s="111">
        <f t="shared" si="2"/>
        <v>124.72402647175143</v>
      </c>
      <c r="AH45" s="134"/>
    </row>
    <row r="46" spans="1:34" x14ac:dyDescent="0.2">
      <c r="A46" s="108" t="str">
        <f>'Forecast drivers'!C50</f>
        <v>WSX25</v>
      </c>
      <c r="B46" s="108" t="str">
        <f>'Forecast drivers'!A50</f>
        <v>WSX</v>
      </c>
      <c r="C46" s="108">
        <f>'Forecast drivers'!B50</f>
        <v>2025</v>
      </c>
      <c r="D46" s="51">
        <v>8.9551655334831306</v>
      </c>
      <c r="E46" s="51"/>
      <c r="F46" s="51"/>
      <c r="G46" s="51">
        <v>52.851796446567789</v>
      </c>
      <c r="H46" s="51">
        <v>35.344431680212807</v>
      </c>
      <c r="I46" s="51">
        <v>79.241062593297471</v>
      </c>
      <c r="J46" s="51">
        <v>88.196228126780596</v>
      </c>
      <c r="K46" s="137">
        <v>0.55315236690799996</v>
      </c>
      <c r="L46" s="137">
        <v>0</v>
      </c>
      <c r="M46" s="137">
        <v>0</v>
      </c>
      <c r="N46" s="137">
        <v>0.51</v>
      </c>
      <c r="O46" s="137">
        <v>0</v>
      </c>
      <c r="P46" s="137">
        <v>0</v>
      </c>
      <c r="Q46" s="137">
        <v>0</v>
      </c>
      <c r="R46" s="137">
        <v>0</v>
      </c>
      <c r="S46" s="137">
        <v>0</v>
      </c>
      <c r="T46" s="137">
        <v>0</v>
      </c>
      <c r="U46" s="137">
        <v>0</v>
      </c>
      <c r="V46" s="137">
        <v>1.2359690721649499</v>
      </c>
      <c r="W46" s="137">
        <v>0.51005</v>
      </c>
      <c r="X46" s="137">
        <v>0</v>
      </c>
      <c r="Y46" s="137">
        <v>4.7483846153846105</v>
      </c>
      <c r="Z46" s="137">
        <v>2.5700309278350502</v>
      </c>
      <c r="AA46" s="111">
        <v>12.8779843726493</v>
      </c>
      <c r="AB46" s="111">
        <v>0</v>
      </c>
      <c r="AC46" s="111">
        <v>42.900547753872651</v>
      </c>
      <c r="AD46" s="111">
        <v>64.144958965393968</v>
      </c>
      <c r="AE46" s="111">
        <f t="shared" si="0"/>
        <v>55.778532126521952</v>
      </c>
      <c r="AF46" s="111">
        <f t="shared" si="1"/>
        <v>107.04550671926663</v>
      </c>
      <c r="AG46" s="111">
        <f t="shared" si="2"/>
        <v>119.92349109191592</v>
      </c>
      <c r="AH46" s="134"/>
    </row>
    <row r="47" spans="1:34" x14ac:dyDescent="0.2">
      <c r="A47" s="108" t="str">
        <f>'Forecast drivers'!C51</f>
        <v>YKY21</v>
      </c>
      <c r="B47" s="108" t="str">
        <f>'Forecast drivers'!A51</f>
        <v>YKY</v>
      </c>
      <c r="C47" s="108">
        <f>'Forecast drivers'!B51</f>
        <v>2021</v>
      </c>
      <c r="D47" s="51">
        <v>29.797000000000001</v>
      </c>
      <c r="E47" s="51"/>
      <c r="F47" s="51"/>
      <c r="G47" s="51">
        <v>167.38799999999998</v>
      </c>
      <c r="H47" s="51">
        <v>119.34100000000001</v>
      </c>
      <c r="I47" s="51">
        <v>256.93199999999996</v>
      </c>
      <c r="J47" s="51">
        <v>286.72899999999998</v>
      </c>
      <c r="K47" s="137">
        <v>0</v>
      </c>
      <c r="L47" s="137">
        <v>0</v>
      </c>
      <c r="M47" s="137">
        <v>0</v>
      </c>
      <c r="N47" s="137">
        <v>0.33100000000000002</v>
      </c>
      <c r="O47" s="137">
        <v>0</v>
      </c>
      <c r="P47" s="137">
        <v>0</v>
      </c>
      <c r="Q47" s="137">
        <v>0</v>
      </c>
      <c r="R47" s="137">
        <v>0.17499999999999999</v>
      </c>
      <c r="S47" s="137">
        <v>0</v>
      </c>
      <c r="T47" s="137">
        <v>0</v>
      </c>
      <c r="U47" s="137">
        <v>0</v>
      </c>
      <c r="V47" s="137">
        <v>1.4610000000000001</v>
      </c>
      <c r="W47" s="137">
        <v>2.54</v>
      </c>
      <c r="X47" s="137">
        <v>0</v>
      </c>
      <c r="Y47" s="137">
        <v>11.278</v>
      </c>
      <c r="Z47" s="137">
        <v>3.5710000000000002</v>
      </c>
      <c r="AA47" s="111">
        <v>50.131</v>
      </c>
      <c r="AB47" s="111">
        <v>13.485999999999999</v>
      </c>
      <c r="AC47" s="111">
        <v>98.864999999999995</v>
      </c>
      <c r="AD47" s="111">
        <v>226.51500000000001</v>
      </c>
      <c r="AE47" s="111">
        <f t="shared" si="0"/>
        <v>162.482</v>
      </c>
      <c r="AF47" s="111">
        <f t="shared" si="1"/>
        <v>338.86599999999999</v>
      </c>
      <c r="AG47" s="111">
        <f t="shared" si="2"/>
        <v>388.99700000000001</v>
      </c>
      <c r="AH47" s="134"/>
    </row>
    <row r="48" spans="1:34" x14ac:dyDescent="0.2">
      <c r="A48" s="108" t="str">
        <f>'Forecast drivers'!C52</f>
        <v>YKY22</v>
      </c>
      <c r="B48" s="108" t="str">
        <f>'Forecast drivers'!A52</f>
        <v>YKY</v>
      </c>
      <c r="C48" s="108">
        <f>'Forecast drivers'!B52</f>
        <v>2022</v>
      </c>
      <c r="D48" s="51">
        <v>26.800999999999998</v>
      </c>
      <c r="E48" s="51"/>
      <c r="F48" s="51"/>
      <c r="G48" s="51">
        <v>162.61699999999999</v>
      </c>
      <c r="H48" s="51">
        <v>121.66300000000004</v>
      </c>
      <c r="I48" s="51">
        <v>257.47900000000004</v>
      </c>
      <c r="J48" s="51">
        <v>284.28000000000003</v>
      </c>
      <c r="K48" s="137">
        <v>0</v>
      </c>
      <c r="L48" s="137">
        <v>0</v>
      </c>
      <c r="M48" s="137">
        <v>0</v>
      </c>
      <c r="N48" s="137">
        <v>0.33100000000000002</v>
      </c>
      <c r="O48" s="137">
        <v>0</v>
      </c>
      <c r="P48" s="137">
        <v>0</v>
      </c>
      <c r="Q48" s="137">
        <v>0</v>
      </c>
      <c r="R48" s="137">
        <v>0.17499999999999999</v>
      </c>
      <c r="S48" s="137">
        <v>0</v>
      </c>
      <c r="T48" s="137">
        <v>0</v>
      </c>
      <c r="U48" s="137">
        <v>0</v>
      </c>
      <c r="V48" s="137">
        <v>1.4610000000000001</v>
      </c>
      <c r="W48" s="137">
        <v>2.54</v>
      </c>
      <c r="X48" s="137">
        <v>0</v>
      </c>
      <c r="Y48" s="137">
        <v>11.359</v>
      </c>
      <c r="Z48" s="137">
        <v>3.5710000000000002</v>
      </c>
      <c r="AA48" s="111">
        <v>44.189</v>
      </c>
      <c r="AB48" s="111">
        <v>15.995000000000001</v>
      </c>
      <c r="AC48" s="111">
        <v>104.857</v>
      </c>
      <c r="AD48" s="111">
        <v>223.30500000000001</v>
      </c>
      <c r="AE48" s="111">
        <f t="shared" si="0"/>
        <v>165.041</v>
      </c>
      <c r="AF48" s="111">
        <f t="shared" si="1"/>
        <v>344.15700000000004</v>
      </c>
      <c r="AG48" s="111">
        <f t="shared" si="2"/>
        <v>388.346</v>
      </c>
      <c r="AH48" s="134"/>
    </row>
    <row r="49" spans="1:34" x14ac:dyDescent="0.2">
      <c r="A49" s="108" t="str">
        <f>'Forecast drivers'!C53</f>
        <v>YKY23</v>
      </c>
      <c r="B49" s="108" t="str">
        <f>'Forecast drivers'!A53</f>
        <v>YKY</v>
      </c>
      <c r="C49" s="108">
        <f>'Forecast drivers'!B53</f>
        <v>2023</v>
      </c>
      <c r="D49" s="51">
        <v>32.536999999999999</v>
      </c>
      <c r="E49" s="51"/>
      <c r="F49" s="51"/>
      <c r="G49" s="51">
        <v>168.17999999999998</v>
      </c>
      <c r="H49" s="51">
        <v>127.73500000000004</v>
      </c>
      <c r="I49" s="51">
        <v>263.37800000000004</v>
      </c>
      <c r="J49" s="51">
        <v>295.91500000000002</v>
      </c>
      <c r="K49" s="137">
        <v>0</v>
      </c>
      <c r="L49" s="137">
        <v>0</v>
      </c>
      <c r="M49" s="137">
        <v>0</v>
      </c>
      <c r="N49" s="137">
        <v>0</v>
      </c>
      <c r="O49" s="137">
        <v>0</v>
      </c>
      <c r="P49" s="137">
        <v>0</v>
      </c>
      <c r="Q49" s="137">
        <v>0</v>
      </c>
      <c r="R49" s="137">
        <v>0</v>
      </c>
      <c r="S49" s="137">
        <v>0</v>
      </c>
      <c r="T49" s="137">
        <v>0</v>
      </c>
      <c r="U49" s="137">
        <v>0</v>
      </c>
      <c r="V49" s="137">
        <v>0</v>
      </c>
      <c r="W49" s="137">
        <v>2.54</v>
      </c>
      <c r="X49" s="137">
        <v>0</v>
      </c>
      <c r="Y49" s="137">
        <v>11.459</v>
      </c>
      <c r="Z49" s="137">
        <v>0</v>
      </c>
      <c r="AA49" s="111">
        <v>56.372</v>
      </c>
      <c r="AB49" s="111">
        <v>15.58</v>
      </c>
      <c r="AC49" s="111">
        <v>100.887</v>
      </c>
      <c r="AD49" s="111">
        <v>229.74</v>
      </c>
      <c r="AE49" s="111">
        <f t="shared" si="0"/>
        <v>172.839</v>
      </c>
      <c r="AF49" s="111">
        <f t="shared" si="1"/>
        <v>346.20699999999999</v>
      </c>
      <c r="AG49" s="111">
        <f t="shared" si="2"/>
        <v>402.57900000000001</v>
      </c>
      <c r="AH49" s="134"/>
    </row>
    <row r="50" spans="1:34" x14ac:dyDescent="0.2">
      <c r="A50" s="108" t="str">
        <f>'Forecast drivers'!C54</f>
        <v>YKY24</v>
      </c>
      <c r="B50" s="108" t="str">
        <f>'Forecast drivers'!A54</f>
        <v>YKY</v>
      </c>
      <c r="C50" s="108">
        <f>'Forecast drivers'!B54</f>
        <v>2024</v>
      </c>
      <c r="D50" s="51">
        <v>27.686</v>
      </c>
      <c r="E50" s="51"/>
      <c r="F50" s="51"/>
      <c r="G50" s="51">
        <v>171.00899999999999</v>
      </c>
      <c r="H50" s="51">
        <v>114.66499999999999</v>
      </c>
      <c r="I50" s="51">
        <v>257.988</v>
      </c>
      <c r="J50" s="51">
        <v>285.67399999999998</v>
      </c>
      <c r="K50" s="137">
        <v>0</v>
      </c>
      <c r="L50" s="137">
        <v>0</v>
      </c>
      <c r="M50" s="137">
        <v>0</v>
      </c>
      <c r="N50" s="137">
        <v>0</v>
      </c>
      <c r="O50" s="137">
        <v>0</v>
      </c>
      <c r="P50" s="137">
        <v>0</v>
      </c>
      <c r="Q50" s="137">
        <v>0</v>
      </c>
      <c r="R50" s="137">
        <v>0</v>
      </c>
      <c r="S50" s="137">
        <v>0</v>
      </c>
      <c r="T50" s="137">
        <v>0</v>
      </c>
      <c r="U50" s="137">
        <v>0</v>
      </c>
      <c r="V50" s="137">
        <v>0</v>
      </c>
      <c r="W50" s="137">
        <v>2.54</v>
      </c>
      <c r="X50" s="137">
        <v>0</v>
      </c>
      <c r="Y50" s="137">
        <v>11.561</v>
      </c>
      <c r="Z50" s="137">
        <v>0</v>
      </c>
      <c r="AA50" s="111">
        <v>49.338000000000001</v>
      </c>
      <c r="AB50" s="111">
        <v>16.48</v>
      </c>
      <c r="AC50" s="111">
        <v>86.144999999999996</v>
      </c>
      <c r="AD50" s="111">
        <v>233.73700000000002</v>
      </c>
      <c r="AE50" s="111">
        <f t="shared" si="0"/>
        <v>151.96299999999999</v>
      </c>
      <c r="AF50" s="111">
        <f t="shared" si="1"/>
        <v>336.36200000000002</v>
      </c>
      <c r="AG50" s="111">
        <f t="shared" si="2"/>
        <v>385.70000000000005</v>
      </c>
      <c r="AH50" s="134"/>
    </row>
    <row r="51" spans="1:34" x14ac:dyDescent="0.2">
      <c r="A51" s="108" t="str">
        <f>'Forecast drivers'!C55</f>
        <v>YKY25</v>
      </c>
      <c r="B51" s="108" t="str">
        <f>'Forecast drivers'!A55</f>
        <v>YKY</v>
      </c>
      <c r="C51" s="108">
        <f>'Forecast drivers'!B55</f>
        <v>2025</v>
      </c>
      <c r="D51" s="51">
        <v>20.425000000000001</v>
      </c>
      <c r="E51" s="51"/>
      <c r="F51" s="51"/>
      <c r="G51" s="51">
        <v>165.226</v>
      </c>
      <c r="H51" s="51">
        <v>94.782999999999959</v>
      </c>
      <c r="I51" s="51">
        <v>239.58399999999995</v>
      </c>
      <c r="J51" s="51">
        <v>260.00899999999996</v>
      </c>
      <c r="K51" s="137">
        <v>0</v>
      </c>
      <c r="L51" s="137">
        <v>0</v>
      </c>
      <c r="M51" s="137">
        <v>0</v>
      </c>
      <c r="N51" s="137">
        <v>0</v>
      </c>
      <c r="O51" s="137">
        <v>0</v>
      </c>
      <c r="P51" s="137">
        <v>0</v>
      </c>
      <c r="Q51" s="137">
        <v>0</v>
      </c>
      <c r="R51" s="137">
        <v>0</v>
      </c>
      <c r="S51" s="137">
        <v>0</v>
      </c>
      <c r="T51" s="137">
        <v>0</v>
      </c>
      <c r="U51" s="137">
        <v>0</v>
      </c>
      <c r="V51" s="137">
        <v>0</v>
      </c>
      <c r="W51" s="137">
        <v>2.54</v>
      </c>
      <c r="X51" s="137">
        <v>0</v>
      </c>
      <c r="Y51" s="137">
        <v>11.664999999999999</v>
      </c>
      <c r="Z51" s="137">
        <v>0</v>
      </c>
      <c r="AA51" s="111">
        <v>36.631</v>
      </c>
      <c r="AB51" s="111">
        <v>15.63</v>
      </c>
      <c r="AC51" s="111">
        <v>71.953000000000003</v>
      </c>
      <c r="AD51" s="111">
        <v>230.57499999999999</v>
      </c>
      <c r="AE51" s="111">
        <f t="shared" si="0"/>
        <v>124.214</v>
      </c>
      <c r="AF51" s="111">
        <f t="shared" si="1"/>
        <v>318.15800000000002</v>
      </c>
      <c r="AG51" s="111">
        <f t="shared" si="2"/>
        <v>354.78899999999999</v>
      </c>
      <c r="AH51" s="134"/>
    </row>
    <row r="52" spans="1:34" x14ac:dyDescent="0.2">
      <c r="A52" s="108" t="str">
        <f>'Forecast drivers'!C56</f>
        <v>AFW21</v>
      </c>
      <c r="B52" s="108" t="str">
        <f>'Forecast drivers'!A56</f>
        <v>AFW</v>
      </c>
      <c r="C52" s="108">
        <f>'Forecast drivers'!B56</f>
        <v>2021</v>
      </c>
      <c r="D52" s="51">
        <v>16.204005520873281</v>
      </c>
      <c r="E52" s="51"/>
      <c r="F52" s="51"/>
      <c r="G52" s="51">
        <v>133.25492318545443</v>
      </c>
      <c r="H52" s="51">
        <v>86.049574040988261</v>
      </c>
      <c r="I52" s="51">
        <v>203.10049170556942</v>
      </c>
      <c r="J52" s="51">
        <v>219.30449722644269</v>
      </c>
      <c r="K52" s="137">
        <v>0</v>
      </c>
      <c r="L52" s="137">
        <v>0</v>
      </c>
      <c r="M52" s="137">
        <v>0</v>
      </c>
      <c r="N52" s="137">
        <v>0</v>
      </c>
      <c r="O52" s="137">
        <v>0</v>
      </c>
      <c r="P52" s="137">
        <v>0</v>
      </c>
      <c r="Q52" s="137">
        <v>0</v>
      </c>
      <c r="R52" s="137">
        <v>0</v>
      </c>
      <c r="S52" s="137">
        <v>0</v>
      </c>
      <c r="T52" s="137">
        <v>0</v>
      </c>
      <c r="U52" s="137">
        <v>0</v>
      </c>
      <c r="V52" s="137">
        <v>0</v>
      </c>
      <c r="W52" s="137">
        <v>2.1222431000648498</v>
      </c>
      <c r="X52" s="137">
        <v>0</v>
      </c>
      <c r="Y52" s="137">
        <v>15.67854708220348</v>
      </c>
      <c r="Z52" s="137">
        <v>0</v>
      </c>
      <c r="AA52" s="111">
        <v>47.9481167658953</v>
      </c>
      <c r="AB52" s="111">
        <v>14.7623631789595</v>
      </c>
      <c r="AC52" s="111">
        <v>68.877840651659596</v>
      </c>
      <c r="AD52" s="111">
        <v>169.57795727925264</v>
      </c>
      <c r="AE52" s="111">
        <f t="shared" si="0"/>
        <v>131.58832059651439</v>
      </c>
      <c r="AF52" s="111">
        <f t="shared" si="1"/>
        <v>253.21816110987174</v>
      </c>
      <c r="AG52" s="111">
        <f t="shared" si="2"/>
        <v>301.16627787576704</v>
      </c>
      <c r="AH52" s="134"/>
    </row>
    <row r="53" spans="1:34" x14ac:dyDescent="0.2">
      <c r="A53" s="108" t="str">
        <f>'Forecast drivers'!C57</f>
        <v>AFW22</v>
      </c>
      <c r="B53" s="108" t="str">
        <f>'Forecast drivers'!A57</f>
        <v>AFW</v>
      </c>
      <c r="C53" s="108">
        <f>'Forecast drivers'!B57</f>
        <v>2022</v>
      </c>
      <c r="D53" s="51">
        <v>15.205048979140347</v>
      </c>
      <c r="E53" s="51"/>
      <c r="F53" s="51"/>
      <c r="G53" s="51">
        <v>126.33877044554443</v>
      </c>
      <c r="H53" s="51">
        <v>78.809233153786877</v>
      </c>
      <c r="I53" s="51">
        <v>189.94295462019096</v>
      </c>
      <c r="J53" s="51">
        <v>205.1480035993313</v>
      </c>
      <c r="K53" s="137">
        <v>0</v>
      </c>
      <c r="L53" s="137">
        <v>0</v>
      </c>
      <c r="M53" s="137">
        <v>0</v>
      </c>
      <c r="N53" s="137">
        <v>0</v>
      </c>
      <c r="O53" s="137">
        <v>0</v>
      </c>
      <c r="P53" s="137">
        <v>0</v>
      </c>
      <c r="Q53" s="137">
        <v>0</v>
      </c>
      <c r="R53" s="137">
        <v>0</v>
      </c>
      <c r="S53" s="137">
        <v>0</v>
      </c>
      <c r="T53" s="137">
        <v>0</v>
      </c>
      <c r="U53" s="137">
        <v>0</v>
      </c>
      <c r="V53" s="137">
        <v>0</v>
      </c>
      <c r="W53" s="137">
        <v>2.1222431000648498</v>
      </c>
      <c r="X53" s="137">
        <v>0</v>
      </c>
      <c r="Y53" s="137">
        <v>16.302</v>
      </c>
      <c r="Z53" s="137">
        <v>0</v>
      </c>
      <c r="AA53" s="111">
        <v>55.178138068208</v>
      </c>
      <c r="AB53" s="111">
        <v>14.2103306864249</v>
      </c>
      <c r="AC53" s="111">
        <v>69.801235896811306</v>
      </c>
      <c r="AD53" s="111">
        <v>165.68157759607413</v>
      </c>
      <c r="AE53" s="111">
        <f t="shared" si="0"/>
        <v>139.1897046514442</v>
      </c>
      <c r="AF53" s="111">
        <f t="shared" si="1"/>
        <v>249.69314417931034</v>
      </c>
      <c r="AG53" s="111">
        <f t="shared" si="2"/>
        <v>304.87128224751837</v>
      </c>
      <c r="AH53" s="134"/>
    </row>
    <row r="54" spans="1:34" x14ac:dyDescent="0.2">
      <c r="A54" s="108" t="str">
        <f>'Forecast drivers'!C58</f>
        <v>AFW23</v>
      </c>
      <c r="B54" s="108" t="str">
        <f>'Forecast drivers'!A58</f>
        <v>AFW</v>
      </c>
      <c r="C54" s="108">
        <f>'Forecast drivers'!B58</f>
        <v>2023</v>
      </c>
      <c r="D54" s="51">
        <v>14.4750929214139</v>
      </c>
      <c r="E54" s="51"/>
      <c r="F54" s="51"/>
      <c r="G54" s="51">
        <v>135.17289486437173</v>
      </c>
      <c r="H54" s="51">
        <v>68.214452969518874</v>
      </c>
      <c r="I54" s="51">
        <v>188.9122549124767</v>
      </c>
      <c r="J54" s="51">
        <v>203.3873478338906</v>
      </c>
      <c r="K54" s="137">
        <v>0</v>
      </c>
      <c r="L54" s="137">
        <v>0</v>
      </c>
      <c r="M54" s="137">
        <v>0</v>
      </c>
      <c r="N54" s="137">
        <v>0</v>
      </c>
      <c r="O54" s="137">
        <v>0</v>
      </c>
      <c r="P54" s="137">
        <v>0</v>
      </c>
      <c r="Q54" s="137">
        <v>0</v>
      </c>
      <c r="R54" s="137">
        <v>0</v>
      </c>
      <c r="S54" s="137">
        <v>0</v>
      </c>
      <c r="T54" s="137">
        <v>0</v>
      </c>
      <c r="U54" s="137">
        <v>0</v>
      </c>
      <c r="V54" s="137">
        <v>0</v>
      </c>
      <c r="W54" s="137">
        <v>2.1222431000648498</v>
      </c>
      <c r="X54" s="137">
        <v>0</v>
      </c>
      <c r="Y54" s="137">
        <v>16.308999999999997</v>
      </c>
      <c r="Z54" s="137">
        <v>0</v>
      </c>
      <c r="AA54" s="111">
        <v>51.770810415266197</v>
      </c>
      <c r="AB54" s="111">
        <v>15.343634991657</v>
      </c>
      <c r="AC54" s="111">
        <v>54.345365931001197</v>
      </c>
      <c r="AD54" s="111">
        <v>174.11812597685415</v>
      </c>
      <c r="AE54" s="111">
        <f t="shared" si="0"/>
        <v>121.45981133792439</v>
      </c>
      <c r="AF54" s="111">
        <f t="shared" si="1"/>
        <v>243.80712689951235</v>
      </c>
      <c r="AG54" s="111">
        <f t="shared" si="2"/>
        <v>295.57793731477852</v>
      </c>
      <c r="AH54" s="134"/>
    </row>
    <row r="55" spans="1:34" x14ac:dyDescent="0.2">
      <c r="A55" s="108" t="str">
        <f>'Forecast drivers'!C59</f>
        <v>AFW24</v>
      </c>
      <c r="B55" s="108" t="str">
        <f>'Forecast drivers'!A59</f>
        <v>AFW</v>
      </c>
      <c r="C55" s="108">
        <f>'Forecast drivers'!B59</f>
        <v>2024</v>
      </c>
      <c r="D55" s="51">
        <v>14.44618891651</v>
      </c>
      <c r="E55" s="51"/>
      <c r="F55" s="51"/>
      <c r="G55" s="51">
        <v>125.98864913716393</v>
      </c>
      <c r="H55" s="51">
        <v>64.956449756642385</v>
      </c>
      <c r="I55" s="51">
        <v>176.49890997729631</v>
      </c>
      <c r="J55" s="51">
        <v>190.94509889380632</v>
      </c>
      <c r="K55" s="137">
        <v>0</v>
      </c>
      <c r="L55" s="137">
        <v>0</v>
      </c>
      <c r="M55" s="137">
        <v>0</v>
      </c>
      <c r="N55" s="137">
        <v>0</v>
      </c>
      <c r="O55" s="137">
        <v>0</v>
      </c>
      <c r="P55" s="137">
        <v>0</v>
      </c>
      <c r="Q55" s="137">
        <v>0</v>
      </c>
      <c r="R55" s="137">
        <v>0</v>
      </c>
      <c r="S55" s="137">
        <v>0</v>
      </c>
      <c r="T55" s="137">
        <v>0</v>
      </c>
      <c r="U55" s="137">
        <v>0</v>
      </c>
      <c r="V55" s="137">
        <v>0</v>
      </c>
      <c r="W55" s="137">
        <v>2.1222431000648498</v>
      </c>
      <c r="X55" s="137">
        <v>0</v>
      </c>
      <c r="Y55" s="137">
        <v>16.315999999999999</v>
      </c>
      <c r="Z55" s="137">
        <v>0</v>
      </c>
      <c r="AA55" s="111">
        <v>52.969885829235899</v>
      </c>
      <c r="AB55" s="111">
        <v>15.516927837112201</v>
      </c>
      <c r="AC55" s="111">
        <v>49.832729357781297</v>
      </c>
      <c r="AD55" s="111">
        <v>160.33387773252915</v>
      </c>
      <c r="AE55" s="111">
        <f t="shared" si="0"/>
        <v>118.31954302412939</v>
      </c>
      <c r="AF55" s="111">
        <f t="shared" si="1"/>
        <v>225.68353492742264</v>
      </c>
      <c r="AG55" s="111">
        <f t="shared" si="2"/>
        <v>278.65342075665853</v>
      </c>
      <c r="AH55" s="134"/>
    </row>
    <row r="56" spans="1:34" x14ac:dyDescent="0.2">
      <c r="A56" s="108" t="str">
        <f>'Forecast drivers'!C60</f>
        <v>AFW25</v>
      </c>
      <c r="B56" s="108" t="str">
        <f>'Forecast drivers'!A60</f>
        <v>AFW</v>
      </c>
      <c r="C56" s="108">
        <f>'Forecast drivers'!B60</f>
        <v>2025</v>
      </c>
      <c r="D56" s="51">
        <v>14.19834272185504</v>
      </c>
      <c r="E56" s="51"/>
      <c r="F56" s="51"/>
      <c r="G56" s="51">
        <v>122.14292134785082</v>
      </c>
      <c r="H56" s="51">
        <v>64.920777209510092</v>
      </c>
      <c r="I56" s="51">
        <v>172.86535583550588</v>
      </c>
      <c r="J56" s="51">
        <v>187.06369855736091</v>
      </c>
      <c r="K56" s="137">
        <v>0</v>
      </c>
      <c r="L56" s="137">
        <v>0</v>
      </c>
      <c r="M56" s="137">
        <v>0</v>
      </c>
      <c r="N56" s="137">
        <v>0</v>
      </c>
      <c r="O56" s="137">
        <v>0</v>
      </c>
      <c r="P56" s="137">
        <v>0</v>
      </c>
      <c r="Q56" s="137">
        <v>0</v>
      </c>
      <c r="R56" s="137">
        <v>0</v>
      </c>
      <c r="S56" s="137">
        <v>0</v>
      </c>
      <c r="T56" s="137">
        <v>0</v>
      </c>
      <c r="U56" s="137">
        <v>0</v>
      </c>
      <c r="V56" s="137">
        <v>0</v>
      </c>
      <c r="W56" s="137">
        <v>2.1222431000648498</v>
      </c>
      <c r="X56" s="137">
        <v>0</v>
      </c>
      <c r="Y56" s="137">
        <v>16.322000000000003</v>
      </c>
      <c r="Z56" s="137">
        <v>0</v>
      </c>
      <c r="AA56" s="111">
        <v>34.2483201364699</v>
      </c>
      <c r="AB56" s="111">
        <v>15.4725055396631</v>
      </c>
      <c r="AC56" s="111">
        <v>50.3472857933724</v>
      </c>
      <c r="AD56" s="111">
        <v>156.00379511195317</v>
      </c>
      <c r="AE56" s="111">
        <f t="shared" si="0"/>
        <v>100.0681114695054</v>
      </c>
      <c r="AF56" s="111">
        <f t="shared" si="1"/>
        <v>221.82358644498868</v>
      </c>
      <c r="AG56" s="111">
        <f t="shared" si="2"/>
        <v>256.07190658145856</v>
      </c>
      <c r="AH56" s="134"/>
    </row>
    <row r="57" spans="1:34" x14ac:dyDescent="0.2">
      <c r="A57" s="108" t="str">
        <f>'Forecast drivers'!C61</f>
        <v>BRL21</v>
      </c>
      <c r="B57" s="108" t="str">
        <f>'Forecast drivers'!A61</f>
        <v>BRL</v>
      </c>
      <c r="C57" s="108">
        <f>'Forecast drivers'!B61</f>
        <v>2021</v>
      </c>
      <c r="D57" s="51">
        <v>9.7440000000000015</v>
      </c>
      <c r="E57" s="51"/>
      <c r="F57" s="51"/>
      <c r="G57" s="51">
        <v>48.925000000000004</v>
      </c>
      <c r="H57" s="51">
        <v>28.868999999999978</v>
      </c>
      <c r="I57" s="51">
        <v>68.049999999999983</v>
      </c>
      <c r="J57" s="51">
        <v>77.793999999999983</v>
      </c>
      <c r="K57" s="137">
        <v>0.252</v>
      </c>
      <c r="L57" s="137">
        <v>0</v>
      </c>
      <c r="M57" s="137">
        <v>0</v>
      </c>
      <c r="N57" s="137">
        <v>0</v>
      </c>
      <c r="O57" s="137">
        <v>0</v>
      </c>
      <c r="P57" s="137">
        <v>0</v>
      </c>
      <c r="Q57" s="137">
        <v>0</v>
      </c>
      <c r="R57" s="137">
        <v>0</v>
      </c>
      <c r="S57" s="137">
        <v>0.315</v>
      </c>
      <c r="T57" s="137">
        <v>0</v>
      </c>
      <c r="U57" s="137">
        <v>0</v>
      </c>
      <c r="V57" s="137">
        <v>0</v>
      </c>
      <c r="W57" s="137">
        <v>0.78300000000000003</v>
      </c>
      <c r="X57" s="137">
        <v>0</v>
      </c>
      <c r="Y57" s="137">
        <v>3.3479999999999999</v>
      </c>
      <c r="Z57" s="137">
        <v>0</v>
      </c>
      <c r="AA57" s="111">
        <v>15.192</v>
      </c>
      <c r="AB57" s="111">
        <v>1.27</v>
      </c>
      <c r="AC57" s="111">
        <v>18.497999999999998</v>
      </c>
      <c r="AD57" s="111">
        <v>58.425999999999995</v>
      </c>
      <c r="AE57" s="111">
        <f t="shared" si="0"/>
        <v>34.959999999999994</v>
      </c>
      <c r="AF57" s="111">
        <f t="shared" si="1"/>
        <v>78.193999999999988</v>
      </c>
      <c r="AG57" s="111">
        <f t="shared" si="2"/>
        <v>93.385999999999996</v>
      </c>
      <c r="AH57" s="134"/>
    </row>
    <row r="58" spans="1:34" x14ac:dyDescent="0.2">
      <c r="A58" s="108" t="str">
        <f>'Forecast drivers'!C62</f>
        <v>BRL22</v>
      </c>
      <c r="B58" s="108" t="str">
        <f>'Forecast drivers'!A62</f>
        <v>BRL</v>
      </c>
      <c r="C58" s="108">
        <f>'Forecast drivers'!B62</f>
        <v>2022</v>
      </c>
      <c r="D58" s="51">
        <v>9.4009999999999998</v>
      </c>
      <c r="E58" s="51"/>
      <c r="F58" s="51"/>
      <c r="G58" s="51">
        <v>48.222000000000001</v>
      </c>
      <c r="H58" s="51">
        <v>28.339000000000006</v>
      </c>
      <c r="I58" s="51">
        <v>67.160000000000011</v>
      </c>
      <c r="J58" s="51">
        <v>76.561000000000007</v>
      </c>
      <c r="K58" s="137">
        <v>0.25600000000000001</v>
      </c>
      <c r="L58" s="137">
        <v>0</v>
      </c>
      <c r="M58" s="137">
        <v>0</v>
      </c>
      <c r="N58" s="137">
        <v>0</v>
      </c>
      <c r="O58" s="137">
        <v>0</v>
      </c>
      <c r="P58" s="137">
        <v>0</v>
      </c>
      <c r="Q58" s="137">
        <v>0</v>
      </c>
      <c r="R58" s="137">
        <v>0</v>
      </c>
      <c r="S58" s="137">
        <v>0.32100000000000001</v>
      </c>
      <c r="T58" s="137">
        <v>0</v>
      </c>
      <c r="U58" s="137">
        <v>0</v>
      </c>
      <c r="V58" s="137">
        <v>0</v>
      </c>
      <c r="W58" s="137">
        <v>0.79700000000000004</v>
      </c>
      <c r="X58" s="137">
        <v>0</v>
      </c>
      <c r="Y58" s="137">
        <v>3.26</v>
      </c>
      <c r="Z58" s="137">
        <v>0</v>
      </c>
      <c r="AA58" s="111">
        <v>14.923</v>
      </c>
      <c r="AB58" s="111">
        <v>1.1739999999999999</v>
      </c>
      <c r="AC58" s="111">
        <v>18.418999999999997</v>
      </c>
      <c r="AD58" s="111">
        <v>56.64</v>
      </c>
      <c r="AE58" s="111">
        <f t="shared" si="0"/>
        <v>34.515999999999998</v>
      </c>
      <c r="AF58" s="111">
        <f t="shared" si="1"/>
        <v>76.233000000000004</v>
      </c>
      <c r="AG58" s="111">
        <f t="shared" si="2"/>
        <v>91.156000000000006</v>
      </c>
      <c r="AH58" s="134"/>
    </row>
    <row r="59" spans="1:34" x14ac:dyDescent="0.2">
      <c r="A59" s="108" t="str">
        <f>'Forecast drivers'!C63</f>
        <v>BRL23</v>
      </c>
      <c r="B59" s="108" t="str">
        <f>'Forecast drivers'!A63</f>
        <v>BRL</v>
      </c>
      <c r="C59" s="108">
        <f>'Forecast drivers'!B63</f>
        <v>2023</v>
      </c>
      <c r="D59" s="51">
        <v>12.585000000000001</v>
      </c>
      <c r="E59" s="51"/>
      <c r="F59" s="51"/>
      <c r="G59" s="51">
        <v>45.844999999999992</v>
      </c>
      <c r="H59" s="51">
        <v>30.359000000000016</v>
      </c>
      <c r="I59" s="51">
        <v>63.619000000000007</v>
      </c>
      <c r="J59" s="51">
        <v>76.204000000000008</v>
      </c>
      <c r="K59" s="137">
        <v>0.26100000000000001</v>
      </c>
      <c r="L59" s="137">
        <v>0</v>
      </c>
      <c r="M59" s="137">
        <v>0</v>
      </c>
      <c r="N59" s="137">
        <v>0</v>
      </c>
      <c r="O59" s="137">
        <v>0</v>
      </c>
      <c r="P59" s="137">
        <v>0</v>
      </c>
      <c r="Q59" s="137">
        <v>0</v>
      </c>
      <c r="R59" s="137">
        <v>0</v>
      </c>
      <c r="S59" s="137">
        <v>0.32700000000000001</v>
      </c>
      <c r="T59" s="137">
        <v>0</v>
      </c>
      <c r="U59" s="137">
        <v>0</v>
      </c>
      <c r="V59" s="137">
        <v>0</v>
      </c>
      <c r="W59" s="137">
        <v>0.81100000000000005</v>
      </c>
      <c r="X59" s="137">
        <v>0</v>
      </c>
      <c r="Y59" s="137">
        <v>3.327</v>
      </c>
      <c r="Z59" s="137">
        <v>0</v>
      </c>
      <c r="AA59" s="111">
        <v>18.183</v>
      </c>
      <c r="AB59" s="111">
        <v>1.129</v>
      </c>
      <c r="AC59" s="111">
        <v>17.77</v>
      </c>
      <c r="AD59" s="111">
        <v>54.32</v>
      </c>
      <c r="AE59" s="111">
        <f t="shared" si="0"/>
        <v>37.082000000000001</v>
      </c>
      <c r="AF59" s="111">
        <f t="shared" si="1"/>
        <v>73.218999999999994</v>
      </c>
      <c r="AG59" s="111">
        <f t="shared" si="2"/>
        <v>91.402000000000001</v>
      </c>
      <c r="AH59" s="134"/>
    </row>
    <row r="60" spans="1:34" x14ac:dyDescent="0.2">
      <c r="A60" s="108" t="str">
        <f>'Forecast drivers'!C64</f>
        <v>BRL24</v>
      </c>
      <c r="B60" s="108" t="str">
        <f>'Forecast drivers'!A64</f>
        <v>BRL</v>
      </c>
      <c r="C60" s="108">
        <f>'Forecast drivers'!B64</f>
        <v>2024</v>
      </c>
      <c r="D60" s="51">
        <v>9.1810000000000009</v>
      </c>
      <c r="E60" s="51"/>
      <c r="F60" s="51"/>
      <c r="G60" s="51">
        <v>47.288000000000004</v>
      </c>
      <c r="H60" s="51">
        <v>28.906999999999975</v>
      </c>
      <c r="I60" s="51">
        <v>67.013999999999982</v>
      </c>
      <c r="J60" s="51">
        <v>76.194999999999979</v>
      </c>
      <c r="K60" s="137">
        <v>0.26600000000000001</v>
      </c>
      <c r="L60" s="137">
        <v>0</v>
      </c>
      <c r="M60" s="137">
        <v>0</v>
      </c>
      <c r="N60" s="137">
        <v>0</v>
      </c>
      <c r="O60" s="137">
        <v>0</v>
      </c>
      <c r="P60" s="137">
        <v>0</v>
      </c>
      <c r="Q60" s="137">
        <v>0</v>
      </c>
      <c r="R60" s="137">
        <v>0</v>
      </c>
      <c r="S60" s="137">
        <v>0.33200000000000002</v>
      </c>
      <c r="T60" s="137">
        <v>0</v>
      </c>
      <c r="U60" s="137">
        <v>0</v>
      </c>
      <c r="V60" s="137">
        <v>0</v>
      </c>
      <c r="W60" s="137">
        <v>0.82599999999999996</v>
      </c>
      <c r="X60" s="137">
        <v>0</v>
      </c>
      <c r="Y60" s="137">
        <v>3.3879999999999999</v>
      </c>
      <c r="Z60" s="137">
        <v>0</v>
      </c>
      <c r="AA60" s="111">
        <v>14.856</v>
      </c>
      <c r="AB60" s="111">
        <v>1.1399999999999999</v>
      </c>
      <c r="AC60" s="111">
        <v>19.260999999999999</v>
      </c>
      <c r="AD60" s="111">
        <v>55.820999999999998</v>
      </c>
      <c r="AE60" s="111">
        <f t="shared" si="0"/>
        <v>35.256999999999998</v>
      </c>
      <c r="AF60" s="111">
        <f t="shared" si="1"/>
        <v>76.221999999999994</v>
      </c>
      <c r="AG60" s="111">
        <f t="shared" si="2"/>
        <v>91.078000000000003</v>
      </c>
      <c r="AH60" s="134"/>
    </row>
    <row r="61" spans="1:34" x14ac:dyDescent="0.2">
      <c r="A61" s="108" t="str">
        <f>'Forecast drivers'!C65</f>
        <v>BRL25</v>
      </c>
      <c r="B61" s="108" t="str">
        <f>'Forecast drivers'!A65</f>
        <v>BRL</v>
      </c>
      <c r="C61" s="108">
        <f>'Forecast drivers'!B65</f>
        <v>2025</v>
      </c>
      <c r="D61" s="51">
        <v>9.1069999999999993</v>
      </c>
      <c r="E61" s="51"/>
      <c r="F61" s="51"/>
      <c r="G61" s="51">
        <v>48.481000000000002</v>
      </c>
      <c r="H61" s="51">
        <v>28.03799999999999</v>
      </c>
      <c r="I61" s="51">
        <v>67.411999999999992</v>
      </c>
      <c r="J61" s="51">
        <v>76.518999999999991</v>
      </c>
      <c r="K61" s="137">
        <v>0.27100000000000002</v>
      </c>
      <c r="L61" s="137">
        <v>0</v>
      </c>
      <c r="M61" s="137">
        <v>0</v>
      </c>
      <c r="N61" s="137">
        <v>0</v>
      </c>
      <c r="O61" s="137">
        <v>0</v>
      </c>
      <c r="P61" s="137">
        <v>0</v>
      </c>
      <c r="Q61" s="137">
        <v>0</v>
      </c>
      <c r="R61" s="137">
        <v>0</v>
      </c>
      <c r="S61" s="137">
        <v>0.33900000000000002</v>
      </c>
      <c r="T61" s="137">
        <v>0</v>
      </c>
      <c r="U61" s="137">
        <v>0</v>
      </c>
      <c r="V61" s="137">
        <v>0</v>
      </c>
      <c r="W61" s="137">
        <v>0.84099999999999997</v>
      </c>
      <c r="X61" s="137">
        <v>0</v>
      </c>
      <c r="Y61" s="137">
        <v>3.4550000000000001</v>
      </c>
      <c r="Z61" s="137">
        <v>0</v>
      </c>
      <c r="AA61" s="111">
        <v>14.861999999999998</v>
      </c>
      <c r="AB61" s="111">
        <v>1.1319999999999999</v>
      </c>
      <c r="AC61" s="111">
        <v>18.488000000000003</v>
      </c>
      <c r="AD61" s="111">
        <v>57.073999999999998</v>
      </c>
      <c r="AE61" s="111">
        <f t="shared" si="0"/>
        <v>34.481999999999999</v>
      </c>
      <c r="AF61" s="111">
        <f t="shared" si="1"/>
        <v>76.694000000000003</v>
      </c>
      <c r="AG61" s="111">
        <f t="shared" si="2"/>
        <v>91.555999999999997</v>
      </c>
      <c r="AH61" s="134"/>
    </row>
    <row r="62" spans="1:34" x14ac:dyDescent="0.2">
      <c r="A62" s="108" t="str">
        <f>'Forecast drivers'!C71</f>
        <v>PRT21</v>
      </c>
      <c r="B62" s="108" t="str">
        <f>'Forecast drivers'!A71</f>
        <v>PRT</v>
      </c>
      <c r="C62" s="108">
        <f>'Forecast drivers'!B71</f>
        <v>2021</v>
      </c>
      <c r="D62" s="51">
        <v>2.907</v>
      </c>
      <c r="E62" s="51"/>
      <c r="F62" s="51"/>
      <c r="G62" s="51">
        <v>16.578000000000003</v>
      </c>
      <c r="H62" s="51">
        <v>7.3500000000000014</v>
      </c>
      <c r="I62" s="51">
        <v>21.021000000000004</v>
      </c>
      <c r="J62" s="51">
        <v>23.928000000000004</v>
      </c>
      <c r="K62" s="137">
        <v>0</v>
      </c>
      <c r="L62" s="137">
        <v>0</v>
      </c>
      <c r="M62" s="137">
        <v>0</v>
      </c>
      <c r="N62" s="137">
        <v>0</v>
      </c>
      <c r="O62" s="137">
        <v>0</v>
      </c>
      <c r="P62" s="137">
        <v>0</v>
      </c>
      <c r="Q62" s="137">
        <v>0</v>
      </c>
      <c r="R62" s="137">
        <v>0</v>
      </c>
      <c r="S62" s="137">
        <v>0</v>
      </c>
      <c r="T62" s="137">
        <v>0</v>
      </c>
      <c r="U62" s="137">
        <v>0</v>
      </c>
      <c r="V62" s="137">
        <v>0</v>
      </c>
      <c r="W62" s="137">
        <v>0.249</v>
      </c>
      <c r="X62" s="137">
        <v>0</v>
      </c>
      <c r="Y62" s="137">
        <v>0.88300000000000001</v>
      </c>
      <c r="Z62" s="137">
        <v>0</v>
      </c>
      <c r="AA62" s="111">
        <v>17.736999999999998</v>
      </c>
      <c r="AB62" s="111">
        <v>7.8E-2</v>
      </c>
      <c r="AC62" s="111">
        <v>8.3109999999999999</v>
      </c>
      <c r="AD62" s="111">
        <v>19.648</v>
      </c>
      <c r="AE62" s="111">
        <f t="shared" ref="AE62:AE96" si="3">AA62+AB62+AC62</f>
        <v>26.125999999999998</v>
      </c>
      <c r="AF62" s="111">
        <f t="shared" si="1"/>
        <v>28.036999999999999</v>
      </c>
      <c r="AG62" s="111">
        <f t="shared" si="2"/>
        <v>45.774000000000001</v>
      </c>
      <c r="AH62" s="134"/>
    </row>
    <row r="63" spans="1:34" x14ac:dyDescent="0.2">
      <c r="A63" s="108" t="str">
        <f>'Forecast drivers'!C72</f>
        <v>PRT22</v>
      </c>
      <c r="B63" s="108" t="str">
        <f>'Forecast drivers'!A72</f>
        <v>PRT</v>
      </c>
      <c r="C63" s="108">
        <f>'Forecast drivers'!B72</f>
        <v>2022</v>
      </c>
      <c r="D63" s="51">
        <v>3.1949999999999998</v>
      </c>
      <c r="E63" s="51"/>
      <c r="F63" s="51"/>
      <c r="G63" s="51">
        <v>17.459000000000003</v>
      </c>
      <c r="H63" s="51">
        <v>8.6069999999999922</v>
      </c>
      <c r="I63" s="51">
        <v>22.870999999999995</v>
      </c>
      <c r="J63" s="51">
        <v>26.065999999999995</v>
      </c>
      <c r="K63" s="137">
        <v>0</v>
      </c>
      <c r="L63" s="137">
        <v>0</v>
      </c>
      <c r="M63" s="137">
        <v>0</v>
      </c>
      <c r="N63" s="137">
        <v>0</v>
      </c>
      <c r="O63" s="137">
        <v>0</v>
      </c>
      <c r="P63" s="137">
        <v>0</v>
      </c>
      <c r="Q63" s="137">
        <v>0</v>
      </c>
      <c r="R63" s="137">
        <v>0</v>
      </c>
      <c r="S63" s="137">
        <v>0</v>
      </c>
      <c r="T63" s="137">
        <v>0</v>
      </c>
      <c r="U63" s="137">
        <v>0</v>
      </c>
      <c r="V63" s="137">
        <v>0</v>
      </c>
      <c r="W63" s="137">
        <v>0.249</v>
      </c>
      <c r="X63" s="137">
        <v>0</v>
      </c>
      <c r="Y63" s="137">
        <v>0.88100000000000001</v>
      </c>
      <c r="Z63" s="137">
        <v>0</v>
      </c>
      <c r="AA63" s="111">
        <v>11.494999999999999</v>
      </c>
      <c r="AB63" s="111">
        <v>0.27600000000000002</v>
      </c>
      <c r="AC63" s="111">
        <v>7.3949999999999996</v>
      </c>
      <c r="AD63" s="111">
        <v>19.831000000000003</v>
      </c>
      <c r="AE63" s="111">
        <f t="shared" si="3"/>
        <v>19.165999999999997</v>
      </c>
      <c r="AF63" s="111">
        <f t="shared" si="1"/>
        <v>27.502000000000002</v>
      </c>
      <c r="AG63" s="111">
        <f t="shared" si="2"/>
        <v>38.997</v>
      </c>
      <c r="AH63" s="134"/>
    </row>
    <row r="64" spans="1:34" x14ac:dyDescent="0.2">
      <c r="A64" s="108" t="str">
        <f>'Forecast drivers'!C73</f>
        <v>PRT23</v>
      </c>
      <c r="B64" s="108" t="str">
        <f>'Forecast drivers'!A73</f>
        <v>PRT</v>
      </c>
      <c r="C64" s="108">
        <f>'Forecast drivers'!B73</f>
        <v>2023</v>
      </c>
      <c r="D64" s="51">
        <v>2.927</v>
      </c>
      <c r="E64" s="51"/>
      <c r="F64" s="51"/>
      <c r="G64" s="51">
        <v>18.250999999999998</v>
      </c>
      <c r="H64" s="51">
        <v>8.8270000000000053</v>
      </c>
      <c r="I64" s="51">
        <v>24.151000000000003</v>
      </c>
      <c r="J64" s="51">
        <v>27.078000000000003</v>
      </c>
      <c r="K64" s="137">
        <v>0</v>
      </c>
      <c r="L64" s="137">
        <v>0</v>
      </c>
      <c r="M64" s="137">
        <v>0</v>
      </c>
      <c r="N64" s="137">
        <v>0</v>
      </c>
      <c r="O64" s="137">
        <v>0</v>
      </c>
      <c r="P64" s="137">
        <v>0</v>
      </c>
      <c r="Q64" s="137">
        <v>0</v>
      </c>
      <c r="R64" s="137">
        <v>0</v>
      </c>
      <c r="S64" s="137">
        <v>0</v>
      </c>
      <c r="T64" s="137">
        <v>0</v>
      </c>
      <c r="U64" s="137">
        <v>0</v>
      </c>
      <c r="V64" s="137">
        <v>0</v>
      </c>
      <c r="W64" s="137">
        <v>0.249</v>
      </c>
      <c r="X64" s="137">
        <v>0</v>
      </c>
      <c r="Y64" s="137">
        <v>0.8819999999999999</v>
      </c>
      <c r="Z64" s="137">
        <v>0</v>
      </c>
      <c r="AA64" s="111">
        <v>12.287000000000001</v>
      </c>
      <c r="AB64" s="111">
        <v>0.08</v>
      </c>
      <c r="AC64" s="111">
        <v>7.0780000000000003</v>
      </c>
      <c r="AD64" s="111">
        <v>20.236000000000004</v>
      </c>
      <c r="AE64" s="111">
        <f t="shared" si="3"/>
        <v>19.445</v>
      </c>
      <c r="AF64" s="111">
        <f t="shared" si="1"/>
        <v>27.394000000000005</v>
      </c>
      <c r="AG64" s="111">
        <f t="shared" si="2"/>
        <v>39.681000000000004</v>
      </c>
      <c r="AH64" s="134"/>
    </row>
    <row r="65" spans="1:34" x14ac:dyDescent="0.2">
      <c r="A65" s="108" t="str">
        <f>'Forecast drivers'!C74</f>
        <v>PRT24</v>
      </c>
      <c r="B65" s="108" t="str">
        <f>'Forecast drivers'!A74</f>
        <v>PRT</v>
      </c>
      <c r="C65" s="108">
        <f>'Forecast drivers'!B74</f>
        <v>2024</v>
      </c>
      <c r="D65" s="51">
        <v>3.0739999999999998</v>
      </c>
      <c r="E65" s="51"/>
      <c r="F65" s="51"/>
      <c r="G65" s="51">
        <v>16.77</v>
      </c>
      <c r="H65" s="51">
        <v>7.6770000000000032</v>
      </c>
      <c r="I65" s="51">
        <v>21.373000000000005</v>
      </c>
      <c r="J65" s="51">
        <v>24.447000000000003</v>
      </c>
      <c r="K65" s="137">
        <v>0</v>
      </c>
      <c r="L65" s="137">
        <v>0</v>
      </c>
      <c r="M65" s="137">
        <v>0</v>
      </c>
      <c r="N65" s="137">
        <v>0</v>
      </c>
      <c r="O65" s="137">
        <v>0</v>
      </c>
      <c r="P65" s="137">
        <v>0</v>
      </c>
      <c r="Q65" s="137">
        <v>0</v>
      </c>
      <c r="R65" s="137">
        <v>0</v>
      </c>
      <c r="S65" s="137">
        <v>0</v>
      </c>
      <c r="T65" s="137">
        <v>0</v>
      </c>
      <c r="U65" s="137">
        <v>0</v>
      </c>
      <c r="V65" s="137">
        <v>0</v>
      </c>
      <c r="W65" s="137">
        <v>0.249</v>
      </c>
      <c r="X65" s="137">
        <v>0</v>
      </c>
      <c r="Y65" s="137">
        <v>0.88300000000000001</v>
      </c>
      <c r="Z65" s="137">
        <v>0</v>
      </c>
      <c r="AA65" s="111">
        <v>25.126999999999999</v>
      </c>
      <c r="AB65" s="111">
        <v>7.9000000000000001E-2</v>
      </c>
      <c r="AC65" s="111">
        <v>7.2409999999999997</v>
      </c>
      <c r="AD65" s="111">
        <v>19.841000000000001</v>
      </c>
      <c r="AE65" s="111">
        <f t="shared" si="3"/>
        <v>32.447000000000003</v>
      </c>
      <c r="AF65" s="111">
        <f t="shared" si="1"/>
        <v>27.161000000000001</v>
      </c>
      <c r="AG65" s="111">
        <f t="shared" si="2"/>
        <v>52.288000000000004</v>
      </c>
      <c r="AH65" s="134"/>
    </row>
    <row r="66" spans="1:34" x14ac:dyDescent="0.2">
      <c r="A66" s="108" t="str">
        <f>'Forecast drivers'!C75</f>
        <v>PRT25</v>
      </c>
      <c r="B66" s="108" t="str">
        <f>'Forecast drivers'!A75</f>
        <v>PRT</v>
      </c>
      <c r="C66" s="108">
        <f>'Forecast drivers'!B75</f>
        <v>2025</v>
      </c>
      <c r="D66" s="51">
        <v>2.9889999999999999</v>
      </c>
      <c r="E66" s="51"/>
      <c r="F66" s="51"/>
      <c r="G66" s="51">
        <v>17.905999999999999</v>
      </c>
      <c r="H66" s="51">
        <v>7.1820000000000022</v>
      </c>
      <c r="I66" s="51">
        <v>22.099</v>
      </c>
      <c r="J66" s="51">
        <v>25.088000000000001</v>
      </c>
      <c r="K66" s="137">
        <v>0</v>
      </c>
      <c r="L66" s="137">
        <v>0</v>
      </c>
      <c r="M66" s="137">
        <v>0</v>
      </c>
      <c r="N66" s="137">
        <v>0</v>
      </c>
      <c r="O66" s="137">
        <v>0</v>
      </c>
      <c r="P66" s="137">
        <v>0</v>
      </c>
      <c r="Q66" s="137">
        <v>0</v>
      </c>
      <c r="R66" s="137">
        <v>0</v>
      </c>
      <c r="S66" s="137">
        <v>0</v>
      </c>
      <c r="T66" s="137">
        <v>0</v>
      </c>
      <c r="U66" s="137">
        <v>0</v>
      </c>
      <c r="V66" s="137">
        <v>0</v>
      </c>
      <c r="W66" s="137">
        <v>0.249</v>
      </c>
      <c r="X66" s="137">
        <v>0</v>
      </c>
      <c r="Y66" s="137">
        <v>0.88600000000000001</v>
      </c>
      <c r="Z66" s="137">
        <v>0</v>
      </c>
      <c r="AA66" s="111">
        <v>27.806999999999999</v>
      </c>
      <c r="AB66" s="111">
        <v>7.8E-2</v>
      </c>
      <c r="AC66" s="111">
        <v>5.4459999999999997</v>
      </c>
      <c r="AD66" s="111">
        <v>21.228999999999999</v>
      </c>
      <c r="AE66" s="111">
        <f t="shared" si="3"/>
        <v>33.330999999999996</v>
      </c>
      <c r="AF66" s="111">
        <f t="shared" si="1"/>
        <v>26.753</v>
      </c>
      <c r="AG66" s="111">
        <f t="shared" si="2"/>
        <v>54.559999999999995</v>
      </c>
      <c r="AH66" s="134"/>
    </row>
    <row r="67" spans="1:34" x14ac:dyDescent="0.2">
      <c r="A67" s="108" t="str">
        <f>'Forecast drivers'!C76</f>
        <v>SES21</v>
      </c>
      <c r="B67" s="108" t="str">
        <f>'Forecast drivers'!A76</f>
        <v>SES</v>
      </c>
      <c r="C67" s="108">
        <f>'Forecast drivers'!B76</f>
        <v>2021</v>
      </c>
      <c r="D67" s="51">
        <v>3.9039999999999999</v>
      </c>
      <c r="E67" s="51"/>
      <c r="F67" s="51"/>
      <c r="G67" s="51">
        <v>20.953000000000003</v>
      </c>
      <c r="H67" s="51">
        <v>17.737999999999992</v>
      </c>
      <c r="I67" s="51">
        <v>34.786999999999992</v>
      </c>
      <c r="J67" s="51">
        <v>38.690999999999995</v>
      </c>
      <c r="K67" s="137">
        <v>0</v>
      </c>
      <c r="L67" s="137">
        <v>0</v>
      </c>
      <c r="M67" s="137">
        <v>0</v>
      </c>
      <c r="N67" s="137">
        <v>0</v>
      </c>
      <c r="O67" s="137">
        <v>0</v>
      </c>
      <c r="P67" s="137">
        <v>0</v>
      </c>
      <c r="Q67" s="137">
        <v>0</v>
      </c>
      <c r="R67" s="137">
        <v>0</v>
      </c>
      <c r="S67" s="137">
        <v>0</v>
      </c>
      <c r="T67" s="137">
        <v>0</v>
      </c>
      <c r="U67" s="137">
        <v>0</v>
      </c>
      <c r="V67" s="137">
        <v>0</v>
      </c>
      <c r="W67" s="137">
        <v>1.738</v>
      </c>
      <c r="X67" s="137">
        <v>0.2</v>
      </c>
      <c r="Y67" s="137">
        <v>2.8079999999999998</v>
      </c>
      <c r="Z67" s="137">
        <v>0</v>
      </c>
      <c r="AA67" s="111">
        <v>4.9630000000000001</v>
      </c>
      <c r="AB67" s="111">
        <v>0.79800000000000004</v>
      </c>
      <c r="AC67" s="111">
        <v>16.974</v>
      </c>
      <c r="AD67" s="111">
        <v>30.912000000000003</v>
      </c>
      <c r="AE67" s="111">
        <f t="shared" si="3"/>
        <v>22.734999999999999</v>
      </c>
      <c r="AF67" s="111">
        <f t="shared" si="1"/>
        <v>48.683999999999997</v>
      </c>
      <c r="AG67" s="111">
        <f t="shared" si="2"/>
        <v>53.647000000000006</v>
      </c>
      <c r="AH67" s="134"/>
    </row>
    <row r="68" spans="1:34" x14ac:dyDescent="0.2">
      <c r="A68" s="108" t="str">
        <f>'Forecast drivers'!C77</f>
        <v>SES22</v>
      </c>
      <c r="B68" s="108" t="str">
        <f>'Forecast drivers'!A77</f>
        <v>SES</v>
      </c>
      <c r="C68" s="108">
        <f>'Forecast drivers'!B77</f>
        <v>2022</v>
      </c>
      <c r="D68" s="51">
        <v>3.9619999999999997</v>
      </c>
      <c r="E68" s="51"/>
      <c r="F68" s="51"/>
      <c r="G68" s="51">
        <v>21.521999999999998</v>
      </c>
      <c r="H68" s="51">
        <v>18.725999999999999</v>
      </c>
      <c r="I68" s="51">
        <v>36.286000000000001</v>
      </c>
      <c r="J68" s="51">
        <v>40.247999999999998</v>
      </c>
      <c r="K68" s="137">
        <v>0</v>
      </c>
      <c r="L68" s="137">
        <v>0</v>
      </c>
      <c r="M68" s="137">
        <v>0</v>
      </c>
      <c r="N68" s="137">
        <v>0</v>
      </c>
      <c r="O68" s="137">
        <v>0</v>
      </c>
      <c r="P68" s="137">
        <v>0</v>
      </c>
      <c r="Q68" s="137">
        <v>0</v>
      </c>
      <c r="R68" s="137">
        <v>0</v>
      </c>
      <c r="S68" s="137">
        <v>0</v>
      </c>
      <c r="T68" s="137">
        <v>0</v>
      </c>
      <c r="U68" s="137">
        <v>0</v>
      </c>
      <c r="V68" s="137">
        <v>0</v>
      </c>
      <c r="W68" s="137">
        <v>1.766</v>
      </c>
      <c r="X68" s="137">
        <v>0.2</v>
      </c>
      <c r="Y68" s="137">
        <v>2.8540000000000001</v>
      </c>
      <c r="Z68" s="137">
        <v>0</v>
      </c>
      <c r="AA68" s="111">
        <v>5.0209999999999999</v>
      </c>
      <c r="AB68" s="111">
        <v>0.79300000000000004</v>
      </c>
      <c r="AC68" s="111">
        <v>17.898</v>
      </c>
      <c r="AD68" s="111">
        <v>34.720000000000006</v>
      </c>
      <c r="AE68" s="111">
        <f t="shared" si="3"/>
        <v>23.712</v>
      </c>
      <c r="AF68" s="111">
        <f t="shared" si="1"/>
        <v>53.411000000000001</v>
      </c>
      <c r="AG68" s="111">
        <f t="shared" si="2"/>
        <v>58.432000000000002</v>
      </c>
      <c r="AH68" s="134"/>
    </row>
    <row r="69" spans="1:34" x14ac:dyDescent="0.2">
      <c r="A69" s="108" t="str">
        <f>'Forecast drivers'!C78</f>
        <v>SES23</v>
      </c>
      <c r="B69" s="108" t="str">
        <f>'Forecast drivers'!A78</f>
        <v>SES</v>
      </c>
      <c r="C69" s="108">
        <f>'Forecast drivers'!B78</f>
        <v>2023</v>
      </c>
      <c r="D69" s="51">
        <v>3.7050000000000001</v>
      </c>
      <c r="E69" s="51"/>
      <c r="F69" s="51"/>
      <c r="G69" s="51">
        <v>21.199000000000002</v>
      </c>
      <c r="H69" s="51">
        <v>16.847999999999995</v>
      </c>
      <c r="I69" s="51">
        <v>34.341999999999999</v>
      </c>
      <c r="J69" s="51">
        <v>38.046999999999997</v>
      </c>
      <c r="K69" s="137">
        <v>0</v>
      </c>
      <c r="L69" s="137">
        <v>0</v>
      </c>
      <c r="M69" s="137">
        <v>0</v>
      </c>
      <c r="N69" s="137">
        <v>0</v>
      </c>
      <c r="O69" s="137">
        <v>0</v>
      </c>
      <c r="P69" s="137">
        <v>0</v>
      </c>
      <c r="Q69" s="137">
        <v>0</v>
      </c>
      <c r="R69" s="137">
        <v>0</v>
      </c>
      <c r="S69" s="137">
        <v>0</v>
      </c>
      <c r="T69" s="137">
        <v>0</v>
      </c>
      <c r="U69" s="137">
        <v>0</v>
      </c>
      <c r="V69" s="137">
        <v>0</v>
      </c>
      <c r="W69" s="137">
        <v>1.827</v>
      </c>
      <c r="X69" s="137">
        <v>0.2</v>
      </c>
      <c r="Y69" s="137">
        <v>2.8289999999999997</v>
      </c>
      <c r="Z69" s="137">
        <v>0</v>
      </c>
      <c r="AA69" s="111">
        <v>4.7640000000000002</v>
      </c>
      <c r="AB69" s="111">
        <v>0.84299999999999997</v>
      </c>
      <c r="AC69" s="111">
        <v>14.653</v>
      </c>
      <c r="AD69" s="111">
        <v>32.672999999999995</v>
      </c>
      <c r="AE69" s="111">
        <f t="shared" si="3"/>
        <v>20.260000000000002</v>
      </c>
      <c r="AF69" s="111">
        <f t="shared" si="1"/>
        <v>48.168999999999997</v>
      </c>
      <c r="AG69" s="111">
        <f t="shared" si="2"/>
        <v>52.932999999999993</v>
      </c>
      <c r="AH69" s="134"/>
    </row>
    <row r="70" spans="1:34" x14ac:dyDescent="0.2">
      <c r="A70" s="108" t="str">
        <f>'Forecast drivers'!C79</f>
        <v>SES24</v>
      </c>
      <c r="B70" s="108" t="str">
        <f>'Forecast drivers'!A79</f>
        <v>SES</v>
      </c>
      <c r="C70" s="108">
        <f>'Forecast drivers'!B79</f>
        <v>2024</v>
      </c>
      <c r="D70" s="51">
        <v>3.48</v>
      </c>
      <c r="E70" s="51"/>
      <c r="F70" s="51"/>
      <c r="G70" s="51">
        <v>20.165999999999997</v>
      </c>
      <c r="H70" s="51">
        <v>13.161000000000001</v>
      </c>
      <c r="I70" s="51">
        <v>29.846999999999998</v>
      </c>
      <c r="J70" s="51">
        <v>33.326999999999998</v>
      </c>
      <c r="K70" s="137">
        <v>0</v>
      </c>
      <c r="L70" s="137">
        <v>0</v>
      </c>
      <c r="M70" s="137">
        <v>0</v>
      </c>
      <c r="N70" s="137">
        <v>0</v>
      </c>
      <c r="O70" s="137">
        <v>0</v>
      </c>
      <c r="P70" s="137">
        <v>0</v>
      </c>
      <c r="Q70" s="137">
        <v>0</v>
      </c>
      <c r="R70" s="137">
        <v>0</v>
      </c>
      <c r="S70" s="137">
        <v>0</v>
      </c>
      <c r="T70" s="137">
        <v>0</v>
      </c>
      <c r="U70" s="137">
        <v>0</v>
      </c>
      <c r="V70" s="137">
        <v>0</v>
      </c>
      <c r="W70" s="137">
        <v>1.88</v>
      </c>
      <c r="X70" s="137">
        <v>0.2</v>
      </c>
      <c r="Y70" s="137">
        <v>2.9050000000000002</v>
      </c>
      <c r="Z70" s="137">
        <v>0</v>
      </c>
      <c r="AA70" s="111">
        <v>4.5389999999999997</v>
      </c>
      <c r="AB70" s="111">
        <v>0.75700000000000001</v>
      </c>
      <c r="AC70" s="111">
        <v>11.24</v>
      </c>
      <c r="AD70" s="111">
        <v>30.660000000000004</v>
      </c>
      <c r="AE70" s="111">
        <f t="shared" si="3"/>
        <v>16.536000000000001</v>
      </c>
      <c r="AF70" s="111">
        <f t="shared" si="1"/>
        <v>42.657000000000004</v>
      </c>
      <c r="AG70" s="111">
        <f t="shared" si="2"/>
        <v>47.196000000000005</v>
      </c>
      <c r="AH70" s="134"/>
    </row>
    <row r="71" spans="1:34" x14ac:dyDescent="0.2">
      <c r="A71" s="108" t="str">
        <f>'Forecast drivers'!C80</f>
        <v>SES25</v>
      </c>
      <c r="B71" s="108" t="str">
        <f>'Forecast drivers'!A80</f>
        <v>SES</v>
      </c>
      <c r="C71" s="108">
        <f>'Forecast drivers'!B80</f>
        <v>2025</v>
      </c>
      <c r="D71" s="51">
        <v>3.4000000000000004</v>
      </c>
      <c r="E71" s="51"/>
      <c r="F71" s="51"/>
      <c r="G71" s="51">
        <v>19.120999999999999</v>
      </c>
      <c r="H71" s="51">
        <v>13.232000000000003</v>
      </c>
      <c r="I71" s="51">
        <v>28.953000000000003</v>
      </c>
      <c r="J71" s="51">
        <v>32.353000000000002</v>
      </c>
      <c r="K71" s="137">
        <v>0</v>
      </c>
      <c r="L71" s="137">
        <v>0</v>
      </c>
      <c r="M71" s="137">
        <v>0</v>
      </c>
      <c r="N71" s="137">
        <v>0</v>
      </c>
      <c r="O71" s="137">
        <v>0</v>
      </c>
      <c r="P71" s="137">
        <v>0</v>
      </c>
      <c r="Q71" s="137">
        <v>0</v>
      </c>
      <c r="R71" s="137">
        <v>0</v>
      </c>
      <c r="S71" s="137">
        <v>0</v>
      </c>
      <c r="T71" s="137">
        <v>0</v>
      </c>
      <c r="U71" s="137">
        <v>0</v>
      </c>
      <c r="V71" s="137">
        <v>0</v>
      </c>
      <c r="W71" s="137">
        <v>1.875</v>
      </c>
      <c r="X71" s="137">
        <v>0.2</v>
      </c>
      <c r="Y71" s="137">
        <v>2.8690000000000002</v>
      </c>
      <c r="Z71" s="137">
        <v>0</v>
      </c>
      <c r="AA71" s="111">
        <v>4.4589999999999996</v>
      </c>
      <c r="AB71" s="111">
        <v>0.71199999999999997</v>
      </c>
      <c r="AC71" s="111">
        <v>11.427</v>
      </c>
      <c r="AD71" s="111">
        <v>29.542000000000002</v>
      </c>
      <c r="AE71" s="111">
        <f t="shared" si="3"/>
        <v>16.597999999999999</v>
      </c>
      <c r="AF71" s="111">
        <f t="shared" si="1"/>
        <v>41.680999999999997</v>
      </c>
      <c r="AG71" s="111">
        <f t="shared" si="2"/>
        <v>46.14</v>
      </c>
      <c r="AH71" s="134"/>
    </row>
    <row r="72" spans="1:34" x14ac:dyDescent="0.2">
      <c r="A72" s="108" t="str">
        <f>'Forecast drivers'!C81</f>
        <v>SEW21</v>
      </c>
      <c r="B72" s="108" t="str">
        <f>'Forecast drivers'!A81</f>
        <v>SEW</v>
      </c>
      <c r="C72" s="108">
        <f>'Forecast drivers'!B81</f>
        <v>2021</v>
      </c>
      <c r="D72" s="51">
        <v>13.135942796505766</v>
      </c>
      <c r="E72" s="51"/>
      <c r="F72" s="51"/>
      <c r="G72" s="51">
        <v>80.426535924841971</v>
      </c>
      <c r="H72" s="51">
        <v>49.322632766974891</v>
      </c>
      <c r="I72" s="51">
        <v>116.6132258953111</v>
      </c>
      <c r="J72" s="51">
        <v>129.74916869181686</v>
      </c>
      <c r="K72" s="137">
        <v>0</v>
      </c>
      <c r="L72" s="137">
        <v>0</v>
      </c>
      <c r="M72" s="137">
        <v>0</v>
      </c>
      <c r="N72" s="137">
        <v>0.46500000000000002</v>
      </c>
      <c r="O72" s="137">
        <v>0</v>
      </c>
      <c r="P72" s="137">
        <v>0</v>
      </c>
      <c r="Q72" s="137">
        <v>0</v>
      </c>
      <c r="R72" s="137">
        <v>1.2999999999999999E-2</v>
      </c>
      <c r="S72" s="137">
        <v>0</v>
      </c>
      <c r="T72" s="137">
        <v>0</v>
      </c>
      <c r="U72" s="137">
        <v>0</v>
      </c>
      <c r="V72" s="137">
        <v>1.1719999999999999</v>
      </c>
      <c r="W72" s="137">
        <v>0.443</v>
      </c>
      <c r="X72" s="137">
        <v>0</v>
      </c>
      <c r="Y72" s="137">
        <v>12.909000000000001</v>
      </c>
      <c r="Z72" s="137">
        <v>1.6220000000000001</v>
      </c>
      <c r="AA72" s="111">
        <v>28.036000000000001</v>
      </c>
      <c r="AB72" s="111">
        <v>2.4470000000000001</v>
      </c>
      <c r="AC72" s="111">
        <v>44.580000000000005</v>
      </c>
      <c r="AD72" s="111">
        <v>106.20400000000001</v>
      </c>
      <c r="AE72" s="111">
        <f t="shared" si="3"/>
        <v>75.063000000000002</v>
      </c>
      <c r="AF72" s="111">
        <f t="shared" ref="AF72:AF96" si="4">AB72+AC72+AD72</f>
        <v>153.23100000000002</v>
      </c>
      <c r="AG72" s="111">
        <f t="shared" ref="AG72:AG96" si="5">SUM(AA72:AD72)</f>
        <v>181.267</v>
      </c>
      <c r="AH72" s="134"/>
    </row>
    <row r="73" spans="1:34" x14ac:dyDescent="0.2">
      <c r="A73" s="108" t="str">
        <f>'Forecast drivers'!C82</f>
        <v>SEW22</v>
      </c>
      <c r="B73" s="108" t="str">
        <f>'Forecast drivers'!A82</f>
        <v>SEW</v>
      </c>
      <c r="C73" s="108">
        <f>'Forecast drivers'!B82</f>
        <v>2022</v>
      </c>
      <c r="D73" s="51">
        <v>13.1145561881945</v>
      </c>
      <c r="E73" s="51"/>
      <c r="F73" s="51"/>
      <c r="G73" s="51">
        <v>80.210655882231677</v>
      </c>
      <c r="H73" s="51">
        <v>48.627811659182001</v>
      </c>
      <c r="I73" s="51">
        <v>115.72391135321918</v>
      </c>
      <c r="J73" s="51">
        <v>128.83846754141368</v>
      </c>
      <c r="K73" s="137">
        <v>0</v>
      </c>
      <c r="L73" s="137">
        <v>0</v>
      </c>
      <c r="M73" s="137">
        <v>0</v>
      </c>
      <c r="N73" s="137">
        <v>0.46500000000000002</v>
      </c>
      <c r="O73" s="137">
        <v>0</v>
      </c>
      <c r="P73" s="137">
        <v>0</v>
      </c>
      <c r="Q73" s="137">
        <v>0</v>
      </c>
      <c r="R73" s="137">
        <v>1.2999999999999999E-2</v>
      </c>
      <c r="S73" s="137">
        <v>0</v>
      </c>
      <c r="T73" s="137">
        <v>0</v>
      </c>
      <c r="U73" s="137">
        <v>0</v>
      </c>
      <c r="V73" s="137">
        <v>1.1719999999999999</v>
      </c>
      <c r="W73" s="137">
        <v>0.443</v>
      </c>
      <c r="X73" s="137">
        <v>0</v>
      </c>
      <c r="Y73" s="137">
        <v>12.738</v>
      </c>
      <c r="Z73" s="137">
        <v>1.6220000000000001</v>
      </c>
      <c r="AA73" s="111">
        <v>26.282</v>
      </c>
      <c r="AB73" s="111">
        <v>3.0670000000000002</v>
      </c>
      <c r="AC73" s="111">
        <v>53.465000000000003</v>
      </c>
      <c r="AD73" s="111">
        <v>125.82300000000001</v>
      </c>
      <c r="AE73" s="111">
        <f t="shared" si="3"/>
        <v>82.814000000000007</v>
      </c>
      <c r="AF73" s="111">
        <f t="shared" si="4"/>
        <v>182.35500000000002</v>
      </c>
      <c r="AG73" s="111">
        <f t="shared" si="5"/>
        <v>208.637</v>
      </c>
      <c r="AH73" s="134"/>
    </row>
    <row r="74" spans="1:34" x14ac:dyDescent="0.2">
      <c r="A74" s="108" t="str">
        <f>'Forecast drivers'!C83</f>
        <v>SEW23</v>
      </c>
      <c r="B74" s="108" t="str">
        <f>'Forecast drivers'!A83</f>
        <v>SEW</v>
      </c>
      <c r="C74" s="108">
        <f>'Forecast drivers'!B83</f>
        <v>2023</v>
      </c>
      <c r="D74" s="51">
        <v>13.226178600395386</v>
      </c>
      <c r="E74" s="51"/>
      <c r="F74" s="51"/>
      <c r="G74" s="51">
        <v>80.711897634011848</v>
      </c>
      <c r="H74" s="51">
        <v>48.291056374694932</v>
      </c>
      <c r="I74" s="51">
        <v>115.77677540831139</v>
      </c>
      <c r="J74" s="51">
        <v>129.00295400870678</v>
      </c>
      <c r="K74" s="137">
        <v>0</v>
      </c>
      <c r="L74" s="137">
        <v>0</v>
      </c>
      <c r="M74" s="137">
        <v>0</v>
      </c>
      <c r="N74" s="137">
        <v>0.46500000000000002</v>
      </c>
      <c r="O74" s="137">
        <v>0</v>
      </c>
      <c r="P74" s="137">
        <v>0</v>
      </c>
      <c r="Q74" s="137">
        <v>0</v>
      </c>
      <c r="R74" s="137">
        <v>1.2999999999999999E-2</v>
      </c>
      <c r="S74" s="137">
        <v>0</v>
      </c>
      <c r="T74" s="137">
        <v>0</v>
      </c>
      <c r="U74" s="137">
        <v>0</v>
      </c>
      <c r="V74" s="137">
        <v>1.1719999999999999</v>
      </c>
      <c r="W74" s="137">
        <v>0.443</v>
      </c>
      <c r="X74" s="137">
        <v>0</v>
      </c>
      <c r="Y74" s="137">
        <v>12.632999999999999</v>
      </c>
      <c r="Z74" s="137">
        <v>1.6220000000000001</v>
      </c>
      <c r="AA74" s="111">
        <v>25.827000000000002</v>
      </c>
      <c r="AB74" s="111">
        <v>3.0590000000000002</v>
      </c>
      <c r="AC74" s="111">
        <v>57.584000000000003</v>
      </c>
      <c r="AD74" s="111">
        <v>130.65199999999999</v>
      </c>
      <c r="AE74" s="111">
        <f t="shared" si="3"/>
        <v>86.47</v>
      </c>
      <c r="AF74" s="111">
        <f t="shared" si="4"/>
        <v>191.29499999999999</v>
      </c>
      <c r="AG74" s="111">
        <f t="shared" si="5"/>
        <v>217.12199999999999</v>
      </c>
      <c r="AH74" s="134"/>
    </row>
    <row r="75" spans="1:34" x14ac:dyDescent="0.2">
      <c r="A75" s="108" t="str">
        <f>'Forecast drivers'!C84</f>
        <v>SEW24</v>
      </c>
      <c r="B75" s="108" t="str">
        <f>'Forecast drivers'!A84</f>
        <v>SEW</v>
      </c>
      <c r="C75" s="108">
        <f>'Forecast drivers'!B84</f>
        <v>2024</v>
      </c>
      <c r="D75" s="51">
        <v>13.321809818581666</v>
      </c>
      <c r="E75" s="51"/>
      <c r="F75" s="51"/>
      <c r="G75" s="51">
        <v>80.961085146204255</v>
      </c>
      <c r="H75" s="51">
        <v>48.122365348096992</v>
      </c>
      <c r="I75" s="51">
        <v>115.76164067571958</v>
      </c>
      <c r="J75" s="51">
        <v>129.08345049430125</v>
      </c>
      <c r="K75" s="137">
        <v>0</v>
      </c>
      <c r="L75" s="137">
        <v>0</v>
      </c>
      <c r="M75" s="137">
        <v>0</v>
      </c>
      <c r="N75" s="137">
        <v>0.46500000000000002</v>
      </c>
      <c r="O75" s="137">
        <v>0</v>
      </c>
      <c r="P75" s="137">
        <v>0</v>
      </c>
      <c r="Q75" s="137">
        <v>0</v>
      </c>
      <c r="R75" s="137">
        <v>1.2999999999999999E-2</v>
      </c>
      <c r="S75" s="137">
        <v>0</v>
      </c>
      <c r="T75" s="137">
        <v>0</v>
      </c>
      <c r="U75" s="137">
        <v>0</v>
      </c>
      <c r="V75" s="137">
        <v>1.1719999999999999</v>
      </c>
      <c r="W75" s="137">
        <v>0.443</v>
      </c>
      <c r="X75" s="137">
        <v>0</v>
      </c>
      <c r="Y75" s="137">
        <v>12.44</v>
      </c>
      <c r="Z75" s="137">
        <v>1.6220000000000001</v>
      </c>
      <c r="AA75" s="111">
        <v>23.785</v>
      </c>
      <c r="AB75" s="111">
        <v>2.3959999999999999</v>
      </c>
      <c r="AC75" s="111">
        <v>45.11</v>
      </c>
      <c r="AD75" s="111">
        <v>123.629</v>
      </c>
      <c r="AE75" s="111">
        <f t="shared" si="3"/>
        <v>71.290999999999997</v>
      </c>
      <c r="AF75" s="111">
        <f t="shared" si="4"/>
        <v>171.13499999999999</v>
      </c>
      <c r="AG75" s="111">
        <f t="shared" si="5"/>
        <v>194.92000000000002</v>
      </c>
      <c r="AH75" s="134"/>
    </row>
    <row r="76" spans="1:34" x14ac:dyDescent="0.2">
      <c r="A76" s="108" t="str">
        <f>'Forecast drivers'!C85</f>
        <v>SEW25</v>
      </c>
      <c r="B76" s="108" t="str">
        <f>'Forecast drivers'!A85</f>
        <v>SEW</v>
      </c>
      <c r="C76" s="108">
        <f>'Forecast drivers'!B85</f>
        <v>2025</v>
      </c>
      <c r="D76" s="51">
        <v>13.029449633407658</v>
      </c>
      <c r="E76" s="51"/>
      <c r="F76" s="51"/>
      <c r="G76" s="51">
        <v>81.917587024861376</v>
      </c>
      <c r="H76" s="51">
        <v>46.859737051778183</v>
      </c>
      <c r="I76" s="51">
        <v>115.74787444323189</v>
      </c>
      <c r="J76" s="51">
        <v>128.77732407663956</v>
      </c>
      <c r="K76" s="137">
        <v>0</v>
      </c>
      <c r="L76" s="137">
        <v>0</v>
      </c>
      <c r="M76" s="137">
        <v>0</v>
      </c>
      <c r="N76" s="137">
        <v>0.46500000000000002</v>
      </c>
      <c r="O76" s="137">
        <v>0</v>
      </c>
      <c r="P76" s="137">
        <v>0</v>
      </c>
      <c r="Q76" s="137">
        <v>0</v>
      </c>
      <c r="R76" s="137">
        <v>1.2999999999999999E-2</v>
      </c>
      <c r="S76" s="137">
        <v>0</v>
      </c>
      <c r="T76" s="137">
        <v>0</v>
      </c>
      <c r="U76" s="137">
        <v>0</v>
      </c>
      <c r="V76" s="137">
        <v>1.1719999999999999</v>
      </c>
      <c r="W76" s="137">
        <v>0.443</v>
      </c>
      <c r="X76" s="137">
        <v>0</v>
      </c>
      <c r="Y76" s="137">
        <v>12.288</v>
      </c>
      <c r="Z76" s="137">
        <v>1.6220000000000001</v>
      </c>
      <c r="AA76" s="111">
        <v>23.702000000000002</v>
      </c>
      <c r="AB76" s="111">
        <v>2.1579999999999999</v>
      </c>
      <c r="AC76" s="111">
        <v>45.812000000000005</v>
      </c>
      <c r="AD76" s="111">
        <v>131.489</v>
      </c>
      <c r="AE76" s="111">
        <f t="shared" si="3"/>
        <v>71.672000000000011</v>
      </c>
      <c r="AF76" s="111">
        <f t="shared" si="4"/>
        <v>179.459</v>
      </c>
      <c r="AG76" s="111">
        <f t="shared" si="5"/>
        <v>203.161</v>
      </c>
      <c r="AH76" s="134"/>
    </row>
    <row r="77" spans="1:34" x14ac:dyDescent="0.2">
      <c r="A77" s="108" t="str">
        <f>'Forecast drivers'!C86</f>
        <v>SSC21</v>
      </c>
      <c r="B77" s="108" t="str">
        <f>'Forecast drivers'!A86</f>
        <v>SSC</v>
      </c>
      <c r="C77" s="108">
        <f>'Forecast drivers'!B86</f>
        <v>2021</v>
      </c>
      <c r="D77" s="51">
        <v>4.9553427188544426</v>
      </c>
      <c r="E77" s="51"/>
      <c r="F77" s="51"/>
      <c r="G77" s="51">
        <v>71.444330089807707</v>
      </c>
      <c r="H77" s="51">
        <v>15.804287153792643</v>
      </c>
      <c r="I77" s="51">
        <v>82.293274524745911</v>
      </c>
      <c r="J77" s="51">
        <v>87.24861724360035</v>
      </c>
      <c r="K77" s="137">
        <v>6.2710698512684097E-3</v>
      </c>
      <c r="L77" s="137">
        <v>0</v>
      </c>
      <c r="M77" s="137">
        <v>0</v>
      </c>
      <c r="N77" s="137">
        <v>0</v>
      </c>
      <c r="O77" s="137">
        <v>2.44761853994778E-3</v>
      </c>
      <c r="P77" s="137">
        <v>0</v>
      </c>
      <c r="Q77" s="137">
        <v>1.32297741571903E-2</v>
      </c>
      <c r="R77" s="137">
        <v>0</v>
      </c>
      <c r="S77" s="137">
        <v>0.54357853523389399</v>
      </c>
      <c r="T77" s="137">
        <v>0</v>
      </c>
      <c r="U77" s="137">
        <v>3.7063721138836301</v>
      </c>
      <c r="V77" s="137">
        <v>0</v>
      </c>
      <c r="W77" s="137">
        <v>0.85120724472786202</v>
      </c>
      <c r="X77" s="137">
        <v>0</v>
      </c>
      <c r="Y77" s="137">
        <v>14.066302953898841</v>
      </c>
      <c r="Z77" s="137">
        <v>0</v>
      </c>
      <c r="AA77" s="111">
        <v>12.545065676186033</v>
      </c>
      <c r="AB77" s="111">
        <v>1.4287968206811925</v>
      </c>
      <c r="AC77" s="111">
        <v>32.802080263154934</v>
      </c>
      <c r="AD77" s="111">
        <v>82.864580970280286</v>
      </c>
      <c r="AE77" s="111">
        <f t="shared" si="3"/>
        <v>46.775942760022161</v>
      </c>
      <c r="AF77" s="111">
        <f t="shared" si="4"/>
        <v>117.09545805411642</v>
      </c>
      <c r="AG77" s="111">
        <f t="shared" si="5"/>
        <v>129.64052373030245</v>
      </c>
      <c r="AH77" s="134"/>
    </row>
    <row r="78" spans="1:34" x14ac:dyDescent="0.2">
      <c r="A78" s="108" t="str">
        <f>'Forecast drivers'!C87</f>
        <v>SSC22</v>
      </c>
      <c r="B78" s="108" t="str">
        <f>'Forecast drivers'!A87</f>
        <v>SSC</v>
      </c>
      <c r="C78" s="108">
        <f>'Forecast drivers'!B87</f>
        <v>2022</v>
      </c>
      <c r="D78" s="51">
        <v>6.0292822068378307</v>
      </c>
      <c r="E78" s="51"/>
      <c r="F78" s="51"/>
      <c r="G78" s="51">
        <v>72.127508915547295</v>
      </c>
      <c r="H78" s="51">
        <v>17.675479312216098</v>
      </c>
      <c r="I78" s="51">
        <v>83.773706020925559</v>
      </c>
      <c r="J78" s="51">
        <v>89.802988227763393</v>
      </c>
      <c r="K78" s="137">
        <v>6.2710698512684097E-3</v>
      </c>
      <c r="L78" s="137">
        <v>0</v>
      </c>
      <c r="M78" s="137">
        <v>0</v>
      </c>
      <c r="N78" s="137">
        <v>0</v>
      </c>
      <c r="O78" s="137">
        <v>2.44761853994778E-3</v>
      </c>
      <c r="P78" s="137">
        <v>0</v>
      </c>
      <c r="Q78" s="137">
        <v>1.32297741571903E-2</v>
      </c>
      <c r="R78" s="137">
        <v>0</v>
      </c>
      <c r="S78" s="137">
        <v>0.54357853523389399</v>
      </c>
      <c r="T78" s="137">
        <v>0</v>
      </c>
      <c r="U78" s="137">
        <v>3.7063721138836301</v>
      </c>
      <c r="V78" s="137">
        <v>0</v>
      </c>
      <c r="W78" s="137">
        <v>0.85120724472786202</v>
      </c>
      <c r="X78" s="137">
        <v>0</v>
      </c>
      <c r="Y78" s="137">
        <v>13.56560688579594</v>
      </c>
      <c r="Z78" s="137">
        <v>0</v>
      </c>
      <c r="AA78" s="111">
        <v>10.747108822188832</v>
      </c>
      <c r="AB78" s="111">
        <v>1.7592141562199426</v>
      </c>
      <c r="AC78" s="111">
        <v>35.966243250070541</v>
      </c>
      <c r="AD78" s="111">
        <v>82.891632441309781</v>
      </c>
      <c r="AE78" s="111">
        <f t="shared" si="3"/>
        <v>48.472566228479316</v>
      </c>
      <c r="AF78" s="111">
        <f t="shared" si="4"/>
        <v>120.61708984760025</v>
      </c>
      <c r="AG78" s="111">
        <f t="shared" si="5"/>
        <v>131.36419866978909</v>
      </c>
      <c r="AH78" s="134"/>
    </row>
    <row r="79" spans="1:34" x14ac:dyDescent="0.2">
      <c r="A79" s="108" t="str">
        <f>'Forecast drivers'!C88</f>
        <v>SSC23</v>
      </c>
      <c r="B79" s="108" t="str">
        <f>'Forecast drivers'!A88</f>
        <v>SSC</v>
      </c>
      <c r="C79" s="108">
        <f>'Forecast drivers'!B88</f>
        <v>2023</v>
      </c>
      <c r="D79" s="51">
        <v>5.520104736009241</v>
      </c>
      <c r="E79" s="51"/>
      <c r="F79" s="51"/>
      <c r="G79" s="51">
        <v>69.878100420257283</v>
      </c>
      <c r="H79" s="51">
        <v>17.758534839019475</v>
      </c>
      <c r="I79" s="51">
        <v>82.116530523267514</v>
      </c>
      <c r="J79" s="51">
        <v>87.636635259276758</v>
      </c>
      <c r="K79" s="137">
        <v>6.2710698512684097E-3</v>
      </c>
      <c r="L79" s="137">
        <v>0</v>
      </c>
      <c r="M79" s="137">
        <v>0</v>
      </c>
      <c r="N79" s="137">
        <v>0</v>
      </c>
      <c r="O79" s="137">
        <v>2.44761853994778E-3</v>
      </c>
      <c r="P79" s="137">
        <v>0</v>
      </c>
      <c r="Q79" s="137">
        <v>1.32297741571903E-2</v>
      </c>
      <c r="R79" s="137">
        <v>0</v>
      </c>
      <c r="S79" s="137">
        <v>0.54357853523389399</v>
      </c>
      <c r="T79" s="137">
        <v>0</v>
      </c>
      <c r="U79" s="137">
        <v>3.7063721138836301</v>
      </c>
      <c r="V79" s="137">
        <v>0</v>
      </c>
      <c r="W79" s="137">
        <v>0.85120724472786202</v>
      </c>
      <c r="X79" s="137">
        <v>0</v>
      </c>
      <c r="Y79" s="137">
        <v>12.01467028459917</v>
      </c>
      <c r="Z79" s="137">
        <v>0</v>
      </c>
      <c r="AA79" s="111">
        <v>10.243019726036032</v>
      </c>
      <c r="AB79" s="111">
        <v>1.5076106176261226</v>
      </c>
      <c r="AC79" s="111">
        <v>37.82781472146484</v>
      </c>
      <c r="AD79" s="111">
        <v>81.138849314381901</v>
      </c>
      <c r="AE79" s="111">
        <f t="shared" si="3"/>
        <v>49.578445065126992</v>
      </c>
      <c r="AF79" s="111">
        <f t="shared" si="4"/>
        <v>120.47427465347286</v>
      </c>
      <c r="AG79" s="111">
        <f t="shared" si="5"/>
        <v>130.7172943795089</v>
      </c>
      <c r="AH79" s="134"/>
    </row>
    <row r="80" spans="1:34" x14ac:dyDescent="0.2">
      <c r="A80" s="108" t="str">
        <f>'Forecast drivers'!C89</f>
        <v>SSC24</v>
      </c>
      <c r="B80" s="108" t="str">
        <f>'Forecast drivers'!A89</f>
        <v>SSC</v>
      </c>
      <c r="C80" s="108">
        <f>'Forecast drivers'!B89</f>
        <v>2024</v>
      </c>
      <c r="D80" s="51">
        <v>5.8970051958101735</v>
      </c>
      <c r="E80" s="51"/>
      <c r="F80" s="51"/>
      <c r="G80" s="51">
        <v>63.288071711993808</v>
      </c>
      <c r="H80" s="51">
        <v>19.152491948889434</v>
      </c>
      <c r="I80" s="51">
        <v>76.543558465073062</v>
      </c>
      <c r="J80" s="51">
        <v>82.440563660883242</v>
      </c>
      <c r="K80" s="137">
        <v>6.2710698512684097E-3</v>
      </c>
      <c r="L80" s="137">
        <v>0</v>
      </c>
      <c r="M80" s="137">
        <v>0</v>
      </c>
      <c r="N80" s="137">
        <v>0</v>
      </c>
      <c r="O80" s="137">
        <v>2.44761853994778E-3</v>
      </c>
      <c r="P80" s="137">
        <v>0</v>
      </c>
      <c r="Q80" s="137">
        <v>1.32297741571903E-2</v>
      </c>
      <c r="R80" s="137">
        <v>0</v>
      </c>
      <c r="S80" s="137">
        <v>0.54357853523389399</v>
      </c>
      <c r="T80" s="137">
        <v>0</v>
      </c>
      <c r="U80" s="137">
        <v>0.14450984079392501</v>
      </c>
      <c r="V80" s="137">
        <v>0</v>
      </c>
      <c r="W80" s="137">
        <v>0.85120724472786202</v>
      </c>
      <c r="X80" s="137">
        <v>0</v>
      </c>
      <c r="Y80" s="137">
        <v>9.1132790444338045</v>
      </c>
      <c r="Z80" s="137">
        <v>0</v>
      </c>
      <c r="AA80" s="111">
        <v>10.321759104767832</v>
      </c>
      <c r="AB80" s="111">
        <v>1.5114188292183626</v>
      </c>
      <c r="AC80" s="111">
        <v>16.066453460741133</v>
      </c>
      <c r="AD80" s="111">
        <v>73.881225848647844</v>
      </c>
      <c r="AE80" s="111">
        <f t="shared" si="3"/>
        <v>27.899631394727329</v>
      </c>
      <c r="AF80" s="111">
        <f t="shared" si="4"/>
        <v>91.459098138607345</v>
      </c>
      <c r="AG80" s="111">
        <f t="shared" si="5"/>
        <v>101.78085724337518</v>
      </c>
      <c r="AH80" s="134"/>
    </row>
    <row r="81" spans="1:34" x14ac:dyDescent="0.2">
      <c r="A81" s="108" t="str">
        <f>'Forecast drivers'!C90</f>
        <v>SSC25</v>
      </c>
      <c r="B81" s="108" t="str">
        <f>'Forecast drivers'!A90</f>
        <v>SSC</v>
      </c>
      <c r="C81" s="108">
        <f>'Forecast drivers'!B90</f>
        <v>2025</v>
      </c>
      <c r="D81" s="51">
        <v>6.5852883826051105</v>
      </c>
      <c r="E81" s="51"/>
      <c r="F81" s="51"/>
      <c r="G81" s="51">
        <v>61.158623659729116</v>
      </c>
      <c r="H81" s="51">
        <v>19.734100369482604</v>
      </c>
      <c r="I81" s="51">
        <v>74.307435646606606</v>
      </c>
      <c r="J81" s="51">
        <v>80.89272402921172</v>
      </c>
      <c r="K81" s="137">
        <v>6.2710698512684097E-3</v>
      </c>
      <c r="L81" s="137">
        <v>0</v>
      </c>
      <c r="M81" s="137">
        <v>0</v>
      </c>
      <c r="N81" s="137">
        <v>0</v>
      </c>
      <c r="O81" s="137">
        <v>2.44761853994778E-3</v>
      </c>
      <c r="P81" s="137">
        <v>0</v>
      </c>
      <c r="Q81" s="137">
        <v>1.32297741571903E-2</v>
      </c>
      <c r="R81" s="137">
        <v>0</v>
      </c>
      <c r="S81" s="137">
        <v>0.54357853523389399</v>
      </c>
      <c r="T81" s="137">
        <v>0</v>
      </c>
      <c r="U81" s="137">
        <v>0.14450984079392501</v>
      </c>
      <c r="V81" s="137">
        <v>0</v>
      </c>
      <c r="W81" s="137">
        <v>0.85120724472786202</v>
      </c>
      <c r="X81" s="137">
        <v>0</v>
      </c>
      <c r="Y81" s="137">
        <v>8.9005849829835935</v>
      </c>
      <c r="Z81" s="137">
        <v>0</v>
      </c>
      <c r="AA81" s="111">
        <v>10.790206830631131</v>
      </c>
      <c r="AB81" s="111">
        <v>1.5155960290499424</v>
      </c>
      <c r="AC81" s="111">
        <v>19.850243471597633</v>
      </c>
      <c r="AD81" s="111">
        <v>72.303357611244522</v>
      </c>
      <c r="AE81" s="111">
        <f t="shared" si="3"/>
        <v>32.156046331278702</v>
      </c>
      <c r="AF81" s="111">
        <f t="shared" si="4"/>
        <v>93.669197111892089</v>
      </c>
      <c r="AG81" s="111">
        <f t="shared" si="5"/>
        <v>104.45940394252322</v>
      </c>
      <c r="AH81" s="134"/>
    </row>
    <row r="82" spans="1:34" x14ac:dyDescent="0.2">
      <c r="A82" s="108" t="str">
        <f>'Forecast drivers'!C91</f>
        <v>SVH21</v>
      </c>
      <c r="B82" s="108" t="str">
        <f>'Forecast drivers'!A91</f>
        <v>SVH</v>
      </c>
      <c r="C82" s="108">
        <f>'Forecast drivers'!B91</f>
        <v>2021</v>
      </c>
      <c r="D82" s="51">
        <v>40.185769265104931</v>
      </c>
      <c r="E82" s="51"/>
      <c r="F82" s="51"/>
      <c r="G82" s="51">
        <v>320.8497154814018</v>
      </c>
      <c r="H82" s="51">
        <v>149.28868629386523</v>
      </c>
      <c r="I82" s="51">
        <v>429.95263251016212</v>
      </c>
      <c r="J82" s="51">
        <v>470.13840177526703</v>
      </c>
      <c r="K82" s="137">
        <v>3.8144439022771999</v>
      </c>
      <c r="L82" s="137">
        <v>0</v>
      </c>
      <c r="M82" s="137">
        <v>0</v>
      </c>
      <c r="N82" s="137">
        <v>2.7368985335616198</v>
      </c>
      <c r="O82" s="137">
        <v>0.27563020884100198</v>
      </c>
      <c r="P82" s="137">
        <v>0</v>
      </c>
      <c r="Q82" s="137">
        <v>0</v>
      </c>
      <c r="R82" s="137">
        <v>0.72479131125940099</v>
      </c>
      <c r="S82" s="137">
        <v>5.8364663651693496</v>
      </c>
      <c r="T82" s="137">
        <v>0</v>
      </c>
      <c r="U82" s="137">
        <v>6.9813836472907802</v>
      </c>
      <c r="V82" s="137">
        <v>9.9199049615652299</v>
      </c>
      <c r="W82" s="137">
        <v>1.1280979208827171</v>
      </c>
      <c r="X82" s="137">
        <v>0</v>
      </c>
      <c r="Y82" s="137">
        <v>50.422414198353202</v>
      </c>
      <c r="Z82" s="137">
        <v>10.3580250825504</v>
      </c>
      <c r="AA82" s="111">
        <v>68.605495266502288</v>
      </c>
      <c r="AB82" s="111">
        <v>26.913797118759476</v>
      </c>
      <c r="AC82" s="111">
        <v>133.86173112282196</v>
      </c>
      <c r="AD82" s="111">
        <v>395.75423347721772</v>
      </c>
      <c r="AE82" s="111">
        <f t="shared" si="3"/>
        <v>229.38102350808373</v>
      </c>
      <c r="AF82" s="111">
        <f t="shared" si="4"/>
        <v>556.52976171879914</v>
      </c>
      <c r="AG82" s="111">
        <f t="shared" si="5"/>
        <v>625.13525698530145</v>
      </c>
      <c r="AH82" s="134"/>
    </row>
    <row r="83" spans="1:34" x14ac:dyDescent="0.2">
      <c r="A83" s="108" t="str">
        <f>'Forecast drivers'!C92</f>
        <v>SVH22</v>
      </c>
      <c r="B83" s="108" t="str">
        <f>'Forecast drivers'!A92</f>
        <v>SVH</v>
      </c>
      <c r="C83" s="108">
        <f>'Forecast drivers'!B92</f>
        <v>2022</v>
      </c>
      <c r="D83" s="51">
        <v>41.698416639936191</v>
      </c>
      <c r="E83" s="51"/>
      <c r="F83" s="51"/>
      <c r="G83" s="51">
        <v>317.16219038370429</v>
      </c>
      <c r="H83" s="51">
        <v>169.97915146766672</v>
      </c>
      <c r="I83" s="51">
        <v>445.44292521143484</v>
      </c>
      <c r="J83" s="51">
        <v>487.14134185137101</v>
      </c>
      <c r="K83" s="137">
        <v>3.6482057382720203</v>
      </c>
      <c r="L83" s="137">
        <v>0</v>
      </c>
      <c r="M83" s="137">
        <v>0</v>
      </c>
      <c r="N83" s="137">
        <v>2.7118430358724899</v>
      </c>
      <c r="O83" s="137">
        <v>0.29508435716922299</v>
      </c>
      <c r="P83" s="137">
        <v>0</v>
      </c>
      <c r="Q83" s="137">
        <v>0</v>
      </c>
      <c r="R83" s="137">
        <v>0.71815606088322903</v>
      </c>
      <c r="S83" s="137">
        <v>5.9368922045760693</v>
      </c>
      <c r="T83" s="137">
        <v>0</v>
      </c>
      <c r="U83" s="137">
        <v>2.7681287930948901</v>
      </c>
      <c r="V83" s="137">
        <v>9.8290911616406103</v>
      </c>
      <c r="W83" s="137">
        <v>1.1318909949997396</v>
      </c>
      <c r="X83" s="137">
        <v>0</v>
      </c>
      <c r="Y83" s="137">
        <v>45.802113205626796</v>
      </c>
      <c r="Z83" s="137">
        <v>10.2632004223238</v>
      </c>
      <c r="AA83" s="111">
        <v>70.252279714922381</v>
      </c>
      <c r="AB83" s="111">
        <v>28.277917752593666</v>
      </c>
      <c r="AC83" s="111">
        <v>168.41860570700601</v>
      </c>
      <c r="AD83" s="111">
        <v>405.33666617425405</v>
      </c>
      <c r="AE83" s="111">
        <f t="shared" si="3"/>
        <v>266.94880317452203</v>
      </c>
      <c r="AF83" s="111">
        <f t="shared" si="4"/>
        <v>602.03318963385368</v>
      </c>
      <c r="AG83" s="111">
        <f t="shared" si="5"/>
        <v>672.28546934877613</v>
      </c>
      <c r="AH83" s="134"/>
    </row>
    <row r="84" spans="1:34" x14ac:dyDescent="0.2">
      <c r="A84" s="108" t="str">
        <f>'Forecast drivers'!C93</f>
        <v>SVH23</v>
      </c>
      <c r="B84" s="108" t="str">
        <f>'Forecast drivers'!A93</f>
        <v>SVH</v>
      </c>
      <c r="C84" s="108">
        <f>'Forecast drivers'!B93</f>
        <v>2023</v>
      </c>
      <c r="D84" s="51">
        <v>44.105261630053612</v>
      </c>
      <c r="E84" s="51"/>
      <c r="F84" s="51"/>
      <c r="G84" s="51">
        <v>292.7004002996207</v>
      </c>
      <c r="H84" s="51">
        <v>187.83382518987082</v>
      </c>
      <c r="I84" s="51">
        <v>436.42896385943789</v>
      </c>
      <c r="J84" s="51">
        <v>480.53422548949152</v>
      </c>
      <c r="K84" s="137">
        <v>3.6480378008357404</v>
      </c>
      <c r="L84" s="137">
        <v>0</v>
      </c>
      <c r="M84" s="137">
        <v>0</v>
      </c>
      <c r="N84" s="137">
        <v>2.6861300313393599</v>
      </c>
      <c r="O84" s="137">
        <v>0.30001177379562399</v>
      </c>
      <c r="P84" s="137">
        <v>0</v>
      </c>
      <c r="Q84" s="137">
        <v>0</v>
      </c>
      <c r="R84" s="137">
        <v>0.71134668814125301</v>
      </c>
      <c r="S84" s="137">
        <v>5.9396657529347596</v>
      </c>
      <c r="T84" s="137">
        <v>0</v>
      </c>
      <c r="U84" s="137">
        <v>0.569908869166594</v>
      </c>
      <c r="V84" s="137">
        <v>9.7358942242616298</v>
      </c>
      <c r="W84" s="137">
        <v>1.1355290362330086</v>
      </c>
      <c r="X84" s="137">
        <v>0</v>
      </c>
      <c r="Y84" s="137">
        <v>34.96040587932945</v>
      </c>
      <c r="Z84" s="137">
        <v>10.1658873715709</v>
      </c>
      <c r="AA84" s="111">
        <v>72.142492222980195</v>
      </c>
      <c r="AB84" s="111">
        <v>27.711592964445845</v>
      </c>
      <c r="AC84" s="111">
        <v>192.69690255747062</v>
      </c>
      <c r="AD84" s="111">
        <v>378.4185182542368</v>
      </c>
      <c r="AE84" s="111">
        <f t="shared" si="3"/>
        <v>292.55098774489664</v>
      </c>
      <c r="AF84" s="111">
        <f t="shared" si="4"/>
        <v>598.82701377615331</v>
      </c>
      <c r="AG84" s="111">
        <f t="shared" si="5"/>
        <v>670.96950599913339</v>
      </c>
      <c r="AH84" s="134"/>
    </row>
    <row r="85" spans="1:34" x14ac:dyDescent="0.2">
      <c r="A85" s="108" t="str">
        <f>'Forecast drivers'!C94</f>
        <v>SVH24</v>
      </c>
      <c r="B85" s="108" t="str">
        <f>'Forecast drivers'!A94</f>
        <v>SVH</v>
      </c>
      <c r="C85" s="108">
        <f>'Forecast drivers'!B94</f>
        <v>2024</v>
      </c>
      <c r="D85" s="51">
        <v>47.555029097307397</v>
      </c>
      <c r="E85" s="51"/>
      <c r="F85" s="51"/>
      <c r="G85" s="51">
        <v>281.29968907706785</v>
      </c>
      <c r="H85" s="51">
        <v>186.37489795641363</v>
      </c>
      <c r="I85" s="51">
        <v>420.11955793617409</v>
      </c>
      <c r="J85" s="51">
        <v>467.67458703348149</v>
      </c>
      <c r="K85" s="137">
        <v>3.6450849030379899</v>
      </c>
      <c r="L85" s="137">
        <v>0</v>
      </c>
      <c r="M85" s="137">
        <v>0</v>
      </c>
      <c r="N85" s="137">
        <v>2.6609586482695202</v>
      </c>
      <c r="O85" s="137">
        <v>0.30466606101050903</v>
      </c>
      <c r="P85" s="137">
        <v>0</v>
      </c>
      <c r="Q85" s="137">
        <v>0</v>
      </c>
      <c r="R85" s="137">
        <v>0.704680748751217</v>
      </c>
      <c r="S85" s="137">
        <v>5.94150711807763</v>
      </c>
      <c r="T85" s="137">
        <v>0</v>
      </c>
      <c r="U85" s="137">
        <v>0</v>
      </c>
      <c r="V85" s="137">
        <v>9.6446603970875504</v>
      </c>
      <c r="W85" s="137">
        <v>1.1389792247965282</v>
      </c>
      <c r="X85" s="137">
        <v>0</v>
      </c>
      <c r="Y85" s="137">
        <v>36.498317372795</v>
      </c>
      <c r="Z85" s="137">
        <v>10.070624133273</v>
      </c>
      <c r="AA85" s="111">
        <v>77.694201485390408</v>
      </c>
      <c r="AB85" s="111">
        <v>26.614809238363005</v>
      </c>
      <c r="AC85" s="111">
        <v>190.84405258581182</v>
      </c>
      <c r="AD85" s="111">
        <v>368.38773830024189</v>
      </c>
      <c r="AE85" s="111">
        <f t="shared" si="3"/>
        <v>295.15306330956525</v>
      </c>
      <c r="AF85" s="111">
        <f t="shared" si="4"/>
        <v>585.84660012441668</v>
      </c>
      <c r="AG85" s="111">
        <f t="shared" si="5"/>
        <v>663.5408016098072</v>
      </c>
      <c r="AH85" s="134"/>
    </row>
    <row r="86" spans="1:34" x14ac:dyDescent="0.2">
      <c r="A86" s="108" t="str">
        <f>'Forecast drivers'!C95</f>
        <v>SVH25</v>
      </c>
      <c r="B86" s="108" t="str">
        <f>'Forecast drivers'!A95</f>
        <v>SVH</v>
      </c>
      <c r="C86" s="108">
        <f>'Forecast drivers'!B95</f>
        <v>2025</v>
      </c>
      <c r="D86" s="51">
        <v>48.312110579099411</v>
      </c>
      <c r="E86" s="51"/>
      <c r="F86" s="51"/>
      <c r="G86" s="51">
        <v>273.58254675095799</v>
      </c>
      <c r="H86" s="51">
        <v>176.84603787405536</v>
      </c>
      <c r="I86" s="51">
        <v>402.11647404591395</v>
      </c>
      <c r="J86" s="51">
        <v>450.42858462501334</v>
      </c>
      <c r="K86" s="137">
        <v>3.8661439389980901</v>
      </c>
      <c r="L86" s="137">
        <v>0</v>
      </c>
      <c r="M86" s="137">
        <v>0</v>
      </c>
      <c r="N86" s="137">
        <v>2.6370511628294202</v>
      </c>
      <c r="O86" s="137">
        <v>0.32488202948024703</v>
      </c>
      <c r="P86" s="137">
        <v>0</v>
      </c>
      <c r="Q86" s="137">
        <v>0</v>
      </c>
      <c r="R86" s="137">
        <v>0.69834951742913498</v>
      </c>
      <c r="S86" s="137">
        <v>5.9946707967951101</v>
      </c>
      <c r="T86" s="137">
        <v>0</v>
      </c>
      <c r="U86" s="137">
        <v>0</v>
      </c>
      <c r="V86" s="137">
        <v>9.5580075743659307</v>
      </c>
      <c r="W86" s="137">
        <v>1.1423278537072943</v>
      </c>
      <c r="X86" s="137">
        <v>0</v>
      </c>
      <c r="Y86" s="137">
        <v>37.552601069290901</v>
      </c>
      <c r="Z86" s="137">
        <v>9.9801442229611492</v>
      </c>
      <c r="AA86" s="111">
        <v>81.600351060192679</v>
      </c>
      <c r="AB86" s="111">
        <v>27.189467189704079</v>
      </c>
      <c r="AC86" s="111">
        <v>181.92309596309326</v>
      </c>
      <c r="AD86" s="111">
        <v>369.44565200143978</v>
      </c>
      <c r="AE86" s="111">
        <f t="shared" si="3"/>
        <v>290.71291421299003</v>
      </c>
      <c r="AF86" s="111">
        <f t="shared" si="4"/>
        <v>578.55821515423713</v>
      </c>
      <c r="AG86" s="111">
        <f t="shared" si="5"/>
        <v>660.15856621442981</v>
      </c>
      <c r="AH86" s="134"/>
    </row>
    <row r="87" spans="1:34" x14ac:dyDescent="0.2">
      <c r="A87" s="36" t="s">
        <v>78</v>
      </c>
      <c r="B87" s="36" t="str">
        <f t="shared" ref="B87:B96" si="6">LEFT(A87,3)</f>
        <v>SVE</v>
      </c>
      <c r="C87" s="57">
        <v>2021</v>
      </c>
      <c r="D87" s="51">
        <v>38.538386954198948</v>
      </c>
      <c r="E87" s="51"/>
      <c r="F87" s="51"/>
      <c r="G87" s="51">
        <v>309.83297047412015</v>
      </c>
      <c r="H87" s="51">
        <v>141.13107017618086</v>
      </c>
      <c r="I87" s="51">
        <v>412.42565369610207</v>
      </c>
      <c r="J87" s="51">
        <v>450.964040650301</v>
      </c>
      <c r="K87" s="137">
        <v>2.1948634535368399</v>
      </c>
      <c r="L87" s="137">
        <v>0</v>
      </c>
      <c r="M87" s="137">
        <v>0</v>
      </c>
      <c r="N87" s="137">
        <v>2.7368985335616198</v>
      </c>
      <c r="O87" s="137">
        <v>0.27563020884100198</v>
      </c>
      <c r="P87" s="137">
        <v>0</v>
      </c>
      <c r="Q87" s="137">
        <v>0</v>
      </c>
      <c r="R87" s="137">
        <v>0.72479131125940099</v>
      </c>
      <c r="S87" s="137">
        <v>4.0990599035636599</v>
      </c>
      <c r="T87" s="137">
        <v>0</v>
      </c>
      <c r="U87" s="137">
        <v>6.9813836472907802</v>
      </c>
      <c r="V87" s="137">
        <v>9.9199049615652299</v>
      </c>
      <c r="W87" s="137">
        <v>1.11592592878069</v>
      </c>
      <c r="X87" s="137">
        <v>0</v>
      </c>
      <c r="Y87" s="137">
        <v>49.854414198353204</v>
      </c>
      <c r="Z87" s="137">
        <v>10.3580250825504</v>
      </c>
      <c r="AA87" s="111">
        <v>64.207075715242652</v>
      </c>
      <c r="AB87" s="111">
        <v>25.823025043032995</v>
      </c>
      <c r="AC87" s="111">
        <v>128.10734180940287</v>
      </c>
      <c r="AD87" s="111">
        <v>382.33897332007109</v>
      </c>
      <c r="AE87" s="111">
        <f t="shared" si="3"/>
        <v>218.13744256767853</v>
      </c>
      <c r="AF87" s="111">
        <f t="shared" si="4"/>
        <v>536.26934017250699</v>
      </c>
      <c r="AG87" s="111">
        <f t="shared" si="5"/>
        <v>600.47641588774968</v>
      </c>
      <c r="AH87" s="134"/>
    </row>
    <row r="88" spans="1:34" x14ac:dyDescent="0.2">
      <c r="A88" s="36" t="s">
        <v>79</v>
      </c>
      <c r="B88" s="36" t="str">
        <f t="shared" si="6"/>
        <v>SVE</v>
      </c>
      <c r="C88" s="57">
        <v>2022</v>
      </c>
      <c r="D88" s="51">
        <v>40.04431779967134</v>
      </c>
      <c r="E88" s="51"/>
      <c r="F88" s="51"/>
      <c r="G88" s="51">
        <v>306.08818777658792</v>
      </c>
      <c r="H88" s="51">
        <v>161.85487599138088</v>
      </c>
      <c r="I88" s="51">
        <v>427.89874596829748</v>
      </c>
      <c r="J88" s="51">
        <v>467.94306376796879</v>
      </c>
      <c r="K88" s="137">
        <v>2.2807039848639601</v>
      </c>
      <c r="L88" s="137">
        <v>0</v>
      </c>
      <c r="M88" s="137">
        <v>0</v>
      </c>
      <c r="N88" s="137">
        <v>2.7118430358724899</v>
      </c>
      <c r="O88" s="137">
        <v>0.29508435716922299</v>
      </c>
      <c r="P88" s="137">
        <v>0</v>
      </c>
      <c r="Q88" s="137">
        <v>0</v>
      </c>
      <c r="R88" s="137">
        <v>0.71815606088322903</v>
      </c>
      <c r="S88" s="137">
        <v>4.1994857429703796</v>
      </c>
      <c r="T88" s="137">
        <v>0</v>
      </c>
      <c r="U88" s="137">
        <v>2.7681287930948901</v>
      </c>
      <c r="V88" s="137">
        <v>9.8290911616406103</v>
      </c>
      <c r="W88" s="137">
        <v>1.11970926110856</v>
      </c>
      <c r="X88" s="137">
        <v>0</v>
      </c>
      <c r="Y88" s="137">
        <v>45.203113205626799</v>
      </c>
      <c r="Z88" s="137">
        <v>10.2632004223238</v>
      </c>
      <c r="AA88" s="111">
        <v>65.77878146833045</v>
      </c>
      <c r="AB88" s="111">
        <v>26.959030563680248</v>
      </c>
      <c r="AC88" s="111">
        <v>162.76332014438691</v>
      </c>
      <c r="AD88" s="111">
        <v>392.18142712128343</v>
      </c>
      <c r="AE88" s="111">
        <f t="shared" si="3"/>
        <v>255.50113217639762</v>
      </c>
      <c r="AF88" s="111">
        <f t="shared" si="4"/>
        <v>581.90377782935059</v>
      </c>
      <c r="AG88" s="111">
        <f t="shared" si="5"/>
        <v>647.68255929768111</v>
      </c>
      <c r="AH88" s="134"/>
    </row>
    <row r="89" spans="1:34" x14ac:dyDescent="0.2">
      <c r="A89" s="36" t="s">
        <v>80</v>
      </c>
      <c r="B89" s="36" t="str">
        <f t="shared" si="6"/>
        <v>SVE</v>
      </c>
      <c r="C89" s="57">
        <v>2023</v>
      </c>
      <c r="D89" s="51">
        <v>42.471907006633515</v>
      </c>
      <c r="E89" s="51"/>
      <c r="F89" s="51"/>
      <c r="G89" s="51">
        <v>281.63613450947554</v>
      </c>
      <c r="H89" s="51">
        <v>179.68311259387946</v>
      </c>
      <c r="I89" s="51">
        <v>418.8473400967215</v>
      </c>
      <c r="J89" s="51">
        <v>461.319247103355</v>
      </c>
      <c r="K89" s="137">
        <v>2.2805135677950701</v>
      </c>
      <c r="L89" s="137">
        <v>0</v>
      </c>
      <c r="M89" s="137">
        <v>0</v>
      </c>
      <c r="N89" s="137">
        <v>2.6861300313393599</v>
      </c>
      <c r="O89" s="137">
        <v>0.30001177379562399</v>
      </c>
      <c r="P89" s="137">
        <v>0</v>
      </c>
      <c r="Q89" s="137">
        <v>0</v>
      </c>
      <c r="R89" s="137">
        <v>0.71134668814125301</v>
      </c>
      <c r="S89" s="137">
        <v>4.2022592913290699</v>
      </c>
      <c r="T89" s="137">
        <v>0</v>
      </c>
      <c r="U89" s="137">
        <v>0.569908869166594</v>
      </c>
      <c r="V89" s="137">
        <v>9.7358942242616298</v>
      </c>
      <c r="W89" s="137">
        <v>1.12333795872514</v>
      </c>
      <c r="X89" s="137">
        <v>0</v>
      </c>
      <c r="Y89" s="137">
        <v>34.32640587932945</v>
      </c>
      <c r="Z89" s="137">
        <v>10.1658873715709</v>
      </c>
      <c r="AA89" s="111">
        <v>68.996016456020868</v>
      </c>
      <c r="AB89" s="111">
        <v>26.397790279974526</v>
      </c>
      <c r="AC89" s="111">
        <v>186.7237652504549</v>
      </c>
      <c r="AD89" s="111">
        <v>365.00805578483744</v>
      </c>
      <c r="AE89" s="111">
        <f t="shared" si="3"/>
        <v>282.11757198645029</v>
      </c>
      <c r="AF89" s="111">
        <f t="shared" si="4"/>
        <v>578.12961131526686</v>
      </c>
      <c r="AG89" s="111">
        <f t="shared" si="5"/>
        <v>647.12562777128778</v>
      </c>
      <c r="AH89" s="134"/>
    </row>
    <row r="90" spans="1:34" x14ac:dyDescent="0.2">
      <c r="A90" s="36" t="s">
        <v>81</v>
      </c>
      <c r="B90" s="36" t="str">
        <f t="shared" si="6"/>
        <v>SVE</v>
      </c>
      <c r="C90" s="57">
        <v>2024</v>
      </c>
      <c r="D90" s="51">
        <v>45.94232480926879</v>
      </c>
      <c r="E90" s="51"/>
      <c r="F90" s="51"/>
      <c r="G90" s="51">
        <v>270.34217608092513</v>
      </c>
      <c r="H90" s="51">
        <v>178.2997848540939</v>
      </c>
      <c r="I90" s="51">
        <v>402.69963612575026</v>
      </c>
      <c r="J90" s="51">
        <v>448.64196093501903</v>
      </c>
      <c r="K90" s="137">
        <v>2.27771973158888</v>
      </c>
      <c r="L90" s="137">
        <v>0</v>
      </c>
      <c r="M90" s="137">
        <v>0</v>
      </c>
      <c r="N90" s="137">
        <v>2.6609586482695202</v>
      </c>
      <c r="O90" s="137">
        <v>0.30466606101050903</v>
      </c>
      <c r="P90" s="137">
        <v>0</v>
      </c>
      <c r="Q90" s="137">
        <v>0</v>
      </c>
      <c r="R90" s="137">
        <v>0.704680748751217</v>
      </c>
      <c r="S90" s="137">
        <v>4.2041006564719403</v>
      </c>
      <c r="T90" s="137">
        <v>0</v>
      </c>
      <c r="U90" s="137">
        <v>0</v>
      </c>
      <c r="V90" s="137">
        <v>9.6446603970875504</v>
      </c>
      <c r="W90" s="137">
        <v>1.1267792861358099</v>
      </c>
      <c r="X90" s="137">
        <v>0</v>
      </c>
      <c r="Y90" s="137">
        <v>35.852317372795</v>
      </c>
      <c r="Z90" s="137">
        <v>10.070624133273</v>
      </c>
      <c r="AA90" s="111">
        <v>74.707566656839518</v>
      </c>
      <c r="AB90" s="111">
        <v>25.553992804739377</v>
      </c>
      <c r="AC90" s="111">
        <v>184.92325777789048</v>
      </c>
      <c r="AD90" s="111">
        <v>355.08495594205328</v>
      </c>
      <c r="AE90" s="111">
        <f t="shared" si="3"/>
        <v>285.1848172394694</v>
      </c>
      <c r="AF90" s="111">
        <f t="shared" si="4"/>
        <v>565.56220652468312</v>
      </c>
      <c r="AG90" s="111">
        <f t="shared" si="5"/>
        <v>640.26977318152262</v>
      </c>
      <c r="AH90" s="134"/>
    </row>
    <row r="91" spans="1:34" x14ac:dyDescent="0.2">
      <c r="A91" s="36" t="s">
        <v>82</v>
      </c>
      <c r="B91" s="36" t="str">
        <f t="shared" si="6"/>
        <v>SVE</v>
      </c>
      <c r="C91" s="57">
        <v>2025</v>
      </c>
      <c r="D91" s="51">
        <v>46.731956897929322</v>
      </c>
      <c r="E91" s="51"/>
      <c r="F91" s="51"/>
      <c r="G91" s="51">
        <v>262.6876328455582</v>
      </c>
      <c r="H91" s="51">
        <v>168.86260215058667</v>
      </c>
      <c r="I91" s="51">
        <v>384.81827809821556</v>
      </c>
      <c r="J91" s="51">
        <v>431.55023499614487</v>
      </c>
      <c r="K91" s="137">
        <v>2.3241680278682102</v>
      </c>
      <c r="L91" s="137">
        <v>0</v>
      </c>
      <c r="M91" s="137">
        <v>0</v>
      </c>
      <c r="N91" s="137">
        <v>2.6370511628294202</v>
      </c>
      <c r="O91" s="137">
        <v>0.32488202948024703</v>
      </c>
      <c r="P91" s="137">
        <v>0</v>
      </c>
      <c r="Q91" s="137">
        <v>0</v>
      </c>
      <c r="R91" s="137">
        <v>0.69834951742913498</v>
      </c>
      <c r="S91" s="137">
        <v>4.2572643351894204</v>
      </c>
      <c r="T91" s="137">
        <v>0</v>
      </c>
      <c r="U91" s="137">
        <v>0</v>
      </c>
      <c r="V91" s="137">
        <v>9.5580075743659307</v>
      </c>
      <c r="W91" s="137">
        <v>1.1301193147303701</v>
      </c>
      <c r="X91" s="137">
        <v>0</v>
      </c>
      <c r="Y91" s="137">
        <v>36.895601069290905</v>
      </c>
      <c r="Z91" s="137">
        <v>9.9801442229611492</v>
      </c>
      <c r="AA91" s="111">
        <v>78.628326971322565</v>
      </c>
      <c r="AB91" s="111">
        <v>26.123712790363719</v>
      </c>
      <c r="AC91" s="111">
        <v>176.01072280830664</v>
      </c>
      <c r="AD91" s="111">
        <v>355.98639455614932</v>
      </c>
      <c r="AE91" s="111">
        <f t="shared" si="3"/>
        <v>280.7627625699929</v>
      </c>
      <c r="AF91" s="111">
        <f t="shared" si="4"/>
        <v>558.12083015481971</v>
      </c>
      <c r="AG91" s="111">
        <f t="shared" si="5"/>
        <v>636.74915712614222</v>
      </c>
      <c r="AH91" s="134"/>
    </row>
    <row r="92" spans="1:34" x14ac:dyDescent="0.2">
      <c r="A92" s="36" t="s">
        <v>83</v>
      </c>
      <c r="B92" s="36" t="str">
        <f t="shared" si="6"/>
        <v>HDD</v>
      </c>
      <c r="C92" s="57">
        <v>2021</v>
      </c>
      <c r="D92" s="51">
        <v>1.6473823109059824</v>
      </c>
      <c r="E92" s="51"/>
      <c r="F92" s="51"/>
      <c r="G92" s="51">
        <v>11.016745007281676</v>
      </c>
      <c r="H92" s="51">
        <v>8.1576161176843041</v>
      </c>
      <c r="I92" s="51">
        <v>17.526978814059998</v>
      </c>
      <c r="J92" s="51">
        <v>19.17436112496598</v>
      </c>
      <c r="K92" s="137">
        <v>1.61958044874036</v>
      </c>
      <c r="L92" s="137">
        <v>0</v>
      </c>
      <c r="M92" s="137">
        <v>0</v>
      </c>
      <c r="N92" s="137">
        <v>0</v>
      </c>
      <c r="O92" s="137">
        <v>0</v>
      </c>
      <c r="P92" s="137">
        <v>0</v>
      </c>
      <c r="Q92" s="137">
        <v>0</v>
      </c>
      <c r="R92" s="137">
        <v>0</v>
      </c>
      <c r="S92" s="137">
        <v>1.7374064616056899</v>
      </c>
      <c r="T92" s="137">
        <v>0</v>
      </c>
      <c r="U92" s="137">
        <v>0</v>
      </c>
      <c r="V92" s="137">
        <v>0</v>
      </c>
      <c r="W92" s="137">
        <v>1.21719921020272E-2</v>
      </c>
      <c r="X92" s="137">
        <v>0</v>
      </c>
      <c r="Y92" s="137">
        <v>0.56800000000000006</v>
      </c>
      <c r="Z92" s="137">
        <v>0</v>
      </c>
      <c r="AA92" s="111">
        <v>4.3984195512596393</v>
      </c>
      <c r="AB92" s="111">
        <v>1.0907720757264801</v>
      </c>
      <c r="AC92" s="111">
        <v>5.7543893134190807</v>
      </c>
      <c r="AD92" s="111">
        <v>13.415260157146673</v>
      </c>
      <c r="AE92" s="111">
        <f t="shared" si="3"/>
        <v>11.243580940405201</v>
      </c>
      <c r="AF92" s="111">
        <f t="shared" si="4"/>
        <v>20.260421546292235</v>
      </c>
      <c r="AG92" s="111">
        <f t="shared" si="5"/>
        <v>24.658841097551871</v>
      </c>
      <c r="AH92" s="134"/>
    </row>
    <row r="93" spans="1:34" x14ac:dyDescent="0.2">
      <c r="A93" s="36" t="s">
        <v>84</v>
      </c>
      <c r="B93" s="36" t="str">
        <f t="shared" si="6"/>
        <v>HDD</v>
      </c>
      <c r="C93" s="57">
        <v>2022</v>
      </c>
      <c r="D93" s="51">
        <v>1.6540988402648436</v>
      </c>
      <c r="E93" s="51"/>
      <c r="F93" s="51"/>
      <c r="G93" s="51">
        <v>11.074002607116379</v>
      </c>
      <c r="H93" s="51">
        <v>8.1242754762859111</v>
      </c>
      <c r="I93" s="51">
        <v>17.544179243137446</v>
      </c>
      <c r="J93" s="51">
        <v>19.19827808340229</v>
      </c>
      <c r="K93" s="137">
        <v>1.36750175340806</v>
      </c>
      <c r="L93" s="137">
        <v>0</v>
      </c>
      <c r="M93" s="137">
        <v>0</v>
      </c>
      <c r="N93" s="137">
        <v>0</v>
      </c>
      <c r="O93" s="137">
        <v>0</v>
      </c>
      <c r="P93" s="137">
        <v>0</v>
      </c>
      <c r="Q93" s="137">
        <v>0</v>
      </c>
      <c r="R93" s="137">
        <v>0</v>
      </c>
      <c r="S93" s="137">
        <v>1.7374064616056899</v>
      </c>
      <c r="T93" s="137">
        <v>0</v>
      </c>
      <c r="U93" s="137">
        <v>0</v>
      </c>
      <c r="V93" s="137">
        <v>0</v>
      </c>
      <c r="W93" s="137">
        <v>1.2181733891179601E-2</v>
      </c>
      <c r="X93" s="137">
        <v>0</v>
      </c>
      <c r="Y93" s="137">
        <v>0.59899999999999998</v>
      </c>
      <c r="Z93" s="137">
        <v>0</v>
      </c>
      <c r="AA93" s="111">
        <v>4.47349824659194</v>
      </c>
      <c r="AB93" s="111">
        <v>1.3188871889134199</v>
      </c>
      <c r="AC93" s="111">
        <v>5.6552855626191203</v>
      </c>
      <c r="AD93" s="111">
        <v>13.155239052970622</v>
      </c>
      <c r="AE93" s="111">
        <f t="shared" si="3"/>
        <v>11.44767099812448</v>
      </c>
      <c r="AF93" s="111">
        <f t="shared" si="4"/>
        <v>20.129411804503164</v>
      </c>
      <c r="AG93" s="111">
        <f t="shared" si="5"/>
        <v>24.602910051095101</v>
      </c>
      <c r="AH93" s="134"/>
    </row>
    <row r="94" spans="1:34" x14ac:dyDescent="0.2">
      <c r="A94" s="36" t="s">
        <v>85</v>
      </c>
      <c r="B94" s="36" t="str">
        <f t="shared" si="6"/>
        <v>HDD</v>
      </c>
      <c r="C94" s="57">
        <v>2023</v>
      </c>
      <c r="D94" s="51">
        <v>1.6333546234201015</v>
      </c>
      <c r="E94" s="51"/>
      <c r="F94" s="51"/>
      <c r="G94" s="51">
        <v>11.0642657901452</v>
      </c>
      <c r="H94" s="51">
        <v>8.150712595991191</v>
      </c>
      <c r="I94" s="51">
        <v>17.581623762716291</v>
      </c>
      <c r="J94" s="51">
        <v>19.214978386136391</v>
      </c>
      <c r="K94" s="137">
        <v>1.3675242330406701</v>
      </c>
      <c r="L94" s="137">
        <v>0</v>
      </c>
      <c r="M94" s="137">
        <v>0</v>
      </c>
      <c r="N94" s="137">
        <v>0</v>
      </c>
      <c r="O94" s="137">
        <v>0</v>
      </c>
      <c r="P94" s="137">
        <v>0</v>
      </c>
      <c r="Q94" s="137">
        <v>0</v>
      </c>
      <c r="R94" s="137">
        <v>0</v>
      </c>
      <c r="S94" s="137">
        <v>1.7374064616056899</v>
      </c>
      <c r="T94" s="137">
        <v>0</v>
      </c>
      <c r="U94" s="137">
        <v>0</v>
      </c>
      <c r="V94" s="137">
        <v>0</v>
      </c>
      <c r="W94" s="137">
        <v>1.2191077507868599E-2</v>
      </c>
      <c r="X94" s="137">
        <v>0</v>
      </c>
      <c r="Y94" s="137">
        <v>0.63400000000000001</v>
      </c>
      <c r="Z94" s="137">
        <v>0</v>
      </c>
      <c r="AA94" s="111">
        <v>3.1464757669593304</v>
      </c>
      <c r="AB94" s="111">
        <v>1.31380268447132</v>
      </c>
      <c r="AC94" s="111">
        <v>5.9731373070157305</v>
      </c>
      <c r="AD94" s="111">
        <v>13.410462469399333</v>
      </c>
      <c r="AE94" s="111">
        <f t="shared" si="3"/>
        <v>10.43341575844638</v>
      </c>
      <c r="AF94" s="111">
        <f t="shared" si="4"/>
        <v>20.697402460886384</v>
      </c>
      <c r="AG94" s="111">
        <f t="shared" si="5"/>
        <v>23.843878227845714</v>
      </c>
      <c r="AH94" s="134"/>
    </row>
    <row r="95" spans="1:34" x14ac:dyDescent="0.2">
      <c r="A95" s="36" t="s">
        <v>86</v>
      </c>
      <c r="B95" s="36" t="str">
        <f t="shared" si="6"/>
        <v>HDD</v>
      </c>
      <c r="C95" s="57">
        <v>2024</v>
      </c>
      <c r="D95" s="51">
        <v>1.6127042880386093</v>
      </c>
      <c r="E95" s="51"/>
      <c r="F95" s="51"/>
      <c r="G95" s="51">
        <v>10.957512996142706</v>
      </c>
      <c r="H95" s="51">
        <v>8.0751131023197633</v>
      </c>
      <c r="I95" s="51">
        <v>17.419921810423858</v>
      </c>
      <c r="J95" s="51">
        <v>19.032626098462469</v>
      </c>
      <c r="K95" s="137">
        <v>1.36736517144911</v>
      </c>
      <c r="L95" s="137">
        <v>0</v>
      </c>
      <c r="M95" s="137">
        <v>0</v>
      </c>
      <c r="N95" s="137">
        <v>0</v>
      </c>
      <c r="O95" s="137">
        <v>0</v>
      </c>
      <c r="P95" s="137">
        <v>0</v>
      </c>
      <c r="Q95" s="137">
        <v>0</v>
      </c>
      <c r="R95" s="137">
        <v>0</v>
      </c>
      <c r="S95" s="137">
        <v>1.7374064616056899</v>
      </c>
      <c r="T95" s="137">
        <v>0</v>
      </c>
      <c r="U95" s="137">
        <v>0</v>
      </c>
      <c r="V95" s="137">
        <v>0</v>
      </c>
      <c r="W95" s="137">
        <v>1.2199938660718401E-2</v>
      </c>
      <c r="X95" s="137">
        <v>0</v>
      </c>
      <c r="Y95" s="137">
        <v>0.64600000000000002</v>
      </c>
      <c r="Z95" s="137">
        <v>0</v>
      </c>
      <c r="AA95" s="111">
        <v>2.9866348285508901</v>
      </c>
      <c r="AB95" s="111">
        <v>1.0608164336236301</v>
      </c>
      <c r="AC95" s="111">
        <v>5.9207948079213306</v>
      </c>
      <c r="AD95" s="111">
        <v>13.302782358188683</v>
      </c>
      <c r="AE95" s="111">
        <f t="shared" si="3"/>
        <v>9.9682460700958515</v>
      </c>
      <c r="AF95" s="111">
        <f t="shared" si="4"/>
        <v>20.284393599733644</v>
      </c>
      <c r="AG95" s="111">
        <f t="shared" si="5"/>
        <v>23.271028428284534</v>
      </c>
      <c r="AH95" s="134"/>
    </row>
    <row r="96" spans="1:34" x14ac:dyDescent="0.2">
      <c r="A96" s="36" t="s">
        <v>87</v>
      </c>
      <c r="B96" s="36" t="str">
        <f t="shared" si="6"/>
        <v>HDD</v>
      </c>
      <c r="C96" s="57">
        <v>2025</v>
      </c>
      <c r="D96" s="51">
        <v>1.5801536811700916</v>
      </c>
      <c r="E96" s="51"/>
      <c r="F96" s="51"/>
      <c r="G96" s="51">
        <v>10.89491390539977</v>
      </c>
      <c r="H96" s="51">
        <v>7.9834357234687143</v>
      </c>
      <c r="I96" s="51">
        <v>17.298195947698392</v>
      </c>
      <c r="J96" s="51">
        <v>18.878349628868484</v>
      </c>
      <c r="K96" s="137">
        <v>1.5419759111298801</v>
      </c>
      <c r="L96" s="137">
        <v>0</v>
      </c>
      <c r="M96" s="137">
        <v>0</v>
      </c>
      <c r="N96" s="137">
        <v>0</v>
      </c>
      <c r="O96" s="137">
        <v>0</v>
      </c>
      <c r="P96" s="137">
        <v>0</v>
      </c>
      <c r="Q96" s="137">
        <v>0</v>
      </c>
      <c r="R96" s="137">
        <v>0</v>
      </c>
      <c r="S96" s="137">
        <v>1.7374064616056899</v>
      </c>
      <c r="T96" s="137">
        <v>0</v>
      </c>
      <c r="U96" s="137">
        <v>0</v>
      </c>
      <c r="V96" s="137">
        <v>0</v>
      </c>
      <c r="W96" s="137">
        <v>1.2208538976924199E-2</v>
      </c>
      <c r="X96" s="137">
        <v>0</v>
      </c>
      <c r="Y96" s="137">
        <v>0.65700000000000003</v>
      </c>
      <c r="Z96" s="137">
        <v>0</v>
      </c>
      <c r="AA96" s="111">
        <v>2.9720240888701204</v>
      </c>
      <c r="AB96" s="111">
        <v>1.06575439934036</v>
      </c>
      <c r="AC96" s="111">
        <v>5.9123731547866107</v>
      </c>
      <c r="AD96" s="111">
        <v>13.459257445290376</v>
      </c>
      <c r="AE96" s="111">
        <f t="shared" si="3"/>
        <v>9.950151642997092</v>
      </c>
      <c r="AF96" s="111">
        <f t="shared" si="4"/>
        <v>20.437384999417347</v>
      </c>
      <c r="AG96" s="111">
        <f t="shared" si="5"/>
        <v>23.409409088287468</v>
      </c>
      <c r="AH96" s="134"/>
    </row>
  </sheetData>
  <mergeCells count="1">
    <mergeCell ref="K2:O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105"/>
  <sheetViews>
    <sheetView showGridLines="0" zoomScale="80" zoomScaleNormal="80" workbookViewId="0">
      <pane xSplit="3" ySplit="5" topLeftCell="D6" activePane="bottomRight" state="frozen"/>
      <selection pane="topRight" activeCell="D1" sqref="D1"/>
      <selection pane="bottomLeft" activeCell="A6" sqref="A6"/>
      <selection pane="bottomRight"/>
    </sheetView>
  </sheetViews>
  <sheetFormatPr defaultColWidth="9" defaultRowHeight="12.75" x14ac:dyDescent="0.2"/>
  <cols>
    <col min="1" max="3" width="9" style="89"/>
    <col min="4" max="4" width="13.125" style="89" customWidth="1"/>
    <col min="5" max="5" width="14.125" style="89" customWidth="1"/>
    <col min="6" max="6" width="13" style="89" customWidth="1"/>
    <col min="7" max="7" width="13.125" style="89" customWidth="1"/>
    <col min="8" max="8" width="12.625" style="89" customWidth="1"/>
    <col min="9" max="10" width="10.625" style="89" customWidth="1"/>
    <col min="11" max="11" width="11.5" style="89" customWidth="1"/>
    <col min="12" max="12" width="12.5" style="89" customWidth="1"/>
    <col min="13" max="13" width="11.625" style="89" customWidth="1"/>
    <col min="14" max="14" width="11.125" style="89" customWidth="1"/>
    <col min="15" max="15" width="12.125" style="89" customWidth="1"/>
    <col min="16" max="16" width="11.5" style="89" customWidth="1"/>
    <col min="17" max="16384" width="9" style="89"/>
  </cols>
  <sheetData>
    <row r="1" spans="1:16" ht="33.75" customHeight="1" x14ac:dyDescent="0.2">
      <c r="A1" s="17"/>
      <c r="D1" s="90" t="s">
        <v>58</v>
      </c>
      <c r="E1" s="90"/>
      <c r="F1" s="90"/>
      <c r="G1" s="90"/>
      <c r="H1" s="90"/>
      <c r="I1" s="60"/>
      <c r="J1" s="60"/>
      <c r="K1" s="90" t="s">
        <v>57</v>
      </c>
      <c r="L1" s="90"/>
      <c r="M1" s="90"/>
      <c r="N1" s="90"/>
      <c r="O1" s="90"/>
      <c r="P1" s="90"/>
    </row>
    <row r="2" spans="1:16" x14ac:dyDescent="0.2">
      <c r="A2" s="91"/>
      <c r="B2" s="91"/>
      <c r="C2" s="91"/>
      <c r="D2" s="92"/>
      <c r="E2" s="92"/>
      <c r="F2" s="92"/>
      <c r="G2" s="92"/>
      <c r="H2" s="92"/>
      <c r="I2" s="92"/>
      <c r="J2" s="92"/>
      <c r="K2" s="91"/>
      <c r="L2" s="91"/>
      <c r="M2" s="91"/>
      <c r="N2" s="91"/>
      <c r="O2" s="91"/>
      <c r="P2" s="91"/>
    </row>
    <row r="3" spans="1:16" ht="25.5" x14ac:dyDescent="0.2">
      <c r="A3" s="91"/>
      <c r="B3" s="91"/>
      <c r="C3" s="93"/>
      <c r="D3" s="92"/>
      <c r="E3" s="92"/>
      <c r="F3" s="92"/>
      <c r="G3" s="92"/>
      <c r="H3" s="92"/>
      <c r="I3" s="92"/>
      <c r="J3" s="92"/>
      <c r="K3" s="91" t="s">
        <v>293</v>
      </c>
      <c r="L3" s="91" t="s">
        <v>292</v>
      </c>
      <c r="M3" s="91" t="s">
        <v>291</v>
      </c>
      <c r="N3" s="91" t="s">
        <v>290</v>
      </c>
      <c r="O3" s="91" t="s">
        <v>289</v>
      </c>
      <c r="P3" s="91" t="s">
        <v>321</v>
      </c>
    </row>
    <row r="4" spans="1:16" ht="51" x14ac:dyDescent="0.2">
      <c r="A4" s="91"/>
      <c r="B4" s="91"/>
      <c r="C4" s="93"/>
      <c r="D4" s="33" t="s">
        <v>54</v>
      </c>
      <c r="E4" s="33" t="s">
        <v>49</v>
      </c>
      <c r="F4" s="94" t="s">
        <v>50</v>
      </c>
      <c r="G4" s="94" t="s">
        <v>91</v>
      </c>
      <c r="H4" s="94" t="s">
        <v>409</v>
      </c>
      <c r="I4" s="33" t="s">
        <v>51</v>
      </c>
      <c r="J4" s="33" t="s">
        <v>52</v>
      </c>
      <c r="K4" s="91" t="s">
        <v>41</v>
      </c>
      <c r="L4" s="91" t="s">
        <v>42</v>
      </c>
      <c r="M4" s="91" t="s">
        <v>37</v>
      </c>
      <c r="N4" s="91" t="s">
        <v>88</v>
      </c>
      <c r="O4" s="91" t="s">
        <v>62</v>
      </c>
      <c r="P4" s="91" t="s">
        <v>43</v>
      </c>
    </row>
    <row r="5" spans="1:16" x14ac:dyDescent="0.2">
      <c r="A5" s="91" t="s">
        <v>20</v>
      </c>
      <c r="B5" s="91" t="s">
        <v>116</v>
      </c>
      <c r="C5" s="91" t="s">
        <v>142</v>
      </c>
      <c r="D5" s="92" t="s">
        <v>53</v>
      </c>
      <c r="E5" s="92" t="s">
        <v>53</v>
      </c>
      <c r="F5" s="92" t="s">
        <v>63</v>
      </c>
      <c r="G5" s="92" t="s">
        <v>53</v>
      </c>
      <c r="H5" s="92" t="s">
        <v>53</v>
      </c>
      <c r="I5" s="92" t="s">
        <v>53</v>
      </c>
      <c r="J5" s="92" t="s">
        <v>53</v>
      </c>
      <c r="K5" s="91" t="s">
        <v>1</v>
      </c>
      <c r="L5" s="91" t="s">
        <v>47</v>
      </c>
      <c r="M5" s="91" t="s">
        <v>63</v>
      </c>
      <c r="N5" s="91" t="s">
        <v>60</v>
      </c>
      <c r="O5" s="91" t="s">
        <v>48</v>
      </c>
      <c r="P5" s="91" t="s">
        <v>32</v>
      </c>
    </row>
    <row r="6" spans="1:16" x14ac:dyDescent="0.2">
      <c r="A6" s="17" t="s">
        <v>4</v>
      </c>
      <c r="B6" s="17">
        <v>2021</v>
      </c>
      <c r="C6" s="17" t="str">
        <f>A6&amp;RIGHT(B6,2)</f>
        <v>ANH21</v>
      </c>
      <c r="D6" s="95">
        <f>LN(K6)</f>
        <v>14.627713628239176</v>
      </c>
      <c r="E6" s="95">
        <f>LN(L6)</f>
        <v>10.582741519434206</v>
      </c>
      <c r="F6" s="96">
        <f>M6</f>
        <v>83.117098615310923</v>
      </c>
      <c r="G6" s="96">
        <f>LN(N6)</f>
        <v>1.6142886506162266</v>
      </c>
      <c r="H6" s="96">
        <f>LN(O6)</f>
        <v>-4.4435380862484122</v>
      </c>
      <c r="I6" s="96">
        <f>LN(P6)</f>
        <v>6.5583934647541655</v>
      </c>
      <c r="J6" s="96">
        <f>(LN(P6))^2</f>
        <v>43.012524838530148</v>
      </c>
      <c r="K6" s="97">
        <v>2252865.7450825055</v>
      </c>
      <c r="L6" s="97">
        <v>39448.114065250003</v>
      </c>
      <c r="M6" s="98">
        <v>83.117098615310923</v>
      </c>
      <c r="N6" s="98">
        <v>5.0243126102918856</v>
      </c>
      <c r="O6" s="99">
        <v>1.1754277215990545E-2</v>
      </c>
      <c r="P6" s="100">
        <v>705.13795516488506</v>
      </c>
    </row>
    <row r="7" spans="1:16" x14ac:dyDescent="0.2">
      <c r="A7" s="17" t="s">
        <v>4</v>
      </c>
      <c r="B7" s="17">
        <v>2022</v>
      </c>
      <c r="C7" s="17" t="str">
        <f t="shared" ref="C7:C70" si="0">A7&amp;RIGHT(B7,2)</f>
        <v>ANH22</v>
      </c>
      <c r="D7" s="95">
        <f t="shared" ref="D7:D70" si="1">LN(K7)</f>
        <v>14.635421760857826</v>
      </c>
      <c r="E7" s="95">
        <f t="shared" ref="E7:E70" si="2">LN(L7)</f>
        <v>10.587101603415638</v>
      </c>
      <c r="F7" s="96">
        <f t="shared" ref="F7:F70" si="3">M7</f>
        <v>83.24786908122239</v>
      </c>
      <c r="G7" s="96">
        <f t="shared" ref="G7:G70" si="4">LN(N7)</f>
        <v>1.6142886506162266</v>
      </c>
      <c r="H7" s="96">
        <f t="shared" ref="H7:H70" si="5">LN(O7)</f>
        <v>-4.4381928369355323</v>
      </c>
      <c r="I7" s="96">
        <f t="shared" ref="I7:I70" si="6">LN(P7)</f>
        <v>6.5636138822706389</v>
      </c>
      <c r="J7" s="96">
        <f t="shared" ref="J7:J70" si="7">(LN(P7))^2</f>
        <v>43.081027195535846</v>
      </c>
      <c r="K7" s="97">
        <v>2270298.2326677381</v>
      </c>
      <c r="L7" s="97">
        <v>39620.486661910712</v>
      </c>
      <c r="M7" s="98">
        <v>83.24786908122239</v>
      </c>
      <c r="N7" s="98">
        <v>5.0243126102918856</v>
      </c>
      <c r="O7" s="99">
        <v>1.1817274977577667E-2</v>
      </c>
      <c r="P7" s="100">
        <v>708.82869491688314</v>
      </c>
    </row>
    <row r="8" spans="1:16" x14ac:dyDescent="0.2">
      <c r="A8" s="17" t="s">
        <v>4</v>
      </c>
      <c r="B8" s="17">
        <v>2023</v>
      </c>
      <c r="C8" s="17" t="str">
        <f t="shared" si="0"/>
        <v>ANH23</v>
      </c>
      <c r="D8" s="95">
        <f t="shared" si="1"/>
        <v>14.644231357475256</v>
      </c>
      <c r="E8" s="95">
        <f t="shared" si="2"/>
        <v>10.591153721220167</v>
      </c>
      <c r="F8" s="96">
        <f t="shared" si="3"/>
        <v>83.379587820297957</v>
      </c>
      <c r="G8" s="96">
        <f t="shared" si="4"/>
        <v>1.6142886506162266</v>
      </c>
      <c r="H8" s="96">
        <f t="shared" si="5"/>
        <v>-4.4329149039473039</v>
      </c>
      <c r="I8" s="96">
        <f t="shared" si="6"/>
        <v>6.5689476042815311</v>
      </c>
      <c r="J8" s="96">
        <f t="shared" si="7"/>
        <v>43.151072627796069</v>
      </c>
      <c r="K8" s="97">
        <v>2290387.0013508671</v>
      </c>
      <c r="L8" s="97">
        <v>39781.359258571429</v>
      </c>
      <c r="M8" s="98">
        <v>83.379587820297957</v>
      </c>
      <c r="N8" s="98">
        <v>5.0243126102918856</v>
      </c>
      <c r="O8" s="99">
        <v>1.1879810647381008E-2</v>
      </c>
      <c r="P8" s="100">
        <v>712.61949066738464</v>
      </c>
    </row>
    <row r="9" spans="1:16" x14ac:dyDescent="0.2">
      <c r="A9" s="17" t="s">
        <v>4</v>
      </c>
      <c r="B9" s="17">
        <v>2024</v>
      </c>
      <c r="C9" s="17" t="str">
        <f t="shared" si="0"/>
        <v>ANH24</v>
      </c>
      <c r="D9" s="95">
        <f t="shared" si="1"/>
        <v>14.652608775931295</v>
      </c>
      <c r="E9" s="95">
        <f t="shared" si="2"/>
        <v>10.595339691272089</v>
      </c>
      <c r="F9" s="96">
        <f t="shared" si="3"/>
        <v>83.512265184578965</v>
      </c>
      <c r="G9" s="96">
        <f t="shared" si="4"/>
        <v>1.6142886506162266</v>
      </c>
      <c r="H9" s="96">
        <f t="shared" si="5"/>
        <v>-4.4277029514561317</v>
      </c>
      <c r="I9" s="96">
        <f t="shared" si="6"/>
        <v>6.5737249805751174</v>
      </c>
      <c r="J9" s="96">
        <f t="shared" si="7"/>
        <v>43.213860120237328</v>
      </c>
      <c r="K9" s="97">
        <v>2309655.127577466</v>
      </c>
      <c r="L9" s="97">
        <v>39948.231855232138</v>
      </c>
      <c r="M9" s="98">
        <v>83.512265184578965</v>
      </c>
      <c r="N9" s="98">
        <v>5.0243126102918856</v>
      </c>
      <c r="O9" s="99">
        <v>1.1941889291022361E-2</v>
      </c>
      <c r="P9" s="100">
        <v>716.03208726692969</v>
      </c>
    </row>
    <row r="10" spans="1:16" x14ac:dyDescent="0.2">
      <c r="A10" s="17" t="s">
        <v>4</v>
      </c>
      <c r="B10" s="17">
        <v>2025</v>
      </c>
      <c r="C10" s="17" t="str">
        <f t="shared" si="0"/>
        <v>ANH25</v>
      </c>
      <c r="D10" s="95">
        <f t="shared" si="1"/>
        <v>14.660831627075233</v>
      </c>
      <c r="E10" s="95">
        <f t="shared" si="2"/>
        <v>10.603898399976085</v>
      </c>
      <c r="F10" s="96">
        <f t="shared" si="3"/>
        <v>83.645911677337708</v>
      </c>
      <c r="G10" s="96">
        <f t="shared" si="4"/>
        <v>1.6142886506162266</v>
      </c>
      <c r="H10" s="96">
        <f t="shared" si="5"/>
        <v>-4.4225556804118673</v>
      </c>
      <c r="I10" s="96">
        <f t="shared" si="6"/>
        <v>6.5789391326570703</v>
      </c>
      <c r="J10" s="96">
        <f t="shared" si="7"/>
        <v>43.282440111206562</v>
      </c>
      <c r="K10" s="97">
        <v>2328725.3763405648</v>
      </c>
      <c r="L10" s="97">
        <v>40291.604451892854</v>
      </c>
      <c r="M10" s="98">
        <v>83.645911677337708</v>
      </c>
      <c r="N10" s="98">
        <v>5.0243126102918856</v>
      </c>
      <c r="O10" s="99">
        <v>1.2003515900351452E-2</v>
      </c>
      <c r="P10" s="100">
        <v>719.77533792383917</v>
      </c>
    </row>
    <row r="11" spans="1:16" x14ac:dyDescent="0.2">
      <c r="A11" s="17" t="s">
        <v>5</v>
      </c>
      <c r="B11" s="17">
        <v>2021</v>
      </c>
      <c r="C11" s="17" t="str">
        <f t="shared" si="0"/>
        <v>NES21</v>
      </c>
      <c r="D11" s="95">
        <f t="shared" si="1"/>
        <v>14.535607399229155</v>
      </c>
      <c r="E11" s="95">
        <f t="shared" si="2"/>
        <v>10.17851955922154</v>
      </c>
      <c r="F11" s="96">
        <f t="shared" si="3"/>
        <v>98.672889469271695</v>
      </c>
      <c r="G11" s="96">
        <f t="shared" si="4"/>
        <v>1.6655319556690942</v>
      </c>
      <c r="H11" s="96">
        <f t="shared" si="5"/>
        <v>-4.455601276485484</v>
      </c>
      <c r="I11" s="96">
        <f t="shared" si="6"/>
        <v>7.4376222010188595</v>
      </c>
      <c r="J11" s="96">
        <f t="shared" si="7"/>
        <v>55.318224005088624</v>
      </c>
      <c r="K11" s="97">
        <v>2054632.1741884048</v>
      </c>
      <c r="L11" s="97">
        <v>26331.456266502402</v>
      </c>
      <c r="M11" s="98">
        <v>98.672889469271695</v>
      </c>
      <c r="N11" s="98">
        <v>5.2884857416051201</v>
      </c>
      <c r="O11" s="99">
        <v>1.1613334949682528E-2</v>
      </c>
      <c r="P11" s="100">
        <v>1698.7062332103351</v>
      </c>
    </row>
    <row r="12" spans="1:16" x14ac:dyDescent="0.2">
      <c r="A12" s="17" t="s">
        <v>5</v>
      </c>
      <c r="B12" s="17">
        <v>2022</v>
      </c>
      <c r="C12" s="17" t="str">
        <f t="shared" si="0"/>
        <v>NES22</v>
      </c>
      <c r="D12" s="95">
        <f t="shared" si="1"/>
        <v>14.540852404439143</v>
      </c>
      <c r="E12" s="95">
        <f t="shared" si="2"/>
        <v>10.182861120142993</v>
      </c>
      <c r="F12" s="96">
        <f t="shared" si="3"/>
        <v>98.752314286929064</v>
      </c>
      <c r="G12" s="96">
        <f t="shared" si="4"/>
        <v>1.6655319556690942</v>
      </c>
      <c r="H12" s="96">
        <f t="shared" si="5"/>
        <v>-4.4553366539465404</v>
      </c>
      <c r="I12" s="96">
        <f t="shared" si="6"/>
        <v>7.446949265680046</v>
      </c>
      <c r="J12" s="96">
        <f t="shared" si="7"/>
        <v>55.457053365612573</v>
      </c>
      <c r="K12" s="97">
        <v>2065437.0416695296</v>
      </c>
      <c r="L12" s="97">
        <v>26446.024410362828</v>
      </c>
      <c r="M12" s="98">
        <v>98.752314286929064</v>
      </c>
      <c r="N12" s="98">
        <v>5.2884857416051201</v>
      </c>
      <c r="O12" s="99">
        <v>1.1616408506510786E-2</v>
      </c>
      <c r="P12" s="100">
        <v>1714.6242950860437</v>
      </c>
    </row>
    <row r="13" spans="1:16" x14ac:dyDescent="0.2">
      <c r="A13" s="17" t="s">
        <v>5</v>
      </c>
      <c r="B13" s="17">
        <v>2023</v>
      </c>
      <c r="C13" s="17" t="str">
        <f t="shared" si="0"/>
        <v>NES23</v>
      </c>
      <c r="D13" s="95">
        <f t="shared" si="1"/>
        <v>14.547141942062433</v>
      </c>
      <c r="E13" s="95">
        <f t="shared" si="2"/>
        <v>10.187033302974026</v>
      </c>
      <c r="F13" s="96">
        <f t="shared" si="3"/>
        <v>98.831809129753879</v>
      </c>
      <c r="G13" s="96">
        <f t="shared" si="4"/>
        <v>1.6655319556690942</v>
      </c>
      <c r="H13" s="96">
        <f t="shared" si="5"/>
        <v>-4.4550736859723674</v>
      </c>
      <c r="I13" s="96">
        <f t="shared" si="6"/>
        <v>7.4557225100415305</v>
      </c>
      <c r="J13" s="96">
        <f t="shared" si="7"/>
        <v>55.587798146739978</v>
      </c>
      <c r="K13" s="97">
        <v>2078468.6240064544</v>
      </c>
      <c r="L13" s="97">
        <v>26556.592554223258</v>
      </c>
      <c r="M13" s="98">
        <v>98.831809129753879</v>
      </c>
      <c r="N13" s="98">
        <v>5.2884857416051201</v>
      </c>
      <c r="O13" s="99">
        <v>1.1619463651607967E-2</v>
      </c>
      <c r="P13" s="100">
        <v>1729.7332935715785</v>
      </c>
    </row>
    <row r="14" spans="1:16" x14ac:dyDescent="0.2">
      <c r="A14" s="17" t="s">
        <v>5</v>
      </c>
      <c r="B14" s="17">
        <v>2024</v>
      </c>
      <c r="C14" s="17" t="str">
        <f t="shared" si="0"/>
        <v>NES24</v>
      </c>
      <c r="D14" s="95">
        <f t="shared" si="1"/>
        <v>14.553073455495094</v>
      </c>
      <c r="E14" s="95">
        <f t="shared" si="2"/>
        <v>10.191394375907667</v>
      </c>
      <c r="F14" s="96">
        <f t="shared" si="3"/>
        <v>98.911374090393863</v>
      </c>
      <c r="G14" s="96">
        <f t="shared" si="4"/>
        <v>1.6655319556690942</v>
      </c>
      <c r="H14" s="96">
        <f t="shared" si="5"/>
        <v>-4.4548123570844531</v>
      </c>
      <c r="I14" s="96">
        <f t="shared" si="6"/>
        <v>7.4640992238662696</v>
      </c>
      <c r="J14" s="96">
        <f t="shared" si="7"/>
        <v>55.712777223721048</v>
      </c>
      <c r="K14" s="97">
        <v>2090833.7241947767</v>
      </c>
      <c r="L14" s="97">
        <v>26672.660698083688</v>
      </c>
      <c r="M14" s="98">
        <v>98.911374090393863</v>
      </c>
      <c r="N14" s="98">
        <v>5.2884857416051201</v>
      </c>
      <c r="O14" s="99">
        <v>1.1622500549919547E-2</v>
      </c>
      <c r="P14" s="100">
        <v>1744.2836312903189</v>
      </c>
    </row>
    <row r="15" spans="1:16" x14ac:dyDescent="0.2">
      <c r="A15" s="17" t="s">
        <v>5</v>
      </c>
      <c r="B15" s="17">
        <v>2025</v>
      </c>
      <c r="C15" s="17" t="str">
        <f t="shared" si="0"/>
        <v>NES25</v>
      </c>
      <c r="D15" s="95">
        <f t="shared" si="1"/>
        <v>14.558965310513564</v>
      </c>
      <c r="E15" s="95">
        <f t="shared" si="2"/>
        <v>10.195848493563766</v>
      </c>
      <c r="F15" s="96">
        <f t="shared" si="3"/>
        <v>98.991009261660295</v>
      </c>
      <c r="G15" s="96">
        <f t="shared" si="4"/>
        <v>1.6655319556690942</v>
      </c>
      <c r="H15" s="96">
        <f t="shared" si="5"/>
        <v>-4.4545526519968677</v>
      </c>
      <c r="I15" s="96">
        <f t="shared" si="6"/>
        <v>7.4722256615840852</v>
      </c>
      <c r="J15" s="96">
        <f t="shared" si="7"/>
        <v>55.834156337635719</v>
      </c>
      <c r="K15" s="97">
        <v>2103188.9752979535</v>
      </c>
      <c r="L15" s="97">
        <v>26791.728841944117</v>
      </c>
      <c r="M15" s="98">
        <v>98.991009261660295</v>
      </c>
      <c r="N15" s="98">
        <v>5.2884857416051201</v>
      </c>
      <c r="O15" s="99">
        <v>1.1625519364426599E-2</v>
      </c>
      <c r="P15" s="100">
        <v>1758.5161952793567</v>
      </c>
    </row>
    <row r="16" spans="1:16" x14ac:dyDescent="0.2">
      <c r="A16" s="17" t="s">
        <v>6</v>
      </c>
      <c r="B16" s="17">
        <v>2021</v>
      </c>
      <c r="C16" s="17" t="str">
        <f t="shared" si="0"/>
        <v>NWT21</v>
      </c>
      <c r="D16" s="95">
        <f t="shared" si="1"/>
        <v>15.028745927625298</v>
      </c>
      <c r="E16" s="95">
        <f t="shared" si="2"/>
        <v>10.675610699909473</v>
      </c>
      <c r="F16" s="96">
        <f t="shared" si="3"/>
        <v>98.16435103458025</v>
      </c>
      <c r="G16" s="96">
        <f t="shared" si="4"/>
        <v>1.6143126201363682</v>
      </c>
      <c r="H16" s="96">
        <f t="shared" si="5"/>
        <v>-4.3664335035991346</v>
      </c>
      <c r="I16" s="96">
        <f t="shared" si="6"/>
        <v>7.5236370700674797</v>
      </c>
      <c r="J16" s="96">
        <f t="shared" si="7"/>
        <v>56.605114762093571</v>
      </c>
      <c r="K16" s="97">
        <v>3364351.9854926514</v>
      </c>
      <c r="L16" s="97">
        <v>43287.132542577499</v>
      </c>
      <c r="M16" s="98">
        <v>98.16435103458025</v>
      </c>
      <c r="N16" s="98">
        <v>5.0244330420975354</v>
      </c>
      <c r="O16" s="99">
        <v>1.2696441728933631E-2</v>
      </c>
      <c r="P16" s="100">
        <v>1851.2883295755237</v>
      </c>
    </row>
    <row r="17" spans="1:16" x14ac:dyDescent="0.2">
      <c r="A17" s="17" t="s">
        <v>6</v>
      </c>
      <c r="B17" s="17">
        <v>2022</v>
      </c>
      <c r="C17" s="17" t="str">
        <f t="shared" si="0"/>
        <v>NWT22</v>
      </c>
      <c r="D17" s="95">
        <f t="shared" si="1"/>
        <v>15.033171590348426</v>
      </c>
      <c r="E17" s="95">
        <f t="shared" si="2"/>
        <v>10.678619552295517</v>
      </c>
      <c r="F17" s="96">
        <f t="shared" si="3"/>
        <v>98.16435103458025</v>
      </c>
      <c r="G17" s="96">
        <f t="shared" si="4"/>
        <v>1.6143126201363682</v>
      </c>
      <c r="H17" s="96">
        <f t="shared" si="5"/>
        <v>-4.3566023833519605</v>
      </c>
      <c r="I17" s="96">
        <f t="shared" si="6"/>
        <v>7.5288900205978706</v>
      </c>
      <c r="J17" s="96">
        <f t="shared" si="7"/>
        <v>56.684184942258206</v>
      </c>
      <c r="K17" s="97">
        <v>3379274.4692457863</v>
      </c>
      <c r="L17" s="97">
        <v>43417.573274658469</v>
      </c>
      <c r="M17" s="98">
        <v>98.16435103458025</v>
      </c>
      <c r="N17" s="98">
        <v>5.0244330420975354</v>
      </c>
      <c r="O17" s="99">
        <v>1.2821877551319539E-2</v>
      </c>
      <c r="P17" s="100">
        <v>1861.0386421225892</v>
      </c>
    </row>
    <row r="18" spans="1:16" x14ac:dyDescent="0.2">
      <c r="A18" s="17" t="s">
        <v>6</v>
      </c>
      <c r="B18" s="17">
        <v>2023</v>
      </c>
      <c r="C18" s="17" t="str">
        <f t="shared" si="0"/>
        <v>NWT23</v>
      </c>
      <c r="D18" s="95">
        <f t="shared" si="1"/>
        <v>15.03798247898319</v>
      </c>
      <c r="E18" s="95">
        <f t="shared" si="2"/>
        <v>10.681906049856668</v>
      </c>
      <c r="F18" s="96">
        <f t="shared" si="3"/>
        <v>98.16435103458025</v>
      </c>
      <c r="G18" s="96">
        <f t="shared" si="4"/>
        <v>1.6143126201363682</v>
      </c>
      <c r="H18" s="96">
        <f t="shared" si="5"/>
        <v>-4.3469508554675524</v>
      </c>
      <c r="I18" s="96">
        <f t="shared" si="6"/>
        <v>7.5340851718411805</v>
      </c>
      <c r="J18" s="96">
        <f t="shared" si="7"/>
        <v>56.762439376557154</v>
      </c>
      <c r="K18" s="97">
        <v>3395570.9512322703</v>
      </c>
      <c r="L18" s="97">
        <v>43560.499758460428</v>
      </c>
      <c r="M18" s="98">
        <v>98.16435103458025</v>
      </c>
      <c r="N18" s="98">
        <v>5.0244330420975354</v>
      </c>
      <c r="O18" s="99">
        <v>1.2946227377660085E-2</v>
      </c>
      <c r="P18" s="100">
        <v>1870.7321772264927</v>
      </c>
    </row>
    <row r="19" spans="1:16" x14ac:dyDescent="0.2">
      <c r="A19" s="17" t="s">
        <v>6</v>
      </c>
      <c r="B19" s="17">
        <v>2024</v>
      </c>
      <c r="C19" s="17" t="str">
        <f t="shared" si="0"/>
        <v>NWT24</v>
      </c>
      <c r="D19" s="95">
        <f t="shared" si="1"/>
        <v>15.042365216277251</v>
      </c>
      <c r="E19" s="95">
        <f t="shared" si="2"/>
        <v>10.685182925797776</v>
      </c>
      <c r="F19" s="96">
        <f t="shared" si="3"/>
        <v>98.16435103458025</v>
      </c>
      <c r="G19" s="96">
        <f t="shared" si="4"/>
        <v>1.6143126201363682</v>
      </c>
      <c r="H19" s="96">
        <f t="shared" si="5"/>
        <v>-4.3374736058771672</v>
      </c>
      <c r="I19" s="96">
        <f t="shared" si="6"/>
        <v>7.5389444376194055</v>
      </c>
      <c r="J19" s="96">
        <f t="shared" si="7"/>
        <v>56.835683233512576</v>
      </c>
      <c r="K19" s="97">
        <v>3410485.5060890573</v>
      </c>
      <c r="L19" s="97">
        <v>43703.47624226239</v>
      </c>
      <c r="M19" s="98">
        <v>98.16435103458025</v>
      </c>
      <c r="N19" s="98">
        <v>5.0244330420975354</v>
      </c>
      <c r="O19" s="99">
        <v>1.3069505250642044E-2</v>
      </c>
      <c r="P19" s="100">
        <v>1879.8446841914174</v>
      </c>
    </row>
    <row r="20" spans="1:16" x14ac:dyDescent="0.2">
      <c r="A20" s="17" t="s">
        <v>6</v>
      </c>
      <c r="B20" s="17">
        <v>2025</v>
      </c>
      <c r="C20" s="17" t="str">
        <f t="shared" si="0"/>
        <v>NWT25</v>
      </c>
      <c r="D20" s="95">
        <f t="shared" si="1"/>
        <v>15.046639764133026</v>
      </c>
      <c r="E20" s="95">
        <f t="shared" si="2"/>
        <v>10.688449098885327</v>
      </c>
      <c r="F20" s="96">
        <f t="shared" si="3"/>
        <v>98.16435103458025</v>
      </c>
      <c r="G20" s="96">
        <f t="shared" si="4"/>
        <v>1.6143126201363682</v>
      </c>
      <c r="H20" s="96">
        <f t="shared" si="5"/>
        <v>-4.3281655420408391</v>
      </c>
      <c r="I20" s="96">
        <f t="shared" si="6"/>
        <v>7.5439170526627022</v>
      </c>
      <c r="J20" s="96">
        <f t="shared" si="7"/>
        <v>56.910684497455108</v>
      </c>
      <c r="K20" s="97">
        <v>3425094.991824144</v>
      </c>
      <c r="L20" s="97">
        <v>43846.452726064366</v>
      </c>
      <c r="M20" s="98">
        <v>98.16435103458025</v>
      </c>
      <c r="N20" s="98">
        <v>5.0244330420975354</v>
      </c>
      <c r="O20" s="99">
        <v>1.3191724971882276E-2</v>
      </c>
      <c r="P20" s="100">
        <v>1889.2157080845902</v>
      </c>
    </row>
    <row r="21" spans="1:16" x14ac:dyDescent="0.2">
      <c r="A21" s="17" t="s">
        <v>7</v>
      </c>
      <c r="B21" s="17">
        <v>2021</v>
      </c>
      <c r="C21" s="17" t="str">
        <f t="shared" si="0"/>
        <v>SRN21</v>
      </c>
      <c r="D21" s="95">
        <f t="shared" si="1"/>
        <v>13.947953939667077</v>
      </c>
      <c r="E21" s="95">
        <f t="shared" si="2"/>
        <v>9.5487456523292309</v>
      </c>
      <c r="F21" s="96">
        <f t="shared" si="3"/>
        <v>90.52468118957421</v>
      </c>
      <c r="G21" s="96">
        <f t="shared" si="4"/>
        <v>1.4973621179410062</v>
      </c>
      <c r="H21" s="96">
        <f t="shared" si="5"/>
        <v>-4.0674712410248768</v>
      </c>
      <c r="I21" s="96">
        <f t="shared" si="6"/>
        <v>7.5594072070172276</v>
      </c>
      <c r="J21" s="96">
        <f t="shared" si="7"/>
        <v>57.144637321504</v>
      </c>
      <c r="K21" s="97">
        <v>1141614.3779972151</v>
      </c>
      <c r="L21" s="97">
        <v>14027.088785714284</v>
      </c>
      <c r="M21" s="98">
        <v>90.52468118957421</v>
      </c>
      <c r="N21" s="98">
        <v>4.4698824821852314</v>
      </c>
      <c r="O21" s="99">
        <v>1.7120627754720473E-2</v>
      </c>
      <c r="P21" s="100">
        <v>1918.7077796788169</v>
      </c>
    </row>
    <row r="22" spans="1:16" x14ac:dyDescent="0.2">
      <c r="A22" s="17" t="s">
        <v>7</v>
      </c>
      <c r="B22" s="17">
        <v>2022</v>
      </c>
      <c r="C22" s="17" t="str">
        <f t="shared" si="0"/>
        <v>SRN22</v>
      </c>
      <c r="D22" s="95">
        <f t="shared" si="1"/>
        <v>13.955340526357771</v>
      </c>
      <c r="E22" s="95">
        <f t="shared" si="2"/>
        <v>9.5514168029576965</v>
      </c>
      <c r="F22" s="96">
        <f t="shared" si="3"/>
        <v>91.33581484379188</v>
      </c>
      <c r="G22" s="96">
        <f t="shared" si="4"/>
        <v>1.4973621179410062</v>
      </c>
      <c r="H22" s="96">
        <f t="shared" si="5"/>
        <v>-4.0698252016738188</v>
      </c>
      <c r="I22" s="96">
        <f t="shared" si="6"/>
        <v>7.5640441942804824</v>
      </c>
      <c r="J22" s="96">
        <f t="shared" si="7"/>
        <v>57.214764573028269</v>
      </c>
      <c r="K22" s="97">
        <v>1150078.2325819847</v>
      </c>
      <c r="L22" s="97">
        <v>14064.607339285714</v>
      </c>
      <c r="M22" s="98">
        <v>91.33581484379188</v>
      </c>
      <c r="N22" s="98">
        <v>4.4698824821852314</v>
      </c>
      <c r="O22" s="99">
        <v>1.7080373867321808E-2</v>
      </c>
      <c r="P22" s="100">
        <v>1927.6254628279496</v>
      </c>
    </row>
    <row r="23" spans="1:16" x14ac:dyDescent="0.2">
      <c r="A23" s="17" t="s">
        <v>7</v>
      </c>
      <c r="B23" s="17">
        <v>2023</v>
      </c>
      <c r="C23" s="17" t="str">
        <f t="shared" si="0"/>
        <v>SRN23</v>
      </c>
      <c r="D23" s="95">
        <f t="shared" si="1"/>
        <v>13.964148443711821</v>
      </c>
      <c r="E23" s="95">
        <f t="shared" si="2"/>
        <v>9.5540808375442818</v>
      </c>
      <c r="F23" s="96">
        <f t="shared" si="3"/>
        <v>92.148247125932386</v>
      </c>
      <c r="G23" s="96">
        <f t="shared" si="4"/>
        <v>1.4973621179410062</v>
      </c>
      <c r="H23" s="96">
        <f t="shared" si="5"/>
        <v>-4.0721736342024544</v>
      </c>
      <c r="I23" s="96">
        <f t="shared" si="6"/>
        <v>7.5690881671535823</v>
      </c>
      <c r="J23" s="96">
        <f t="shared" si="7"/>
        <v>57.291095682144373</v>
      </c>
      <c r="K23" s="97">
        <v>1160252.7690656998</v>
      </c>
      <c r="L23" s="97">
        <v>14102.125892857142</v>
      </c>
      <c r="M23" s="98">
        <v>92.148247125932386</v>
      </c>
      <c r="N23" s="98">
        <v>4.4698824821852314</v>
      </c>
      <c r="O23" s="99">
        <v>1.7040308825168334E-2</v>
      </c>
      <c r="P23" s="100">
        <v>1937.3729156498162</v>
      </c>
    </row>
    <row r="24" spans="1:16" x14ac:dyDescent="0.2">
      <c r="A24" s="17" t="s">
        <v>7</v>
      </c>
      <c r="B24" s="17">
        <v>2024</v>
      </c>
      <c r="C24" s="17" t="str">
        <f t="shared" si="0"/>
        <v>SRN24</v>
      </c>
      <c r="D24" s="95">
        <f t="shared" si="1"/>
        <v>13.972717119584646</v>
      </c>
      <c r="E24" s="95">
        <f t="shared" si="2"/>
        <v>9.5567377939030571</v>
      </c>
      <c r="F24" s="96">
        <f t="shared" si="3"/>
        <v>92.961981157156231</v>
      </c>
      <c r="G24" s="96">
        <f t="shared" si="4"/>
        <v>1.4973621179410062</v>
      </c>
      <c r="H24" s="96">
        <f t="shared" si="5"/>
        <v>-4.0745165645148091</v>
      </c>
      <c r="I24" s="96">
        <f t="shared" si="6"/>
        <v>7.5738921913825505</v>
      </c>
      <c r="J24" s="96">
        <f t="shared" si="7"/>
        <v>57.363842926685571</v>
      </c>
      <c r="K24" s="97">
        <v>1170237.3150529799</v>
      </c>
      <c r="L24" s="97">
        <v>14139.644446428571</v>
      </c>
      <c r="M24" s="98">
        <v>92.961981157156231</v>
      </c>
      <c r="N24" s="98">
        <v>4.4698824821852314</v>
      </c>
      <c r="O24" s="99">
        <v>1.700043130246004E-2</v>
      </c>
      <c r="P24" s="100">
        <v>1946.7024938942793</v>
      </c>
    </row>
    <row r="25" spans="1:16" x14ac:dyDescent="0.2">
      <c r="A25" s="17" t="s">
        <v>7</v>
      </c>
      <c r="B25" s="17">
        <v>2025</v>
      </c>
      <c r="C25" s="17" t="str">
        <f t="shared" si="0"/>
        <v>SRN25</v>
      </c>
      <c r="D25" s="95">
        <f t="shared" si="1"/>
        <v>13.981254163667908</v>
      </c>
      <c r="E25" s="95">
        <f t="shared" si="2"/>
        <v>9.5593877095474795</v>
      </c>
      <c r="F25" s="96">
        <f t="shared" si="3"/>
        <v>93.777020068633959</v>
      </c>
      <c r="G25" s="96">
        <f t="shared" si="4"/>
        <v>1.4973621179410062</v>
      </c>
      <c r="H25" s="96">
        <f t="shared" si="5"/>
        <v>-4.0768540183332593</v>
      </c>
      <c r="I25" s="96">
        <f t="shared" si="6"/>
        <v>7.5792931733715259</v>
      </c>
      <c r="J25" s="96">
        <f t="shared" si="7"/>
        <v>57.445685007916218</v>
      </c>
      <c r="K25" s="97">
        <v>1180270.4483145119</v>
      </c>
      <c r="L25" s="97">
        <v>14177.163</v>
      </c>
      <c r="M25" s="98">
        <v>93.777020068633959</v>
      </c>
      <c r="N25" s="98">
        <v>4.4698824821852314</v>
      </c>
      <c r="O25" s="99">
        <v>1.696073998577842E-2</v>
      </c>
      <c r="P25" s="100">
        <v>1957.2450434340867</v>
      </c>
    </row>
    <row r="26" spans="1:16" x14ac:dyDescent="0.2">
      <c r="A26" s="17" t="s">
        <v>8</v>
      </c>
      <c r="B26" s="17">
        <v>2021</v>
      </c>
      <c r="C26" s="17" t="str">
        <f t="shared" si="0"/>
        <v>SVT21</v>
      </c>
      <c r="D26" s="95">
        <f t="shared" si="1"/>
        <v>15.113179339143395</v>
      </c>
      <c r="E26" s="95">
        <f t="shared" si="2"/>
        <v>10.769552046492951</v>
      </c>
      <c r="F26" s="96">
        <f t="shared" si="3"/>
        <v>93.123872607786453</v>
      </c>
      <c r="G26" s="96">
        <f t="shared" si="4"/>
        <v>1.4909387283554842</v>
      </c>
      <c r="H26" s="96">
        <f t="shared" si="5"/>
        <v>-4.1723632842264911</v>
      </c>
      <c r="I26" s="96">
        <f t="shared" si="6"/>
        <v>7.5898566796969114</v>
      </c>
      <c r="J26" s="96">
        <f t="shared" si="7"/>
        <v>57.605924418339825</v>
      </c>
      <c r="K26" s="97">
        <v>3660752.6969703021</v>
      </c>
      <c r="L26" s="97">
        <v>47550.712233932216</v>
      </c>
      <c r="M26" s="98">
        <v>93.123872607786453</v>
      </c>
      <c r="N26" s="98">
        <v>4.4412627020037538</v>
      </c>
      <c r="O26" s="99">
        <v>1.5415785158626504E-2</v>
      </c>
      <c r="P26" s="100">
        <v>1978.030001570718</v>
      </c>
    </row>
    <row r="27" spans="1:16" x14ac:dyDescent="0.2">
      <c r="A27" s="17" t="s">
        <v>8</v>
      </c>
      <c r="B27" s="17">
        <v>2022</v>
      </c>
      <c r="C27" s="17" t="str">
        <f t="shared" si="0"/>
        <v>SVT22</v>
      </c>
      <c r="D27" s="95">
        <f t="shared" si="1"/>
        <v>15.118988075310035</v>
      </c>
      <c r="E27" s="95">
        <f t="shared" si="2"/>
        <v>10.771514253633637</v>
      </c>
      <c r="F27" s="96">
        <f t="shared" si="3"/>
        <v>94.151754906463594</v>
      </c>
      <c r="G27" s="96">
        <f t="shared" si="4"/>
        <v>1.4909387283554842</v>
      </c>
      <c r="H27" s="96">
        <f t="shared" si="5"/>
        <v>-4.1763041355221784</v>
      </c>
      <c r="I27" s="96">
        <f t="shared" si="6"/>
        <v>7.5961501477516871</v>
      </c>
      <c r="J27" s="96">
        <f t="shared" si="7"/>
        <v>57.701497067187979</v>
      </c>
      <c r="K27" s="97">
        <v>3682078.9228032473</v>
      </c>
      <c r="L27" s="97">
        <v>47644.108182154108</v>
      </c>
      <c r="M27" s="98">
        <v>94.151754906463594</v>
      </c>
      <c r="N27" s="98">
        <v>4.4412627020037538</v>
      </c>
      <c r="O27" s="99">
        <v>1.5355153390570088E-2</v>
      </c>
      <c r="P27" s="100">
        <v>1990.517925152883</v>
      </c>
    </row>
    <row r="28" spans="1:16" x14ac:dyDescent="0.2">
      <c r="A28" s="17" t="s">
        <v>8</v>
      </c>
      <c r="B28" s="17">
        <v>2023</v>
      </c>
      <c r="C28" s="17" t="str">
        <f t="shared" si="0"/>
        <v>SVT23</v>
      </c>
      <c r="D28" s="95">
        <f t="shared" si="1"/>
        <v>15.126002443299909</v>
      </c>
      <c r="E28" s="95">
        <f t="shared" si="2"/>
        <v>10.773472618056438</v>
      </c>
      <c r="F28" s="96">
        <f t="shared" si="3"/>
        <v>95.163247048426072</v>
      </c>
      <c r="G28" s="96">
        <f t="shared" si="4"/>
        <v>1.4909387283554842</v>
      </c>
      <c r="H28" s="96">
        <f t="shared" si="5"/>
        <v>-4.1802450668957727</v>
      </c>
      <c r="I28" s="96">
        <f t="shared" si="6"/>
        <v>7.6023787268626757</v>
      </c>
      <c r="J28" s="96">
        <f t="shared" si="7"/>
        <v>57.796162306654161</v>
      </c>
      <c r="K28" s="97">
        <v>3707997.173140632</v>
      </c>
      <c r="L28" s="97">
        <v>47737.504130376001</v>
      </c>
      <c r="M28" s="98">
        <v>95.163247048426072</v>
      </c>
      <c r="N28" s="98">
        <v>4.4412627020037538</v>
      </c>
      <c r="O28" s="99">
        <v>1.5294758868325877E-2</v>
      </c>
      <c r="P28" s="100">
        <v>2002.9547150792271</v>
      </c>
    </row>
    <row r="29" spans="1:16" x14ac:dyDescent="0.2">
      <c r="A29" s="17" t="s">
        <v>8</v>
      </c>
      <c r="B29" s="17">
        <v>2024</v>
      </c>
      <c r="C29" s="17" t="str">
        <f t="shared" si="0"/>
        <v>SVT24</v>
      </c>
      <c r="D29" s="95">
        <f t="shared" si="1"/>
        <v>15.13278877457703</v>
      </c>
      <c r="E29" s="95">
        <f t="shared" si="2"/>
        <v>10.775427154782832</v>
      </c>
      <c r="F29" s="96">
        <f t="shared" si="3"/>
        <v>96.158737958154404</v>
      </c>
      <c r="G29" s="96">
        <f t="shared" si="4"/>
        <v>1.4909387283554842</v>
      </c>
      <c r="H29" s="96">
        <f t="shared" si="5"/>
        <v>-4.1841861089540702</v>
      </c>
      <c r="I29" s="96">
        <f t="shared" si="6"/>
        <v>7.6085260474627754</v>
      </c>
      <c r="J29" s="96">
        <f t="shared" si="7"/>
        <v>57.889668614919522</v>
      </c>
      <c r="K29" s="97">
        <v>3733246.4484023536</v>
      </c>
      <c r="L29" s="97">
        <v>47830.900078597893</v>
      </c>
      <c r="M29" s="98">
        <v>96.158737958154404</v>
      </c>
      <c r="N29" s="98">
        <v>4.4412627020037538</v>
      </c>
      <c r="O29" s="99">
        <v>1.5234600202135518E-2</v>
      </c>
      <c r="P29" s="100">
        <v>2015.3054429080898</v>
      </c>
    </row>
    <row r="30" spans="1:16" x14ac:dyDescent="0.2">
      <c r="A30" s="17" t="s">
        <v>8</v>
      </c>
      <c r="B30" s="17">
        <v>2025</v>
      </c>
      <c r="C30" s="17" t="str">
        <f t="shared" si="0"/>
        <v>SVT25</v>
      </c>
      <c r="D30" s="95">
        <f t="shared" si="1"/>
        <v>15.139632662319695</v>
      </c>
      <c r="E30" s="95">
        <f t="shared" si="2"/>
        <v>10.777377878746384</v>
      </c>
      <c r="F30" s="96">
        <f t="shared" si="3"/>
        <v>97.138604351565931</v>
      </c>
      <c r="G30" s="96">
        <f t="shared" si="4"/>
        <v>1.4909387283554842</v>
      </c>
      <c r="H30" s="96">
        <f t="shared" si="5"/>
        <v>-4.188127292309022</v>
      </c>
      <c r="I30" s="96">
        <f t="shared" si="6"/>
        <v>7.6148277582541484</v>
      </c>
      <c r="J30" s="96">
        <f t="shared" si="7"/>
        <v>57.985601787877897</v>
      </c>
      <c r="K30" s="97">
        <v>3758883.9981980626</v>
      </c>
      <c r="L30" s="97">
        <v>47924.296026819793</v>
      </c>
      <c r="M30" s="98">
        <v>97.138604351565931</v>
      </c>
      <c r="N30" s="98">
        <v>4.4412627020037538</v>
      </c>
      <c r="O30" s="99">
        <v>1.5174676013074231E-2</v>
      </c>
      <c r="P30" s="100">
        <v>2028.0454146138507</v>
      </c>
    </row>
    <row r="31" spans="1:16" x14ac:dyDescent="0.2">
      <c r="A31" s="17" t="s">
        <v>19</v>
      </c>
      <c r="B31" s="17">
        <v>2021</v>
      </c>
      <c r="C31" s="17" t="str">
        <f t="shared" si="0"/>
        <v>SWB21</v>
      </c>
      <c r="D31" s="95">
        <f t="shared" si="1"/>
        <v>13.878957571117216</v>
      </c>
      <c r="E31" s="95">
        <f t="shared" si="2"/>
        <v>9.8298511614782527</v>
      </c>
      <c r="F31" s="96">
        <f t="shared" si="3"/>
        <v>96.705531747417766</v>
      </c>
      <c r="G31" s="96">
        <f t="shared" si="4"/>
        <v>1.5975969942385149</v>
      </c>
      <c r="H31" s="96">
        <f t="shared" si="5"/>
        <v>-4.2320950261201116</v>
      </c>
      <c r="I31" s="96">
        <f t="shared" si="6"/>
        <v>7.0716434750100623</v>
      </c>
      <c r="J31" s="96">
        <f t="shared" si="7"/>
        <v>50.008141437652391</v>
      </c>
      <c r="K31" s="97">
        <v>1065503.0266597697</v>
      </c>
      <c r="L31" s="97">
        <v>18580.188571428575</v>
      </c>
      <c r="M31" s="98">
        <v>96.705531747417766</v>
      </c>
      <c r="N31" s="98">
        <v>4.9411445479807101</v>
      </c>
      <c r="O31" s="99">
        <v>1.4521934824015722E-2</v>
      </c>
      <c r="P31" s="100">
        <v>1178.0825934159802</v>
      </c>
    </row>
    <row r="32" spans="1:16" x14ac:dyDescent="0.2">
      <c r="A32" s="17" t="s">
        <v>19</v>
      </c>
      <c r="B32" s="17">
        <v>2022</v>
      </c>
      <c r="C32" s="17" t="str">
        <f t="shared" si="0"/>
        <v>SWB22</v>
      </c>
      <c r="D32" s="95">
        <f t="shared" si="1"/>
        <v>13.88503742423597</v>
      </c>
      <c r="E32" s="95">
        <f t="shared" si="2"/>
        <v>9.8330785001668097</v>
      </c>
      <c r="F32" s="96">
        <f t="shared" si="3"/>
        <v>96.686383019396743</v>
      </c>
      <c r="G32" s="96">
        <f t="shared" si="4"/>
        <v>1.5975969942385149</v>
      </c>
      <c r="H32" s="96">
        <f t="shared" si="5"/>
        <v>-4.2308960444836448</v>
      </c>
      <c r="I32" s="96">
        <f t="shared" si="6"/>
        <v>7.0748105580613965</v>
      </c>
      <c r="J32" s="96">
        <f t="shared" si="7"/>
        <v>50.052944432457011</v>
      </c>
      <c r="K32" s="97">
        <v>1072000.8614842931</v>
      </c>
      <c r="L32" s="97">
        <v>18640.25</v>
      </c>
      <c r="M32" s="98">
        <v>96.686383019396743</v>
      </c>
      <c r="N32" s="98">
        <v>4.9411445479807101</v>
      </c>
      <c r="O32" s="99">
        <v>1.4539356799422878E-2</v>
      </c>
      <c r="P32" s="100">
        <v>1181.8195934016801</v>
      </c>
    </row>
    <row r="33" spans="1:16" x14ac:dyDescent="0.2">
      <c r="A33" s="17" t="s">
        <v>19</v>
      </c>
      <c r="B33" s="17">
        <v>2023</v>
      </c>
      <c r="C33" s="17" t="str">
        <f t="shared" si="0"/>
        <v>SWB23</v>
      </c>
      <c r="D33" s="95">
        <f t="shared" si="1"/>
        <v>13.892493347863303</v>
      </c>
      <c r="E33" s="95">
        <f t="shared" si="2"/>
        <v>9.8365093339459584</v>
      </c>
      <c r="F33" s="96">
        <f t="shared" si="3"/>
        <v>96.667531683389043</v>
      </c>
      <c r="G33" s="96">
        <f t="shared" si="4"/>
        <v>1.5975969942385149</v>
      </c>
      <c r="H33" s="96">
        <f t="shared" si="5"/>
        <v>-4.229707609675593</v>
      </c>
      <c r="I33" s="96">
        <f t="shared" si="6"/>
        <v>7.0782294257739773</v>
      </c>
      <c r="J33" s="96">
        <f t="shared" si="7"/>
        <v>50.101331803892606</v>
      </c>
      <c r="K33" s="97">
        <v>1080023.4889193596</v>
      </c>
      <c r="L33" s="97">
        <v>18704.311428571429</v>
      </c>
      <c r="M33" s="98">
        <v>96.667531683389043</v>
      </c>
      <c r="N33" s="98">
        <v>4.9411445479807101</v>
      </c>
      <c r="O33" s="99">
        <v>1.4556646148727335E-2</v>
      </c>
      <c r="P33" s="100">
        <v>1185.866993071294</v>
      </c>
    </row>
    <row r="34" spans="1:16" x14ac:dyDescent="0.2">
      <c r="A34" s="17" t="s">
        <v>19</v>
      </c>
      <c r="B34" s="17">
        <v>2024</v>
      </c>
      <c r="C34" s="17" t="str">
        <f t="shared" si="0"/>
        <v>SWB24</v>
      </c>
      <c r="D34" s="95">
        <f t="shared" si="1"/>
        <v>13.899818079420214</v>
      </c>
      <c r="E34" s="95">
        <f t="shared" si="2"/>
        <v>9.8397685811901496</v>
      </c>
      <c r="F34" s="96">
        <f t="shared" si="3"/>
        <v>96.648970864745849</v>
      </c>
      <c r="G34" s="96">
        <f t="shared" si="4"/>
        <v>1.5975969942385149</v>
      </c>
      <c r="H34" s="96">
        <f t="shared" si="5"/>
        <v>-4.2285295823144624</v>
      </c>
      <c r="I34" s="96">
        <f t="shared" si="6"/>
        <v>7.0817222078405564</v>
      </c>
      <c r="J34" s="96">
        <f t="shared" si="7"/>
        <v>50.150789429022126</v>
      </c>
      <c r="K34" s="97">
        <v>1087963.4144632763</v>
      </c>
      <c r="L34" s="97">
        <v>18765.372857142858</v>
      </c>
      <c r="M34" s="98">
        <v>96.648970864745849</v>
      </c>
      <c r="N34" s="98">
        <v>4.9411445479807101</v>
      </c>
      <c r="O34" s="99">
        <v>1.4573804380625881E-2</v>
      </c>
      <c r="P34" s="100">
        <v>1190.0162099750314</v>
      </c>
    </row>
    <row r="35" spans="1:16" x14ac:dyDescent="0.2">
      <c r="A35" s="17" t="s">
        <v>19</v>
      </c>
      <c r="B35" s="17">
        <v>2025</v>
      </c>
      <c r="C35" s="17" t="str">
        <f t="shared" si="0"/>
        <v>SWB25</v>
      </c>
      <c r="D35" s="95">
        <f t="shared" si="1"/>
        <v>13.907141713178589</v>
      </c>
      <c r="E35" s="95">
        <f t="shared" si="2"/>
        <v>9.8429641220282509</v>
      </c>
      <c r="F35" s="96">
        <f t="shared" si="3"/>
        <v>96.630693899088001</v>
      </c>
      <c r="G35" s="96">
        <f t="shared" si="4"/>
        <v>1.5975969942385149</v>
      </c>
      <c r="H35" s="96">
        <f t="shared" si="5"/>
        <v>-4.2273618254782104</v>
      </c>
      <c r="I35" s="96">
        <f t="shared" si="6"/>
        <v>7.0865325146663141</v>
      </c>
      <c r="J35" s="96">
        <f t="shared" si="7"/>
        <v>50.218943081422871</v>
      </c>
      <c r="K35" s="97">
        <v>1095960.5082021004</v>
      </c>
      <c r="L35" s="97">
        <v>18825.434285714287</v>
      </c>
      <c r="M35" s="98">
        <v>96.630693899088001</v>
      </c>
      <c r="N35" s="98">
        <v>4.9411445479807101</v>
      </c>
      <c r="O35" s="99">
        <v>1.4590832981018716E-2</v>
      </c>
      <c r="P35" s="100">
        <v>1195.7543430985265</v>
      </c>
    </row>
    <row r="36" spans="1:16" x14ac:dyDescent="0.2">
      <c r="A36" s="17" t="s">
        <v>9</v>
      </c>
      <c r="B36" s="17">
        <v>2021</v>
      </c>
      <c r="C36" s="17" t="str">
        <f t="shared" si="0"/>
        <v>TMS21</v>
      </c>
      <c r="D36" s="95">
        <f t="shared" si="1"/>
        <v>15.182494801634038</v>
      </c>
      <c r="E36" s="95">
        <f t="shared" si="2"/>
        <v>10.365146901315439</v>
      </c>
      <c r="F36" s="96">
        <f t="shared" si="3"/>
        <v>89.896461302229113</v>
      </c>
      <c r="G36" s="96">
        <f t="shared" si="4"/>
        <v>1.7118797847841645</v>
      </c>
      <c r="H36" s="96">
        <f t="shared" si="5"/>
        <v>-4.6095541767874231</v>
      </c>
      <c r="I36" s="96">
        <f t="shared" si="6"/>
        <v>8.7859106728817427</v>
      </c>
      <c r="J36" s="96">
        <f t="shared" si="7"/>
        <v>77.192226351857315</v>
      </c>
      <c r="K36" s="97">
        <v>3923500.5143095669</v>
      </c>
      <c r="L36" s="97">
        <v>31734.093965192391</v>
      </c>
      <c r="M36" s="98">
        <v>89.896461302229113</v>
      </c>
      <c r="N36" s="98">
        <v>5.5393645099494719</v>
      </c>
      <c r="O36" s="99">
        <v>9.9562560486078262E-3</v>
      </c>
      <c r="P36" s="100">
        <v>6541.4273696761202</v>
      </c>
    </row>
    <row r="37" spans="1:16" x14ac:dyDescent="0.2">
      <c r="A37" s="17" t="s">
        <v>9</v>
      </c>
      <c r="B37" s="17">
        <v>2022</v>
      </c>
      <c r="C37" s="17" t="str">
        <f t="shared" si="0"/>
        <v>TMS22</v>
      </c>
      <c r="D37" s="95">
        <f t="shared" si="1"/>
        <v>15.18953859649106</v>
      </c>
      <c r="E37" s="95">
        <f t="shared" si="2"/>
        <v>10.368080838218514</v>
      </c>
      <c r="F37" s="96">
        <f t="shared" si="3"/>
        <v>89.9446655358676</v>
      </c>
      <c r="G37" s="96">
        <f t="shared" si="4"/>
        <v>1.7118797847841645</v>
      </c>
      <c r="H37" s="96">
        <f t="shared" si="5"/>
        <v>-4.6097937610270838</v>
      </c>
      <c r="I37" s="96">
        <f t="shared" si="6"/>
        <v>8.7952204984300781</v>
      </c>
      <c r="J37" s="96">
        <f t="shared" si="7"/>
        <v>77.355903616004639</v>
      </c>
      <c r="K37" s="97">
        <v>3951234.4083156628</v>
      </c>
      <c r="L37" s="97">
        <v>31827.336511550449</v>
      </c>
      <c r="M37" s="98">
        <v>89.9446655358676</v>
      </c>
      <c r="N37" s="98">
        <v>5.5393645099494719</v>
      </c>
      <c r="O37" s="99">
        <v>9.9538709722973052E-3</v>
      </c>
      <c r="P37" s="100">
        <v>6602.6112811814446</v>
      </c>
    </row>
    <row r="38" spans="1:16" x14ac:dyDescent="0.2">
      <c r="A38" s="17" t="s">
        <v>9</v>
      </c>
      <c r="B38" s="17">
        <v>2023</v>
      </c>
      <c r="C38" s="17" t="str">
        <f t="shared" si="0"/>
        <v>TMS23</v>
      </c>
      <c r="D38" s="95">
        <f t="shared" si="1"/>
        <v>15.199539145903717</v>
      </c>
      <c r="E38" s="95">
        <f t="shared" si="2"/>
        <v>10.37091927183417</v>
      </c>
      <c r="F38" s="96">
        <f t="shared" si="3"/>
        <v>89.99203158353896</v>
      </c>
      <c r="G38" s="96">
        <f t="shared" si="4"/>
        <v>1.7118797847841645</v>
      </c>
      <c r="H38" s="96">
        <f t="shared" si="5"/>
        <v>-4.610032636183977</v>
      </c>
      <c r="I38" s="96">
        <f t="shared" si="6"/>
        <v>8.8035348552973556</v>
      </c>
      <c r="J38" s="96">
        <f t="shared" si="7"/>
        <v>77.502225948435438</v>
      </c>
      <c r="K38" s="97">
        <v>3990947.1669842354</v>
      </c>
      <c r="L38" s="97">
        <v>31917.804626531455</v>
      </c>
      <c r="M38" s="98">
        <v>89.99203158353896</v>
      </c>
      <c r="N38" s="98">
        <v>5.5393645099494719</v>
      </c>
      <c r="O38" s="99">
        <v>9.9514935237751036E-3</v>
      </c>
      <c r="P38" s="100">
        <v>6657.7365958377095</v>
      </c>
    </row>
    <row r="39" spans="1:16" x14ac:dyDescent="0.2">
      <c r="A39" s="17" t="s">
        <v>9</v>
      </c>
      <c r="B39" s="17">
        <v>2024</v>
      </c>
      <c r="C39" s="17" t="str">
        <f t="shared" si="0"/>
        <v>TMS24</v>
      </c>
      <c r="D39" s="95">
        <f t="shared" si="1"/>
        <v>15.209082904778155</v>
      </c>
      <c r="E39" s="95">
        <f t="shared" si="2"/>
        <v>10.373630821673155</v>
      </c>
      <c r="F39" s="96">
        <f t="shared" si="3"/>
        <v>90.038581118658982</v>
      </c>
      <c r="G39" s="96">
        <f t="shared" si="4"/>
        <v>1.7118797847841645</v>
      </c>
      <c r="H39" s="96">
        <f t="shared" si="5"/>
        <v>-4.6102708054081791</v>
      </c>
      <c r="I39" s="96">
        <f t="shared" si="6"/>
        <v>8.8108531229236906</v>
      </c>
      <c r="J39" s="96">
        <f t="shared" si="7"/>
        <v>77.63113275373415</v>
      </c>
      <c r="K39" s="97">
        <v>4029218.1384012369</v>
      </c>
      <c r="L39" s="97">
        <v>32004.468788524617</v>
      </c>
      <c r="M39" s="98">
        <v>90.038581118658982</v>
      </c>
      <c r="N39" s="98">
        <v>5.5393645099494719</v>
      </c>
      <c r="O39" s="99">
        <v>9.9491236665076345E-3</v>
      </c>
      <c r="P39" s="100">
        <v>6706.6384140754626</v>
      </c>
    </row>
    <row r="40" spans="1:16" x14ac:dyDescent="0.2">
      <c r="A40" s="17" t="s">
        <v>9</v>
      </c>
      <c r="B40" s="17">
        <v>2025</v>
      </c>
      <c r="C40" s="17" t="str">
        <f t="shared" si="0"/>
        <v>TMS25</v>
      </c>
      <c r="D40" s="95">
        <f t="shared" si="1"/>
        <v>15.218357133325402</v>
      </c>
      <c r="E40" s="95">
        <f t="shared" si="2"/>
        <v>10.376952791309542</v>
      </c>
      <c r="F40" s="96">
        <f t="shared" si="3"/>
        <v>90.084335073800943</v>
      </c>
      <c r="G40" s="96">
        <f t="shared" si="4"/>
        <v>1.7118797847841645</v>
      </c>
      <c r="H40" s="96">
        <f t="shared" si="5"/>
        <v>-4.6105082718310948</v>
      </c>
      <c r="I40" s="96">
        <f t="shared" si="6"/>
        <v>8.8178761135036794</v>
      </c>
      <c r="J40" s="96">
        <f t="shared" si="7"/>
        <v>77.754939153098761</v>
      </c>
      <c r="K40" s="97">
        <v>4066759.8443802255</v>
      </c>
      <c r="L40" s="97">
        <v>32110.963450150022</v>
      </c>
      <c r="M40" s="98">
        <v>90.084335073800943</v>
      </c>
      <c r="N40" s="98">
        <v>5.5393645099494719</v>
      </c>
      <c r="O40" s="99">
        <v>9.9467613641942444E-3</v>
      </c>
      <c r="P40" s="100">
        <v>6753.9048540880367</v>
      </c>
    </row>
    <row r="41" spans="1:16" x14ac:dyDescent="0.2">
      <c r="A41" s="17" t="s">
        <v>23</v>
      </c>
      <c r="B41" s="17">
        <v>2021</v>
      </c>
      <c r="C41" s="17" t="str">
        <f t="shared" si="0"/>
        <v>WSH21</v>
      </c>
      <c r="D41" s="95">
        <f t="shared" si="1"/>
        <v>14.191425443602798</v>
      </c>
      <c r="E41" s="95">
        <f t="shared" si="2"/>
        <v>10.235394281026664</v>
      </c>
      <c r="F41" s="96">
        <f t="shared" si="3"/>
        <v>99.978234372279303</v>
      </c>
      <c r="G41" s="96">
        <f t="shared" si="4"/>
        <v>1.6408155052134439</v>
      </c>
      <c r="H41" s="96">
        <f t="shared" si="5"/>
        <v>-3.8620817022963441</v>
      </c>
      <c r="I41" s="96">
        <f t="shared" si="6"/>
        <v>6.4581927579891021</v>
      </c>
      <c r="J41" s="96">
        <f t="shared" si="7"/>
        <v>41.708253699342883</v>
      </c>
      <c r="K41" s="97">
        <v>1456323.174478705</v>
      </c>
      <c r="L41" s="97">
        <v>27872.457142857143</v>
      </c>
      <c r="M41" s="98">
        <v>99.978234372279303</v>
      </c>
      <c r="N41" s="98">
        <v>5.1593752945337039</v>
      </c>
      <c r="O41" s="99">
        <v>2.1024187837319765E-2</v>
      </c>
      <c r="P41" s="100">
        <v>637.90716157840734</v>
      </c>
    </row>
    <row r="42" spans="1:16" x14ac:dyDescent="0.2">
      <c r="A42" s="17" t="s">
        <v>23</v>
      </c>
      <c r="B42" s="17">
        <v>2022</v>
      </c>
      <c r="C42" s="17" t="str">
        <f t="shared" si="0"/>
        <v>WSH22</v>
      </c>
      <c r="D42" s="95">
        <f t="shared" si="1"/>
        <v>14.196571585940537</v>
      </c>
      <c r="E42" s="95">
        <f t="shared" si="2"/>
        <v>10.237105336427621</v>
      </c>
      <c r="F42" s="96">
        <f t="shared" si="3"/>
        <v>99.978234372279303</v>
      </c>
      <c r="G42" s="96">
        <f t="shared" si="4"/>
        <v>1.6408155052134439</v>
      </c>
      <c r="H42" s="96">
        <f t="shared" si="5"/>
        <v>-3.866587905261258</v>
      </c>
      <c r="I42" s="96">
        <f t="shared" si="6"/>
        <v>6.4667763532562264</v>
      </c>
      <c r="J42" s="96">
        <f t="shared" si="7"/>
        <v>41.819196403033899</v>
      </c>
      <c r="K42" s="97">
        <v>1463836.9376897023</v>
      </c>
      <c r="L42" s="97">
        <v>27920.189285714285</v>
      </c>
      <c r="M42" s="98">
        <v>99.978234372279303</v>
      </c>
      <c r="N42" s="98">
        <v>5.1593752945337039</v>
      </c>
      <c r="O42" s="99">
        <v>2.0929661716647778E-2</v>
      </c>
      <c r="P42" s="100">
        <v>643.40626575007593</v>
      </c>
    </row>
    <row r="43" spans="1:16" x14ac:dyDescent="0.2">
      <c r="A43" s="17" t="s">
        <v>23</v>
      </c>
      <c r="B43" s="17">
        <v>2023</v>
      </c>
      <c r="C43" s="17" t="str">
        <f t="shared" si="0"/>
        <v>WSH23</v>
      </c>
      <c r="D43" s="95">
        <f t="shared" si="1"/>
        <v>14.202156075926624</v>
      </c>
      <c r="E43" s="95">
        <f t="shared" si="2"/>
        <v>10.238741956062823</v>
      </c>
      <c r="F43" s="96">
        <f t="shared" si="3"/>
        <v>99.978234372279303</v>
      </c>
      <c r="G43" s="96">
        <f t="shared" si="4"/>
        <v>1.6408155052134439</v>
      </c>
      <c r="H43" s="96">
        <f t="shared" si="5"/>
        <v>-3.8710980933486052</v>
      </c>
      <c r="I43" s="96">
        <f t="shared" si="6"/>
        <v>6.4755363797562833</v>
      </c>
      <c r="J43" s="96">
        <f t="shared" si="7"/>
        <v>41.932571405547108</v>
      </c>
      <c r="K43" s="97">
        <v>1472034.5889555165</v>
      </c>
      <c r="L43" s="97">
        <v>27965.921428571426</v>
      </c>
      <c r="M43" s="98">
        <v>99.978234372279303</v>
      </c>
      <c r="N43" s="98">
        <v>5.1593752945337039</v>
      </c>
      <c r="O43" s="99">
        <v>2.0835477559489158E-2</v>
      </c>
      <c r="P43" s="100">
        <v>649.06728080807989</v>
      </c>
    </row>
    <row r="44" spans="1:16" x14ac:dyDescent="0.2">
      <c r="A44" s="17" t="s">
        <v>23</v>
      </c>
      <c r="B44" s="17">
        <v>2024</v>
      </c>
      <c r="C44" s="17" t="str">
        <f t="shared" si="0"/>
        <v>WSH24</v>
      </c>
      <c r="D44" s="95">
        <f t="shared" si="1"/>
        <v>14.207438664822103</v>
      </c>
      <c r="E44" s="95">
        <f t="shared" si="2"/>
        <v>10.240625766324902</v>
      </c>
      <c r="F44" s="96">
        <f t="shared" si="3"/>
        <v>99.978234372279303</v>
      </c>
      <c r="G44" s="96">
        <f t="shared" si="4"/>
        <v>1.6408155052134439</v>
      </c>
      <c r="H44" s="96">
        <f t="shared" si="5"/>
        <v>-3.8756123177812176</v>
      </c>
      <c r="I44" s="96">
        <f t="shared" si="6"/>
        <v>6.4844475535078248</v>
      </c>
      <c r="J44" s="96">
        <f t="shared" si="7"/>
        <v>42.048060074193614</v>
      </c>
      <c r="K44" s="97">
        <v>1479831.3178545269</v>
      </c>
      <c r="L44" s="97">
        <v>28018.653571428571</v>
      </c>
      <c r="M44" s="98">
        <v>99.978234372279303</v>
      </c>
      <c r="N44" s="98">
        <v>5.1593752945337039</v>
      </c>
      <c r="O44" s="99">
        <v>2.0741633513532028E-2</v>
      </c>
      <c r="P44" s="100">
        <v>654.87707974186355</v>
      </c>
    </row>
    <row r="45" spans="1:16" x14ac:dyDescent="0.2">
      <c r="A45" s="17" t="s">
        <v>23</v>
      </c>
      <c r="B45" s="17">
        <v>2025</v>
      </c>
      <c r="C45" s="17" t="str">
        <f t="shared" si="0"/>
        <v>WSH25</v>
      </c>
      <c r="D45" s="95">
        <f t="shared" si="1"/>
        <v>14.212543011276438</v>
      </c>
      <c r="E45" s="95">
        <f t="shared" si="2"/>
        <v>10.242755367679713</v>
      </c>
      <c r="F45" s="96">
        <f t="shared" si="3"/>
        <v>99.978234372279303</v>
      </c>
      <c r="G45" s="96">
        <f t="shared" si="4"/>
        <v>1.6408155052134439</v>
      </c>
      <c r="H45" s="96">
        <f t="shared" si="5"/>
        <v>-3.8801306300381628</v>
      </c>
      <c r="I45" s="96">
        <f t="shared" si="6"/>
        <v>6.4934261066313503</v>
      </c>
      <c r="J45" s="96">
        <f t="shared" si="7"/>
        <v>42.164582602281577</v>
      </c>
      <c r="K45" s="97">
        <v>1487404.2004608649</v>
      </c>
      <c r="L45" s="97">
        <v>28078.385714285712</v>
      </c>
      <c r="M45" s="98">
        <v>99.978234372279303</v>
      </c>
      <c r="N45" s="98">
        <v>5.1593752945337039</v>
      </c>
      <c r="O45" s="99">
        <v>2.0648127739818289E-2</v>
      </c>
      <c r="P45" s="100">
        <v>660.78340383617569</v>
      </c>
    </row>
    <row r="46" spans="1:16" x14ac:dyDescent="0.2">
      <c r="A46" s="17" t="s">
        <v>10</v>
      </c>
      <c r="B46" s="17">
        <v>2021</v>
      </c>
      <c r="C46" s="17" t="str">
        <f t="shared" si="0"/>
        <v>WSX21</v>
      </c>
      <c r="D46" s="95">
        <f t="shared" si="1"/>
        <v>13.355441911058048</v>
      </c>
      <c r="E46" s="95">
        <f t="shared" si="2"/>
        <v>9.3960658759512441</v>
      </c>
      <c r="F46" s="96">
        <f t="shared" si="3"/>
        <v>50.348768906589179</v>
      </c>
      <c r="G46" s="96">
        <f t="shared" si="4"/>
        <v>1.2878955322164101</v>
      </c>
      <c r="H46" s="96">
        <f t="shared" si="5"/>
        <v>-3.7129862062951728</v>
      </c>
      <c r="I46" s="96">
        <f t="shared" si="6"/>
        <v>5.580318610166664</v>
      </c>
      <c r="J46" s="96">
        <f t="shared" si="7"/>
        <v>31.139955790972408</v>
      </c>
      <c r="K46" s="97">
        <v>631240.31132510665</v>
      </c>
      <c r="L46" s="97">
        <v>12040.916966261027</v>
      </c>
      <c r="M46" s="98">
        <v>50.348768906589179</v>
      </c>
      <c r="N46" s="98">
        <v>3.6251495122561375</v>
      </c>
      <c r="O46" s="99">
        <v>2.4404537367289356E-2</v>
      </c>
      <c r="P46" s="100">
        <v>265.1560737501859</v>
      </c>
    </row>
    <row r="47" spans="1:16" x14ac:dyDescent="0.2">
      <c r="A47" s="17" t="s">
        <v>10</v>
      </c>
      <c r="B47" s="17">
        <v>2022</v>
      </c>
      <c r="C47" s="17" t="str">
        <f t="shared" si="0"/>
        <v>WSX22</v>
      </c>
      <c r="D47" s="95">
        <f t="shared" si="1"/>
        <v>13.361975770354928</v>
      </c>
      <c r="E47" s="95">
        <f t="shared" si="2"/>
        <v>9.3994318090124942</v>
      </c>
      <c r="F47" s="96">
        <f t="shared" si="3"/>
        <v>50.858485039145705</v>
      </c>
      <c r="G47" s="96">
        <f t="shared" si="4"/>
        <v>1.2878955322164101</v>
      </c>
      <c r="H47" s="96">
        <f t="shared" si="5"/>
        <v>-3.7113759632449042</v>
      </c>
      <c r="I47" s="96">
        <f t="shared" si="6"/>
        <v>5.5848297318601645</v>
      </c>
      <c r="J47" s="96">
        <f t="shared" si="7"/>
        <v>31.190323133869278</v>
      </c>
      <c r="K47" s="97">
        <v>635378.25033630035</v>
      </c>
      <c r="L47" s="97">
        <v>12081.514172175459</v>
      </c>
      <c r="M47" s="98">
        <v>50.858485039145705</v>
      </c>
      <c r="N47" s="98">
        <v>3.6251495122561375</v>
      </c>
      <c r="O47" s="99">
        <v>2.4443866260020229E-2</v>
      </c>
      <c r="P47" s="100">
        <v>266.35492712028952</v>
      </c>
    </row>
    <row r="48" spans="1:16" x14ac:dyDescent="0.2">
      <c r="A48" s="17" t="s">
        <v>10</v>
      </c>
      <c r="B48" s="17">
        <v>2023</v>
      </c>
      <c r="C48" s="17" t="str">
        <f t="shared" si="0"/>
        <v>WSX23</v>
      </c>
      <c r="D48" s="95">
        <f t="shared" si="1"/>
        <v>13.369932542169407</v>
      </c>
      <c r="E48" s="95">
        <f t="shared" si="2"/>
        <v>9.4027864505642107</v>
      </c>
      <c r="F48" s="96">
        <f t="shared" si="3"/>
        <v>51.363004849182929</v>
      </c>
      <c r="G48" s="96">
        <f t="shared" si="4"/>
        <v>1.2878955322164101</v>
      </c>
      <c r="H48" s="96">
        <f t="shared" si="5"/>
        <v>-3.7097779316569177</v>
      </c>
      <c r="I48" s="96">
        <f t="shared" si="6"/>
        <v>5.589264883697532</v>
      </c>
      <c r="J48" s="96">
        <f t="shared" si="7"/>
        <v>31.239881940134385</v>
      </c>
      <c r="K48" s="97">
        <v>640453.9765088337</v>
      </c>
      <c r="L48" s="97">
        <v>12122.11137808989</v>
      </c>
      <c r="M48" s="98">
        <v>51.363004849182929</v>
      </c>
      <c r="N48" s="98">
        <v>3.6251495122561375</v>
      </c>
      <c r="O48" s="99">
        <v>2.4482959558279609E-2</v>
      </c>
      <c r="P48" s="100">
        <v>267.53887521874719</v>
      </c>
    </row>
    <row r="49" spans="1:16" x14ac:dyDescent="0.2">
      <c r="A49" s="17" t="s">
        <v>10</v>
      </c>
      <c r="B49" s="17">
        <v>2024</v>
      </c>
      <c r="C49" s="17" t="str">
        <f t="shared" si="0"/>
        <v>WSX24</v>
      </c>
      <c r="D49" s="95">
        <f t="shared" si="1"/>
        <v>13.377622058911028</v>
      </c>
      <c r="E49" s="95">
        <f t="shared" si="2"/>
        <v>9.4061298761111782</v>
      </c>
      <c r="F49" s="96">
        <f t="shared" si="3"/>
        <v>51.862407394911955</v>
      </c>
      <c r="G49" s="96">
        <f t="shared" si="4"/>
        <v>1.2878955322164101</v>
      </c>
      <c r="H49" s="96">
        <f t="shared" si="5"/>
        <v>-3.7081919711279689</v>
      </c>
      <c r="I49" s="96">
        <f t="shared" si="6"/>
        <v>5.5937182426740417</v>
      </c>
      <c r="J49" s="96">
        <f t="shared" si="7"/>
        <v>31.289683778424369</v>
      </c>
      <c r="K49" s="97">
        <v>645397.74130469095</v>
      </c>
      <c r="L49" s="97">
        <v>12162.708584004322</v>
      </c>
      <c r="M49" s="98">
        <v>51.862407394911955</v>
      </c>
      <c r="N49" s="98">
        <v>3.6251495122561375</v>
      </c>
      <c r="O49" s="99">
        <v>2.4521819372691551E-2</v>
      </c>
      <c r="P49" s="100">
        <v>268.73297878268562</v>
      </c>
    </row>
    <row r="50" spans="1:16" x14ac:dyDescent="0.2">
      <c r="A50" s="17" t="s">
        <v>10</v>
      </c>
      <c r="B50" s="17">
        <v>2025</v>
      </c>
      <c r="C50" s="17" t="str">
        <f t="shared" si="0"/>
        <v>WSX25</v>
      </c>
      <c r="D50" s="95">
        <f t="shared" si="1"/>
        <v>13.385139528811855</v>
      </c>
      <c r="E50" s="95">
        <f t="shared" si="2"/>
        <v>9.4094621604033701</v>
      </c>
      <c r="F50" s="96">
        <f t="shared" si="3"/>
        <v>52.356770138886375</v>
      </c>
      <c r="G50" s="96">
        <f t="shared" si="4"/>
        <v>1.2878955322164101</v>
      </c>
      <c r="H50" s="96">
        <f t="shared" si="5"/>
        <v>-3.7066179434286939</v>
      </c>
      <c r="I50" s="96">
        <f t="shared" si="6"/>
        <v>5.5982555484721379</v>
      </c>
      <c r="J50" s="96">
        <f t="shared" si="7"/>
        <v>31.340465185999079</v>
      </c>
      <c r="K50" s="97">
        <v>650267.78165512078</v>
      </c>
      <c r="L50" s="97">
        <v>12203.305789918755</v>
      </c>
      <c r="M50" s="98">
        <v>52.356770138886375</v>
      </c>
      <c r="N50" s="98">
        <v>3.6251495122561375</v>
      </c>
      <c r="O50" s="99">
        <v>2.4560447788743847E-2</v>
      </c>
      <c r="P50" s="100">
        <v>269.95507289619133</v>
      </c>
    </row>
    <row r="51" spans="1:16" x14ac:dyDescent="0.2">
      <c r="A51" s="17" t="s">
        <v>11</v>
      </c>
      <c r="B51" s="17">
        <v>2021</v>
      </c>
      <c r="C51" s="17" t="str">
        <f t="shared" si="0"/>
        <v>YKY21</v>
      </c>
      <c r="D51" s="95">
        <f t="shared" si="1"/>
        <v>14.665972986335142</v>
      </c>
      <c r="E51" s="95">
        <f t="shared" si="2"/>
        <v>10.371934703240212</v>
      </c>
      <c r="F51" s="96">
        <f t="shared" si="3"/>
        <v>95.791036252508633</v>
      </c>
      <c r="G51" s="96">
        <f t="shared" si="4"/>
        <v>1.5542448407991931</v>
      </c>
      <c r="H51" s="96">
        <f t="shared" si="5"/>
        <v>-4.1062347978951976</v>
      </c>
      <c r="I51" s="96">
        <f t="shared" si="6"/>
        <v>6.9912898961649672</v>
      </c>
      <c r="J51" s="96">
        <f t="shared" si="7"/>
        <v>48.878134412218358</v>
      </c>
      <c r="K51" s="97">
        <v>2340729.0212017358</v>
      </c>
      <c r="L51" s="97">
        <v>31950.231428571431</v>
      </c>
      <c r="M51" s="98">
        <v>95.791036252508633</v>
      </c>
      <c r="N51" s="98">
        <v>4.7315121307915931</v>
      </c>
      <c r="O51" s="99">
        <v>1.646966956401482E-2</v>
      </c>
      <c r="P51" s="100">
        <v>1087.1228477718885</v>
      </c>
    </row>
    <row r="52" spans="1:16" x14ac:dyDescent="0.2">
      <c r="A52" s="17" t="s">
        <v>11</v>
      </c>
      <c r="B52" s="17">
        <v>2022</v>
      </c>
      <c r="C52" s="17" t="str">
        <f t="shared" si="0"/>
        <v>YKY22</v>
      </c>
      <c r="D52" s="95">
        <f t="shared" si="1"/>
        <v>14.67022112344854</v>
      </c>
      <c r="E52" s="95">
        <f t="shared" si="2"/>
        <v>10.374808895804561</v>
      </c>
      <c r="F52" s="96">
        <f t="shared" si="3"/>
        <v>96.024379205426541</v>
      </c>
      <c r="G52" s="96">
        <f t="shared" si="4"/>
        <v>1.5542448407991931</v>
      </c>
      <c r="H52" s="96">
        <f t="shared" si="5"/>
        <v>-4.1110994119697049</v>
      </c>
      <c r="I52" s="96">
        <f t="shared" si="6"/>
        <v>6.994611557510841</v>
      </c>
      <c r="J52" s="96">
        <f t="shared" si="7"/>
        <v>48.924590840464234</v>
      </c>
      <c r="K52" s="97">
        <v>2350693.9101503165</v>
      </c>
      <c r="L52" s="97">
        <v>32042.194642857143</v>
      </c>
      <c r="M52" s="98">
        <v>96.024379205426541</v>
      </c>
      <c r="N52" s="98">
        <v>4.7315121307915931</v>
      </c>
      <c r="O52" s="99">
        <v>1.6389745535042591E-2</v>
      </c>
      <c r="P52" s="100">
        <v>1090.7399057086025</v>
      </c>
    </row>
    <row r="53" spans="1:16" x14ac:dyDescent="0.2">
      <c r="A53" s="17" t="s">
        <v>11</v>
      </c>
      <c r="B53" s="17">
        <v>2023</v>
      </c>
      <c r="C53" s="17" t="str">
        <f t="shared" si="0"/>
        <v>YKY23</v>
      </c>
      <c r="D53" s="95">
        <f t="shared" si="1"/>
        <v>14.675304552727527</v>
      </c>
      <c r="E53" s="95">
        <f t="shared" si="2"/>
        <v>10.377659291168207</v>
      </c>
      <c r="F53" s="96">
        <f t="shared" si="3"/>
        <v>96.254830456085188</v>
      </c>
      <c r="G53" s="96">
        <f t="shared" si="4"/>
        <v>1.5542448407991931</v>
      </c>
      <c r="H53" s="96">
        <f t="shared" si="5"/>
        <v>-4.1159648931876687</v>
      </c>
      <c r="I53" s="96">
        <f t="shared" si="6"/>
        <v>6.9977754504698515</v>
      </c>
      <c r="J53" s="96">
        <f t="shared" si="7"/>
        <v>48.968861255198533</v>
      </c>
      <c r="K53" s="97">
        <v>2362673.9203682658</v>
      </c>
      <c r="L53" s="97">
        <v>32133.657857142854</v>
      </c>
      <c r="M53" s="98">
        <v>96.254830456085188</v>
      </c>
      <c r="N53" s="98">
        <v>4.7315121307915931</v>
      </c>
      <c r="O53" s="99">
        <v>1.6310195218193105E-2</v>
      </c>
      <c r="P53" s="100">
        <v>1094.1963550509363</v>
      </c>
    </row>
    <row r="54" spans="1:16" x14ac:dyDescent="0.2">
      <c r="A54" s="17" t="s">
        <v>11</v>
      </c>
      <c r="B54" s="17">
        <v>2024</v>
      </c>
      <c r="C54" s="17" t="str">
        <f t="shared" si="0"/>
        <v>YKY24</v>
      </c>
      <c r="D54" s="95">
        <f t="shared" si="1"/>
        <v>14.680176658147047</v>
      </c>
      <c r="E54" s="95">
        <f t="shared" si="2"/>
        <v>10.380517100590746</v>
      </c>
      <c r="F54" s="96">
        <f t="shared" si="3"/>
        <v>96.482443426592951</v>
      </c>
      <c r="G54" s="96">
        <f t="shared" si="4"/>
        <v>1.5542448407991931</v>
      </c>
      <c r="H54" s="96">
        <f t="shared" si="5"/>
        <v>-4.1208312993870964</v>
      </c>
      <c r="I54" s="96">
        <f t="shared" si="6"/>
        <v>7.0010019870815556</v>
      </c>
      <c r="J54" s="96">
        <f t="shared" si="7"/>
        <v>49.014028823119894</v>
      </c>
      <c r="K54" s="97">
        <v>2374213.2042579888</v>
      </c>
      <c r="L54" s="97">
        <v>32225.62107142857</v>
      </c>
      <c r="M54" s="98">
        <v>96.482443426592951</v>
      </c>
      <c r="N54" s="98">
        <v>4.7315121307915931</v>
      </c>
      <c r="O54" s="99">
        <v>1.6231015998451857E-2</v>
      </c>
      <c r="P54" s="100">
        <v>1097.7325213681636</v>
      </c>
    </row>
    <row r="55" spans="1:16" x14ac:dyDescent="0.2">
      <c r="A55" s="17" t="s">
        <v>11</v>
      </c>
      <c r="B55" s="17">
        <v>2025</v>
      </c>
      <c r="C55" s="17" t="str">
        <f t="shared" si="0"/>
        <v>YKY25</v>
      </c>
      <c r="D55" s="95">
        <f t="shared" si="1"/>
        <v>14.685015186959063</v>
      </c>
      <c r="E55" s="95">
        <f t="shared" si="2"/>
        <v>10.383351294633403</v>
      </c>
      <c r="F55" s="96">
        <f t="shared" si="3"/>
        <v>96.707270231198976</v>
      </c>
      <c r="G55" s="96">
        <f t="shared" si="4"/>
        <v>1.5542448407991931</v>
      </c>
      <c r="H55" s="96">
        <f t="shared" si="5"/>
        <v>-4.1256986884717994</v>
      </c>
      <c r="I55" s="96">
        <f t="shared" si="6"/>
        <v>7.0042623563168247</v>
      </c>
      <c r="J55" s="96">
        <f t="shared" si="7"/>
        <v>49.059691156116919</v>
      </c>
      <c r="K55" s="97">
        <v>2385728.7399119949</v>
      </c>
      <c r="L55" s="97">
        <v>32317.084285714285</v>
      </c>
      <c r="M55" s="98">
        <v>96.707270231198976</v>
      </c>
      <c r="N55" s="98">
        <v>4.7315121307915931</v>
      </c>
      <c r="O55" s="99">
        <v>1.6152205285145327E-2</v>
      </c>
      <c r="P55" s="100">
        <v>1101.3173755078765</v>
      </c>
    </row>
    <row r="56" spans="1:16" x14ac:dyDescent="0.2">
      <c r="A56" s="17" t="s">
        <v>12</v>
      </c>
      <c r="B56" s="17">
        <v>2021</v>
      </c>
      <c r="C56" s="17" t="str">
        <f t="shared" si="0"/>
        <v>AFW21</v>
      </c>
      <c r="D56" s="95">
        <f t="shared" si="1"/>
        <v>14.245061864203588</v>
      </c>
      <c r="E56" s="95">
        <f t="shared" si="2"/>
        <v>9.7407477420954454</v>
      </c>
      <c r="F56" s="96">
        <f t="shared" si="3"/>
        <v>93.097387262061616</v>
      </c>
      <c r="G56" s="96">
        <f t="shared" si="4"/>
        <v>1.6476331639011872</v>
      </c>
      <c r="H56" s="96">
        <f t="shared" si="5"/>
        <v>-4.1253795921986107</v>
      </c>
      <c r="I56" s="96">
        <f t="shared" si="6"/>
        <v>7.9082523940060971</v>
      </c>
      <c r="J56" s="96">
        <f t="shared" si="7"/>
        <v>62.540455927303164</v>
      </c>
      <c r="K56" s="97">
        <v>1536567.9204107798</v>
      </c>
      <c r="L56" s="97">
        <v>16996.245438641374</v>
      </c>
      <c r="M56" s="98">
        <v>93.097387262061616</v>
      </c>
      <c r="N56" s="98">
        <v>5.1946703323838035</v>
      </c>
      <c r="O56" s="99">
        <v>1.6157360216071469E-2</v>
      </c>
      <c r="P56" s="100">
        <v>2719.6334631264458</v>
      </c>
    </row>
    <row r="57" spans="1:16" x14ac:dyDescent="0.2">
      <c r="A57" s="17" t="s">
        <v>12</v>
      </c>
      <c r="B57" s="17">
        <v>2022</v>
      </c>
      <c r="C57" s="17" t="str">
        <f t="shared" si="0"/>
        <v>AFW22</v>
      </c>
      <c r="D57" s="95">
        <f t="shared" si="1"/>
        <v>14.252112119975335</v>
      </c>
      <c r="E57" s="95">
        <f t="shared" si="2"/>
        <v>9.7436272033519025</v>
      </c>
      <c r="F57" s="96">
        <f t="shared" si="3"/>
        <v>93.097387262061616</v>
      </c>
      <c r="G57" s="96">
        <f t="shared" si="4"/>
        <v>1.6476331639011872</v>
      </c>
      <c r="H57" s="96">
        <f t="shared" si="5"/>
        <v>-4.133768753456911</v>
      </c>
      <c r="I57" s="96">
        <f t="shared" si="6"/>
        <v>7.9143161793932428</v>
      </c>
      <c r="J57" s="96">
        <f t="shared" si="7"/>
        <v>62.636400587405653</v>
      </c>
      <c r="K57" s="97">
        <v>1547439.3955690572</v>
      </c>
      <c r="L57" s="97">
        <v>17045.255997025764</v>
      </c>
      <c r="M57" s="98">
        <v>93.097387262061616</v>
      </c>
      <c r="N57" s="98">
        <v>5.1946703323838035</v>
      </c>
      <c r="O57" s="99">
        <v>1.6022380490684801E-2</v>
      </c>
      <c r="P57" s="100">
        <v>2736.1748377666581</v>
      </c>
    </row>
    <row r="58" spans="1:16" x14ac:dyDescent="0.2">
      <c r="A58" s="17" t="s">
        <v>12</v>
      </c>
      <c r="B58" s="17">
        <v>2023</v>
      </c>
      <c r="C58" s="17" t="str">
        <f t="shared" si="0"/>
        <v>AFW23</v>
      </c>
      <c r="D58" s="95">
        <f t="shared" si="1"/>
        <v>14.26172382033584</v>
      </c>
      <c r="E58" s="95">
        <f t="shared" si="2"/>
        <v>9.7465861419812185</v>
      </c>
      <c r="F58" s="96">
        <f t="shared" si="3"/>
        <v>93.097387262061616</v>
      </c>
      <c r="G58" s="96">
        <f t="shared" si="4"/>
        <v>1.6476331639011872</v>
      </c>
      <c r="H58" s="96">
        <f t="shared" si="5"/>
        <v>-4.1421799771356644</v>
      </c>
      <c r="I58" s="96">
        <f t="shared" si="6"/>
        <v>7.9198524466318876</v>
      </c>
      <c r="J58" s="96">
        <f t="shared" si="7"/>
        <v>62.724062776421093</v>
      </c>
      <c r="K58" s="97">
        <v>1562384.6288582352</v>
      </c>
      <c r="L58" s="97">
        <v>17095.766555410151</v>
      </c>
      <c r="M58" s="98">
        <v>93.097387262061616</v>
      </c>
      <c r="N58" s="98">
        <v>5.1946703323838035</v>
      </c>
      <c r="O58" s="99">
        <v>1.5888177859905137E-2</v>
      </c>
      <c r="P58" s="100">
        <v>2751.3650425982491</v>
      </c>
    </row>
    <row r="59" spans="1:16" x14ac:dyDescent="0.2">
      <c r="A59" s="17" t="s">
        <v>12</v>
      </c>
      <c r="B59" s="17">
        <v>2024</v>
      </c>
      <c r="C59" s="17" t="str">
        <f t="shared" si="0"/>
        <v>AFW24</v>
      </c>
      <c r="D59" s="95">
        <f t="shared" si="1"/>
        <v>14.270938363016002</v>
      </c>
      <c r="E59" s="95">
        <f t="shared" si="2"/>
        <v>9.7498279170981856</v>
      </c>
      <c r="F59" s="96">
        <f t="shared" si="3"/>
        <v>93.097387262061616</v>
      </c>
      <c r="G59" s="96">
        <f t="shared" si="4"/>
        <v>1.6476331639011872</v>
      </c>
      <c r="H59" s="96">
        <f t="shared" si="5"/>
        <v>-4.1506136491109249</v>
      </c>
      <c r="I59" s="96">
        <f t="shared" si="6"/>
        <v>7.9246031401327599</v>
      </c>
      <c r="J59" s="96">
        <f t="shared" si="7"/>
        <v>62.799334928602001</v>
      </c>
      <c r="K59" s="97">
        <v>1576847.8222236119</v>
      </c>
      <c r="L59" s="97">
        <v>17151.277113794538</v>
      </c>
      <c r="M59" s="98">
        <v>93.097387262061616</v>
      </c>
      <c r="N59" s="98">
        <v>5.1946703323838035</v>
      </c>
      <c r="O59" s="99">
        <v>1.5754745632252831E-2</v>
      </c>
      <c r="P59" s="100">
        <v>2764.4670317503519</v>
      </c>
    </row>
    <row r="60" spans="1:16" x14ac:dyDescent="0.2">
      <c r="A60" s="17" t="s">
        <v>12</v>
      </c>
      <c r="B60" s="17">
        <v>2025</v>
      </c>
      <c r="C60" s="17" t="str">
        <f t="shared" si="0"/>
        <v>AFW25</v>
      </c>
      <c r="D60" s="95">
        <f t="shared" si="1"/>
        <v>14.279966693934149</v>
      </c>
      <c r="E60" s="95">
        <f t="shared" si="2"/>
        <v>9.7526872016277135</v>
      </c>
      <c r="F60" s="96">
        <f t="shared" si="3"/>
        <v>93.097387262061616</v>
      </c>
      <c r="G60" s="96">
        <f t="shared" si="4"/>
        <v>1.6476331639011872</v>
      </c>
      <c r="H60" s="96">
        <f t="shared" si="5"/>
        <v>-4.1590701605148235</v>
      </c>
      <c r="I60" s="96">
        <f t="shared" si="6"/>
        <v>7.9292217396070965</v>
      </c>
      <c r="J60" s="96">
        <f t="shared" si="7"/>
        <v>62.87255739585779</v>
      </c>
      <c r="K60" s="97">
        <v>1591148.5850410517</v>
      </c>
      <c r="L60" s="97">
        <v>17200.387672178927</v>
      </c>
      <c r="M60" s="98">
        <v>93.097387262061616</v>
      </c>
      <c r="N60" s="98">
        <v>5.1946703323838035</v>
      </c>
      <c r="O60" s="99">
        <v>1.5622077192854508E-2</v>
      </c>
      <c r="P60" s="100">
        <v>2777.2645282361864</v>
      </c>
    </row>
    <row r="61" spans="1:16" x14ac:dyDescent="0.2">
      <c r="A61" s="17" t="s">
        <v>13</v>
      </c>
      <c r="B61" s="17">
        <v>2021</v>
      </c>
      <c r="C61" s="17" t="str">
        <f t="shared" si="0"/>
        <v>BRL21</v>
      </c>
      <c r="D61" s="95">
        <f t="shared" si="1"/>
        <v>13.22003399704802</v>
      </c>
      <c r="E61" s="95">
        <f t="shared" si="2"/>
        <v>8.8392269999097959</v>
      </c>
      <c r="F61" s="96">
        <f t="shared" si="3"/>
        <v>98.382419831703416</v>
      </c>
      <c r="G61" s="96">
        <f t="shared" si="4"/>
        <v>1.7341650894584439</v>
      </c>
      <c r="H61" s="96">
        <f t="shared" si="5"/>
        <v>-4.0767440290003094</v>
      </c>
      <c r="I61" s="96">
        <f t="shared" si="6"/>
        <v>7.5644534792286455</v>
      </c>
      <c r="J61" s="96">
        <f t="shared" si="7"/>
        <v>57.220956439414358</v>
      </c>
      <c r="K61" s="97">
        <v>551299.77532889182</v>
      </c>
      <c r="L61" s="97">
        <v>6899.6571428571424</v>
      </c>
      <c r="M61" s="98">
        <v>98.382419831703416</v>
      </c>
      <c r="N61" s="98">
        <v>5.6641967315081558</v>
      </c>
      <c r="O61" s="99">
        <v>1.6962605588852139E-2</v>
      </c>
      <c r="P61" s="100">
        <v>1928.4145723898973</v>
      </c>
    </row>
    <row r="62" spans="1:16" x14ac:dyDescent="0.2">
      <c r="A62" s="17" t="s">
        <v>13</v>
      </c>
      <c r="B62" s="17">
        <v>2022</v>
      </c>
      <c r="C62" s="17" t="str">
        <f t="shared" si="0"/>
        <v>BRL22</v>
      </c>
      <c r="D62" s="95">
        <f t="shared" si="1"/>
        <v>13.228215386267202</v>
      </c>
      <c r="E62" s="95">
        <f t="shared" si="2"/>
        <v>8.8430738201815586</v>
      </c>
      <c r="F62" s="96">
        <f t="shared" si="3"/>
        <v>98.353873964813957</v>
      </c>
      <c r="G62" s="96">
        <f t="shared" si="4"/>
        <v>1.7341650894584439</v>
      </c>
      <c r="H62" s="96">
        <f t="shared" si="5"/>
        <v>-4.0742863635753528</v>
      </c>
      <c r="I62" s="96">
        <f t="shared" si="6"/>
        <v>7.5727175646332157</v>
      </c>
      <c r="J62" s="96">
        <f t="shared" si="7"/>
        <v>57.346051313704422</v>
      </c>
      <c r="K62" s="97">
        <v>555828.67444867943</v>
      </c>
      <c r="L62" s="97">
        <v>6926.25</v>
      </c>
      <c r="M62" s="98">
        <v>98.353873964813957</v>
      </c>
      <c r="N62" s="98">
        <v>5.6641967315081558</v>
      </c>
      <c r="O62" s="99">
        <v>1.7004345268199036E-2</v>
      </c>
      <c r="P62" s="100">
        <v>1944.4171875257127</v>
      </c>
    </row>
    <row r="63" spans="1:16" x14ac:dyDescent="0.2">
      <c r="A63" s="17" t="s">
        <v>13</v>
      </c>
      <c r="B63" s="17">
        <v>2023</v>
      </c>
      <c r="C63" s="17" t="str">
        <f t="shared" si="0"/>
        <v>BRL23</v>
      </c>
      <c r="D63" s="95">
        <f t="shared" si="1"/>
        <v>13.236863459317243</v>
      </c>
      <c r="E63" s="95">
        <f t="shared" si="2"/>
        <v>8.846905899116285</v>
      </c>
      <c r="F63" s="96">
        <f t="shared" si="3"/>
        <v>98.325533181435603</v>
      </c>
      <c r="G63" s="96">
        <f t="shared" si="4"/>
        <v>1.7341650894584439</v>
      </c>
      <c r="H63" s="96">
        <f t="shared" si="5"/>
        <v>-4.0718538862748686</v>
      </c>
      <c r="I63" s="96">
        <f t="shared" si="6"/>
        <v>7.5807253056201747</v>
      </c>
      <c r="J63" s="96">
        <f t="shared" si="7"/>
        <v>57.467396159270088</v>
      </c>
      <c r="K63" s="97">
        <v>560656.36645697628</v>
      </c>
      <c r="L63" s="97">
        <v>6952.8428571428576</v>
      </c>
      <c r="M63" s="98">
        <v>98.325533181435603</v>
      </c>
      <c r="N63" s="98">
        <v>5.6641967315081558</v>
      </c>
      <c r="O63" s="99">
        <v>1.7045758299783279E-2</v>
      </c>
      <c r="P63" s="100">
        <v>1960.050085295321</v>
      </c>
    </row>
    <row r="64" spans="1:16" x14ac:dyDescent="0.2">
      <c r="A64" s="17" t="s">
        <v>13</v>
      </c>
      <c r="B64" s="17">
        <v>2024</v>
      </c>
      <c r="C64" s="17" t="str">
        <f t="shared" si="0"/>
        <v>BRL24</v>
      </c>
      <c r="D64" s="95">
        <f t="shared" si="1"/>
        <v>13.245447861698729</v>
      </c>
      <c r="E64" s="95">
        <f t="shared" si="2"/>
        <v>8.8507233492628856</v>
      </c>
      <c r="F64" s="96">
        <f t="shared" si="3"/>
        <v>98.297395279391282</v>
      </c>
      <c r="G64" s="96">
        <f t="shared" si="4"/>
        <v>1.7341650894584439</v>
      </c>
      <c r="H64" s="96">
        <f t="shared" si="5"/>
        <v>-4.0694462047637794</v>
      </c>
      <c r="I64" s="96">
        <f t="shared" si="6"/>
        <v>7.5885994096930176</v>
      </c>
      <c r="J64" s="96">
        <f t="shared" si="7"/>
        <v>57.586841000793214</v>
      </c>
      <c r="K64" s="97">
        <v>565489.98347792588</v>
      </c>
      <c r="L64" s="97">
        <v>6979.4357142857143</v>
      </c>
      <c r="M64" s="98">
        <v>98.297395279391282</v>
      </c>
      <c r="N64" s="98">
        <v>5.6641967315081558</v>
      </c>
      <c r="O64" s="99">
        <v>1.7086848503095806E-2</v>
      </c>
      <c r="P64" s="100">
        <v>1975.5446464915258</v>
      </c>
    </row>
    <row r="65" spans="1:16" x14ac:dyDescent="0.2">
      <c r="A65" s="17" t="s">
        <v>13</v>
      </c>
      <c r="B65" s="17">
        <v>2025</v>
      </c>
      <c r="C65" s="17" t="str">
        <f t="shared" si="0"/>
        <v>BRL25</v>
      </c>
      <c r="D65" s="95">
        <f t="shared" si="1"/>
        <v>13.254084112141108</v>
      </c>
      <c r="E65" s="95">
        <f t="shared" si="2"/>
        <v>8.8545262818862227</v>
      </c>
      <c r="F65" s="96">
        <f t="shared" si="3"/>
        <v>98.269458087920583</v>
      </c>
      <c r="G65" s="96">
        <f t="shared" si="4"/>
        <v>1.7341650894584439</v>
      </c>
      <c r="H65" s="96">
        <f t="shared" si="5"/>
        <v>-4.0670629349526388</v>
      </c>
      <c r="I65" s="96">
        <f t="shared" si="6"/>
        <v>7.5964774759131677</v>
      </c>
      <c r="J65" s="96">
        <f t="shared" si="7"/>
        <v>57.70647004205609</v>
      </c>
      <c r="K65" s="97">
        <v>570394.84592247347</v>
      </c>
      <c r="L65" s="97">
        <v>7006.028571428571</v>
      </c>
      <c r="M65" s="98">
        <v>98.269458087920583</v>
      </c>
      <c r="N65" s="98">
        <v>5.6641967315081558</v>
      </c>
      <c r="O65" s="99">
        <v>1.7127619638310377E-2</v>
      </c>
      <c r="P65" s="100">
        <v>1991.1695843731068</v>
      </c>
    </row>
    <row r="66" spans="1:16" x14ac:dyDescent="0.2">
      <c r="A66" s="17" t="s">
        <v>14</v>
      </c>
      <c r="B66" s="17">
        <v>2021</v>
      </c>
      <c r="C66" s="17" t="str">
        <f t="shared" si="0"/>
        <v>DVW21</v>
      </c>
      <c r="D66" s="95">
        <f t="shared" si="1"/>
        <v>11.777172334320138</v>
      </c>
      <c r="E66" s="95">
        <f t="shared" si="2"/>
        <v>7.6279051481924274</v>
      </c>
      <c r="F66" s="96">
        <f t="shared" si="3"/>
        <v>100</v>
      </c>
      <c r="G66" s="96">
        <f t="shared" si="4"/>
        <v>1.5837485486149498</v>
      </c>
      <c r="H66" s="96">
        <f t="shared" si="5"/>
        <v>-3.970667292380297</v>
      </c>
      <c r="I66" s="96">
        <f t="shared" si="6"/>
        <v>5.7679310456394868</v>
      </c>
      <c r="J66" s="96">
        <f t="shared" si="7"/>
        <v>33.269028547251821</v>
      </c>
      <c r="K66" s="97">
        <v>130244.96915242387</v>
      </c>
      <c r="L66" s="97">
        <v>2054.7411300000003</v>
      </c>
      <c r="M66" s="98">
        <v>100</v>
      </c>
      <c r="N66" s="98">
        <v>4.8731890017693686</v>
      </c>
      <c r="O66" s="99">
        <v>1.886084323806872E-2</v>
      </c>
      <c r="P66" s="100">
        <v>319.87524027724618</v>
      </c>
    </row>
    <row r="67" spans="1:16" x14ac:dyDescent="0.2">
      <c r="A67" s="17" t="s">
        <v>14</v>
      </c>
      <c r="B67" s="17">
        <v>2022</v>
      </c>
      <c r="C67" s="17" t="str">
        <f t="shared" si="0"/>
        <v>DVW22</v>
      </c>
      <c r="D67" s="95">
        <f t="shared" si="1"/>
        <v>11.782741960045463</v>
      </c>
      <c r="E67" s="95">
        <f t="shared" si="2"/>
        <v>7.6311513055487952</v>
      </c>
      <c r="F67" s="96">
        <f t="shared" si="3"/>
        <v>100</v>
      </c>
      <c r="G67" s="96">
        <f t="shared" si="4"/>
        <v>1.5837485486149498</v>
      </c>
      <c r="H67" s="96">
        <f t="shared" si="5"/>
        <v>-3.9614842513722941</v>
      </c>
      <c r="I67" s="96">
        <f t="shared" si="6"/>
        <v>5.7713541662395293</v>
      </c>
      <c r="J67" s="96">
        <f t="shared" si="7"/>
        <v>33.308528912170374</v>
      </c>
      <c r="K67" s="97">
        <v>130972.40878598308</v>
      </c>
      <c r="L67" s="97">
        <v>2061.4219807142863</v>
      </c>
      <c r="M67" s="98">
        <v>100</v>
      </c>
      <c r="N67" s="98">
        <v>4.8731890017693686</v>
      </c>
      <c r="O67" s="99">
        <v>1.9034840825719927E-2</v>
      </c>
      <c r="P67" s="100">
        <v>320.9720880517396</v>
      </c>
    </row>
    <row r="68" spans="1:16" x14ac:dyDescent="0.2">
      <c r="A68" s="17" t="s">
        <v>14</v>
      </c>
      <c r="B68" s="17">
        <v>2023</v>
      </c>
      <c r="C68" s="17" t="str">
        <f t="shared" si="0"/>
        <v>DVW23</v>
      </c>
      <c r="D68" s="95">
        <f t="shared" si="1"/>
        <v>11.788326804633398</v>
      </c>
      <c r="E68" s="95">
        <f t="shared" si="2"/>
        <v>7.6343869594542415</v>
      </c>
      <c r="F68" s="96">
        <f t="shared" si="3"/>
        <v>100</v>
      </c>
      <c r="G68" s="96">
        <f t="shared" si="4"/>
        <v>1.5837485486149498</v>
      </c>
      <c r="H68" s="96">
        <f t="shared" si="5"/>
        <v>-3.9524432972500652</v>
      </c>
      <c r="I68" s="96">
        <f t="shared" si="6"/>
        <v>5.7746230793606763</v>
      </c>
      <c r="J68" s="96">
        <f t="shared" si="7"/>
        <v>33.346271708684981</v>
      </c>
      <c r="K68" s="97">
        <v>131705.91568885284</v>
      </c>
      <c r="L68" s="97">
        <v>2068.1028314285718</v>
      </c>
      <c r="M68" s="98">
        <v>100</v>
      </c>
      <c r="N68" s="98">
        <v>4.8731890017693686</v>
      </c>
      <c r="O68" s="99">
        <v>1.9207714241120055E-2</v>
      </c>
      <c r="P68" s="100">
        <v>322.02303471270892</v>
      </c>
    </row>
    <row r="69" spans="1:16" x14ac:dyDescent="0.2">
      <c r="A69" s="17" t="s">
        <v>14</v>
      </c>
      <c r="B69" s="17">
        <v>2024</v>
      </c>
      <c r="C69" s="17" t="str">
        <f t="shared" si="0"/>
        <v>DVW24</v>
      </c>
      <c r="D69" s="95">
        <f t="shared" si="1"/>
        <v>11.793812517311196</v>
      </c>
      <c r="E69" s="95">
        <f t="shared" si="2"/>
        <v>7.6376121776607269</v>
      </c>
      <c r="F69" s="96">
        <f t="shared" si="3"/>
        <v>100</v>
      </c>
      <c r="G69" s="96">
        <f t="shared" si="4"/>
        <v>1.5837485486149498</v>
      </c>
      <c r="H69" s="96">
        <f t="shared" si="5"/>
        <v>-3.9435407965277278</v>
      </c>
      <c r="I69" s="96">
        <f t="shared" si="6"/>
        <v>5.77784903848542</v>
      </c>
      <c r="J69" s="96">
        <f t="shared" si="7"/>
        <v>33.383539511526891</v>
      </c>
      <c r="K69" s="97">
        <v>132430.40184490185</v>
      </c>
      <c r="L69" s="97">
        <v>2074.7836821428573</v>
      </c>
      <c r="M69" s="98">
        <v>100</v>
      </c>
      <c r="N69" s="98">
        <v>4.8731890017693686</v>
      </c>
      <c r="O69" s="99">
        <v>1.9379474343849852E-2</v>
      </c>
      <c r="P69" s="100">
        <v>323.06354527983081</v>
      </c>
    </row>
    <row r="70" spans="1:16" x14ac:dyDescent="0.2">
      <c r="A70" s="17" t="s">
        <v>14</v>
      </c>
      <c r="B70" s="17">
        <v>2025</v>
      </c>
      <c r="C70" s="17" t="str">
        <f t="shared" si="0"/>
        <v>DVW25</v>
      </c>
      <c r="D70" s="95">
        <f t="shared" si="1"/>
        <v>11.799127706128997</v>
      </c>
      <c r="E70" s="95">
        <f t="shared" si="2"/>
        <v>7.6408270272667735</v>
      </c>
      <c r="F70" s="96">
        <f t="shared" si="3"/>
        <v>100</v>
      </c>
      <c r="G70" s="96">
        <f t="shared" si="4"/>
        <v>1.5837485486149498</v>
      </c>
      <c r="H70" s="96">
        <f t="shared" si="5"/>
        <v>-3.9347732481199693</v>
      </c>
      <c r="I70" s="96">
        <f t="shared" si="6"/>
        <v>5.7810010212287297</v>
      </c>
      <c r="J70" s="96">
        <f t="shared" si="7"/>
        <v>33.419972807447614</v>
      </c>
      <c r="K70" s="97">
        <v>133136.16841565364</v>
      </c>
      <c r="L70" s="97">
        <v>2081.4645328571432</v>
      </c>
      <c r="M70" s="98">
        <v>100</v>
      </c>
      <c r="N70" s="98">
        <v>4.8731890017693686</v>
      </c>
      <c r="O70" s="99">
        <v>1.9550131854066642E-2</v>
      </c>
      <c r="P70" s="100">
        <v>324.08344250438199</v>
      </c>
    </row>
    <row r="71" spans="1:16" x14ac:dyDescent="0.2">
      <c r="A71" s="17" t="s">
        <v>15</v>
      </c>
      <c r="B71" s="17">
        <v>2021</v>
      </c>
      <c r="C71" s="17" t="str">
        <f t="shared" ref="C71:C105" si="8">A71&amp;RIGHT(B71,2)</f>
        <v>PRT21</v>
      </c>
      <c r="D71" s="95">
        <f t="shared" ref="D71:D90" si="9">LN(K71)</f>
        <v>12.695495929043135</v>
      </c>
      <c r="E71" s="95">
        <f t="shared" ref="E71:E90" si="10">LN(L71)</f>
        <v>8.1228227379565432</v>
      </c>
      <c r="F71" s="96">
        <f t="shared" ref="F71:F90" si="11">M71</f>
        <v>55.212208154553863</v>
      </c>
      <c r="G71" s="96">
        <f t="shared" ref="G71:G90" si="12">LN(N71)</f>
        <v>1.2117850052718315</v>
      </c>
      <c r="H71" s="96">
        <f t="shared" ref="H71:H90" si="13">LN(O71)</f>
        <v>-4.4343945746372606</v>
      </c>
      <c r="I71" s="96">
        <f t="shared" ref="I71:I90" si="14">LN(P71)</f>
        <v>7.9714065425672063</v>
      </c>
      <c r="J71" s="96">
        <f t="shared" ref="J71:J90" si="15">(LN(P71))^2</f>
        <v>63.543322266883258</v>
      </c>
      <c r="K71" s="97">
        <v>326275.02153656719</v>
      </c>
      <c r="L71" s="97">
        <v>3370.5214285714283</v>
      </c>
      <c r="M71" s="98">
        <v>55.212208154553863</v>
      </c>
      <c r="N71" s="98">
        <v>3.3594759860229275</v>
      </c>
      <c r="O71" s="99">
        <v>1.1862245438331151E-2</v>
      </c>
      <c r="P71" s="100">
        <v>2896.9291541456678</v>
      </c>
    </row>
    <row r="72" spans="1:16" x14ac:dyDescent="0.2">
      <c r="A72" s="17" t="s">
        <v>15</v>
      </c>
      <c r="B72" s="17">
        <v>2022</v>
      </c>
      <c r="C72" s="17" t="str">
        <f t="shared" si="8"/>
        <v>PRT22</v>
      </c>
      <c r="D72" s="95">
        <f t="shared" si="9"/>
        <v>12.701290744012418</v>
      </c>
      <c r="E72" s="95">
        <f t="shared" si="10"/>
        <v>8.1263217895485536</v>
      </c>
      <c r="F72" s="96">
        <f t="shared" si="11"/>
        <v>55.212208154553863</v>
      </c>
      <c r="G72" s="96">
        <f t="shared" si="12"/>
        <v>1.2117850052718315</v>
      </c>
      <c r="H72" s="96">
        <f t="shared" si="13"/>
        <v>-4.4381326596293942</v>
      </c>
      <c r="I72" s="96">
        <f t="shared" si="14"/>
        <v>7.9750248804297428</v>
      </c>
      <c r="J72" s="96">
        <f t="shared" si="15"/>
        <v>63.601021843473433</v>
      </c>
      <c r="K72" s="97">
        <v>328171.2136505383</v>
      </c>
      <c r="L72" s="97">
        <v>3382.3357142857139</v>
      </c>
      <c r="M72" s="98">
        <v>55.212208154553863</v>
      </c>
      <c r="N72" s="98">
        <v>3.3594759860229275</v>
      </c>
      <c r="O72" s="99">
        <v>1.1817986130749135E-2</v>
      </c>
      <c r="P72" s="100">
        <v>2907.4302093149845</v>
      </c>
    </row>
    <row r="73" spans="1:16" x14ac:dyDescent="0.2">
      <c r="A73" s="17" t="s">
        <v>15</v>
      </c>
      <c r="B73" s="17">
        <v>2023</v>
      </c>
      <c r="C73" s="17" t="str">
        <f t="shared" si="8"/>
        <v>PRT23</v>
      </c>
      <c r="D73" s="95">
        <f t="shared" si="9"/>
        <v>12.707873386530622</v>
      </c>
      <c r="E73" s="95">
        <f t="shared" si="10"/>
        <v>8.129955941894865</v>
      </c>
      <c r="F73" s="96">
        <f t="shared" si="11"/>
        <v>55.212208154553863</v>
      </c>
      <c r="G73" s="96">
        <f t="shared" si="12"/>
        <v>1.2117850052718315</v>
      </c>
      <c r="H73" s="96">
        <f t="shared" si="13"/>
        <v>-4.4418568233648097</v>
      </c>
      <c r="I73" s="96">
        <f t="shared" si="14"/>
        <v>7.9779635623253178</v>
      </c>
      <c r="J73" s="96">
        <f t="shared" si="15"/>
        <v>63.647902601790477</v>
      </c>
      <c r="K73" s="97">
        <v>330338.57308476535</v>
      </c>
      <c r="L73" s="97">
        <v>3394.6499999999996</v>
      </c>
      <c r="M73" s="98">
        <v>55.212208154553863</v>
      </c>
      <c r="N73" s="98">
        <v>3.3594759860229275</v>
      </c>
      <c r="O73" s="99">
        <v>1.1774055867895095E-2</v>
      </c>
      <c r="P73" s="100">
        <v>2915.9867882077074</v>
      </c>
    </row>
    <row r="74" spans="1:16" x14ac:dyDescent="0.2">
      <c r="A74" s="17" t="s">
        <v>15</v>
      </c>
      <c r="B74" s="17">
        <v>2024</v>
      </c>
      <c r="C74" s="17" t="str">
        <f t="shared" si="8"/>
        <v>PRT24</v>
      </c>
      <c r="D74" s="95">
        <f t="shared" si="9"/>
        <v>12.71433048085931</v>
      </c>
      <c r="E74" s="95">
        <f t="shared" si="10"/>
        <v>8.1335769349862073</v>
      </c>
      <c r="F74" s="96">
        <f t="shared" si="11"/>
        <v>55.212208154553863</v>
      </c>
      <c r="G74" s="96">
        <f t="shared" si="12"/>
        <v>1.2117850052718315</v>
      </c>
      <c r="H74" s="96">
        <f t="shared" si="13"/>
        <v>-4.4455671691490988</v>
      </c>
      <c r="I74" s="96">
        <f t="shared" si="14"/>
        <v>7.9818848074234365</v>
      </c>
      <c r="J74" s="96">
        <f t="shared" si="15"/>
        <v>63.710485078977072</v>
      </c>
      <c r="K74" s="97">
        <v>332478.50183729443</v>
      </c>
      <c r="L74" s="97">
        <v>3406.9642857142853</v>
      </c>
      <c r="M74" s="98">
        <v>55.212208154553863</v>
      </c>
      <c r="N74" s="98">
        <v>3.3594759860229275</v>
      </c>
      <c r="O74" s="99">
        <v>1.173045099394625E-2</v>
      </c>
      <c r="P74" s="100">
        <v>2927.4435347827584</v>
      </c>
    </row>
    <row r="75" spans="1:16" x14ac:dyDescent="0.2">
      <c r="A75" s="17" t="s">
        <v>15</v>
      </c>
      <c r="B75" s="17">
        <v>2025</v>
      </c>
      <c r="C75" s="17" t="str">
        <f t="shared" si="8"/>
        <v>PRT25</v>
      </c>
      <c r="D75" s="95">
        <f t="shared" si="9"/>
        <v>12.721060554187948</v>
      </c>
      <c r="E75" s="95">
        <f t="shared" si="10"/>
        <v>8.1371848637780975</v>
      </c>
      <c r="F75" s="96">
        <f t="shared" si="11"/>
        <v>55.212208154553863</v>
      </c>
      <c r="G75" s="96">
        <f t="shared" si="12"/>
        <v>1.2117850052718315</v>
      </c>
      <c r="H75" s="96">
        <f t="shared" si="13"/>
        <v>-4.4492637991421997</v>
      </c>
      <c r="I75" s="96">
        <f t="shared" si="14"/>
        <v>7.9855790793118091</v>
      </c>
      <c r="J75" s="96">
        <f t="shared" si="15"/>
        <v>63.769473231942442</v>
      </c>
      <c r="K75" s="97">
        <v>334723.6530767972</v>
      </c>
      <c r="L75" s="97">
        <v>3419.2785714285715</v>
      </c>
      <c r="M75" s="98">
        <v>55.212208154553863</v>
      </c>
      <c r="N75" s="98">
        <v>3.3594759860229275</v>
      </c>
      <c r="O75" s="99">
        <v>1.1687167907036927E-2</v>
      </c>
      <c r="P75" s="100">
        <v>2938.2783081149473</v>
      </c>
    </row>
    <row r="76" spans="1:16" x14ac:dyDescent="0.2">
      <c r="A76" s="17" t="s">
        <v>16</v>
      </c>
      <c r="B76" s="17">
        <v>2021</v>
      </c>
      <c r="C76" s="17" t="str">
        <f t="shared" si="8"/>
        <v>SES21</v>
      </c>
      <c r="D76" s="95">
        <f t="shared" si="9"/>
        <v>12.605142428241745</v>
      </c>
      <c r="E76" s="95">
        <f t="shared" si="10"/>
        <v>8.163785353648807</v>
      </c>
      <c r="F76" s="96">
        <f t="shared" si="11"/>
        <v>100</v>
      </c>
      <c r="G76" s="96">
        <f t="shared" si="12"/>
        <v>1.6263922044734989</v>
      </c>
      <c r="H76" s="96">
        <f t="shared" si="13"/>
        <v>-4.6665523512009477</v>
      </c>
      <c r="I76" s="96">
        <f t="shared" si="14"/>
        <v>7.9126454854813355</v>
      </c>
      <c r="J76" s="96">
        <f t="shared" si="15"/>
        <v>62.609958578908163</v>
      </c>
      <c r="K76" s="97">
        <v>298087.52435144474</v>
      </c>
      <c r="L76" s="97">
        <v>3511.4535714285716</v>
      </c>
      <c r="M76" s="98">
        <v>100</v>
      </c>
      <c r="N76" s="98">
        <v>5.0854941587471236</v>
      </c>
      <c r="O76" s="99">
        <v>9.4046375855730401E-3</v>
      </c>
      <c r="P76" s="100">
        <v>2731.607343628019</v>
      </c>
    </row>
    <row r="77" spans="1:16" x14ac:dyDescent="0.2">
      <c r="A77" s="17" t="s">
        <v>16</v>
      </c>
      <c r="B77" s="17">
        <v>2022</v>
      </c>
      <c r="C77" s="17" t="str">
        <f t="shared" si="8"/>
        <v>SES22</v>
      </c>
      <c r="D77" s="95">
        <f t="shared" si="9"/>
        <v>12.612224924961252</v>
      </c>
      <c r="E77" s="95">
        <f t="shared" si="10"/>
        <v>8.1658169396826548</v>
      </c>
      <c r="F77" s="96">
        <f t="shared" si="11"/>
        <v>100</v>
      </c>
      <c r="G77" s="96">
        <f t="shared" si="12"/>
        <v>1.6263922044734989</v>
      </c>
      <c r="H77" s="96">
        <f t="shared" si="13"/>
        <v>-4.6686255314168923</v>
      </c>
      <c r="I77" s="96">
        <f t="shared" si="14"/>
        <v>7.9219542581100022</v>
      </c>
      <c r="J77" s="96">
        <f t="shared" si="15"/>
        <v>62.757359267587198</v>
      </c>
      <c r="K77" s="97">
        <v>300206.22224376508</v>
      </c>
      <c r="L77" s="97">
        <v>3518.5946428571433</v>
      </c>
      <c r="M77" s="98">
        <v>100</v>
      </c>
      <c r="N77" s="98">
        <v>5.0854941587471236</v>
      </c>
      <c r="O77" s="99">
        <v>9.3851602739572961E-3</v>
      </c>
      <c r="P77" s="100">
        <v>2757.1539747161469</v>
      </c>
    </row>
    <row r="78" spans="1:16" x14ac:dyDescent="0.2">
      <c r="A78" s="17" t="s">
        <v>16</v>
      </c>
      <c r="B78" s="17">
        <v>2023</v>
      </c>
      <c r="C78" s="17" t="str">
        <f t="shared" si="8"/>
        <v>SES23</v>
      </c>
      <c r="D78" s="95">
        <f t="shared" si="9"/>
        <v>12.621772045143652</v>
      </c>
      <c r="E78" s="95">
        <f t="shared" si="10"/>
        <v>8.168269759385332</v>
      </c>
      <c r="F78" s="96">
        <f t="shared" si="11"/>
        <v>100</v>
      </c>
      <c r="G78" s="96">
        <f t="shared" si="12"/>
        <v>1.6263922044734989</v>
      </c>
      <c r="H78" s="96">
        <f t="shared" si="13"/>
        <v>-4.670694422447351</v>
      </c>
      <c r="I78" s="96">
        <f t="shared" si="14"/>
        <v>7.9305837507432804</v>
      </c>
      <c r="J78" s="96">
        <f t="shared" si="15"/>
        <v>62.89415862755336</v>
      </c>
      <c r="K78" s="97">
        <v>303086.05229475518</v>
      </c>
      <c r="L78" s="97">
        <v>3527.2357142857145</v>
      </c>
      <c r="M78" s="98">
        <v>100</v>
      </c>
      <c r="N78" s="98">
        <v>5.0854941587471236</v>
      </c>
      <c r="O78" s="99">
        <v>9.3657634719006809E-3</v>
      </c>
      <c r="P78" s="100">
        <v>2781.0497706377655</v>
      </c>
    </row>
    <row r="79" spans="1:16" x14ac:dyDescent="0.2">
      <c r="A79" s="17" t="s">
        <v>16</v>
      </c>
      <c r="B79" s="17">
        <v>2024</v>
      </c>
      <c r="C79" s="17" t="str">
        <f t="shared" si="8"/>
        <v>SES24</v>
      </c>
      <c r="D79" s="95">
        <f t="shared" si="9"/>
        <v>12.630759536151571</v>
      </c>
      <c r="E79" s="95">
        <f t="shared" si="10"/>
        <v>8.1704337221968366</v>
      </c>
      <c r="F79" s="96">
        <f t="shared" si="11"/>
        <v>100</v>
      </c>
      <c r="G79" s="96">
        <f t="shared" si="12"/>
        <v>1.6263922044734989</v>
      </c>
      <c r="H79" s="96">
        <f t="shared" si="13"/>
        <v>-4.672759042003408</v>
      </c>
      <c r="I79" s="96">
        <f t="shared" si="14"/>
        <v>7.9387976971428094</v>
      </c>
      <c r="J79" s="96">
        <f t="shared" si="15"/>
        <v>63.02450887615997</v>
      </c>
      <c r="K79" s="97">
        <v>305822.3131056666</v>
      </c>
      <c r="L79" s="97">
        <v>3534.8767857142857</v>
      </c>
      <c r="M79" s="98">
        <v>100</v>
      </c>
      <c r="N79" s="98">
        <v>5.0854941587471236</v>
      </c>
      <c r="O79" s="99">
        <v>9.3464466812527864E-3</v>
      </c>
      <c r="P79" s="100">
        <v>2803.9872389923125</v>
      </c>
    </row>
    <row r="80" spans="1:16" x14ac:dyDescent="0.2">
      <c r="A80" s="17" t="s">
        <v>16</v>
      </c>
      <c r="B80" s="17">
        <v>2025</v>
      </c>
      <c r="C80" s="17" t="str">
        <f t="shared" si="8"/>
        <v>SES25</v>
      </c>
      <c r="D80" s="95">
        <f t="shared" si="9"/>
        <v>12.639536070165541</v>
      </c>
      <c r="E80" s="95">
        <f t="shared" si="10"/>
        <v>8.1725930123828601</v>
      </c>
      <c r="F80" s="96">
        <f t="shared" si="11"/>
        <v>100</v>
      </c>
      <c r="G80" s="96">
        <f t="shared" si="12"/>
        <v>1.6263922044734989</v>
      </c>
      <c r="H80" s="96">
        <f t="shared" si="13"/>
        <v>-4.6748194076866749</v>
      </c>
      <c r="I80" s="96">
        <f t="shared" si="14"/>
        <v>7.9464279465160477</v>
      </c>
      <c r="J80" s="96">
        <f t="shared" si="15"/>
        <v>63.145717109171251</v>
      </c>
      <c r="K80" s="97">
        <v>308518.18594401691</v>
      </c>
      <c r="L80" s="97">
        <v>3542.5178571428573</v>
      </c>
      <c r="M80" s="98">
        <v>100</v>
      </c>
      <c r="N80" s="98">
        <v>5.0854941587471236</v>
      </c>
      <c r="O80" s="99">
        <v>9.3272094079644673E-3</v>
      </c>
      <c r="P80" s="100">
        <v>2825.4641939259736</v>
      </c>
    </row>
    <row r="81" spans="1:16" x14ac:dyDescent="0.2">
      <c r="A81" s="17" t="s">
        <v>17</v>
      </c>
      <c r="B81" s="17">
        <v>2021</v>
      </c>
      <c r="C81" s="17" t="str">
        <f t="shared" si="8"/>
        <v>SEW21</v>
      </c>
      <c r="D81" s="95">
        <f t="shared" si="9"/>
        <v>13.8549093819364</v>
      </c>
      <c r="E81" s="95">
        <f t="shared" si="10"/>
        <v>9.6055405991299949</v>
      </c>
      <c r="F81" s="96">
        <f t="shared" si="11"/>
        <v>90.780507616785215</v>
      </c>
      <c r="G81" s="96">
        <f t="shared" si="12"/>
        <v>1.5131205638822638</v>
      </c>
      <c r="H81" s="96">
        <f t="shared" si="13"/>
        <v>-4.1004171419776281</v>
      </c>
      <c r="I81" s="96">
        <f t="shared" si="14"/>
        <v>6.5678035532876615</v>
      </c>
      <c r="J81" s="96">
        <f t="shared" si="15"/>
        <v>43.136043514578034</v>
      </c>
      <c r="K81" s="97">
        <v>1040185.2517487793</v>
      </c>
      <c r="L81" s="97">
        <v>14846.81434699772</v>
      </c>
      <c r="M81" s="98">
        <v>90.780507616785215</v>
      </c>
      <c r="N81" s="98">
        <v>4.540878810348624</v>
      </c>
      <c r="O81" s="99">
        <v>1.6565763684853418E-2</v>
      </c>
      <c r="P81" s="100">
        <v>711.80468381000549</v>
      </c>
    </row>
    <row r="82" spans="1:16" x14ac:dyDescent="0.2">
      <c r="A82" s="17" t="s">
        <v>17</v>
      </c>
      <c r="B82" s="17">
        <v>2022</v>
      </c>
      <c r="C82" s="17" t="str">
        <f t="shared" si="8"/>
        <v>SEW22</v>
      </c>
      <c r="D82" s="95">
        <f t="shared" si="9"/>
        <v>13.86289891680803</v>
      </c>
      <c r="E82" s="95">
        <f t="shared" si="10"/>
        <v>9.6100277084374497</v>
      </c>
      <c r="F82" s="96">
        <f t="shared" si="11"/>
        <v>91.701168653591509</v>
      </c>
      <c r="G82" s="96">
        <f t="shared" si="12"/>
        <v>1.5131205638822638</v>
      </c>
      <c r="H82" s="96">
        <f t="shared" si="13"/>
        <v>-4.1011550404081394</v>
      </c>
      <c r="I82" s="96">
        <f t="shared" si="14"/>
        <v>6.5728298393592999</v>
      </c>
      <c r="J82" s="96">
        <f t="shared" si="15"/>
        <v>43.202092097171999</v>
      </c>
      <c r="K82" s="97">
        <v>1048529.1355816894</v>
      </c>
      <c r="L82" s="97">
        <v>14913.583313638006</v>
      </c>
      <c r="M82" s="98">
        <v>91.701168653591509</v>
      </c>
      <c r="N82" s="98">
        <v>4.540878810348624</v>
      </c>
      <c r="O82" s="99">
        <v>1.6553544342701291E-2</v>
      </c>
      <c r="P82" s="100">
        <v>715.39142421849851</v>
      </c>
    </row>
    <row r="83" spans="1:16" x14ac:dyDescent="0.2">
      <c r="A83" s="17" t="s">
        <v>17</v>
      </c>
      <c r="B83" s="17">
        <v>2023</v>
      </c>
      <c r="C83" s="17" t="str">
        <f t="shared" si="8"/>
        <v>SEW23</v>
      </c>
      <c r="D83" s="95">
        <f t="shared" si="9"/>
        <v>13.872221406311017</v>
      </c>
      <c r="E83" s="95">
        <f t="shared" si="10"/>
        <v>9.614682652365854</v>
      </c>
      <c r="F83" s="96">
        <f t="shared" si="11"/>
        <v>92.625340714737106</v>
      </c>
      <c r="G83" s="96">
        <f t="shared" si="12"/>
        <v>1.5131205638822638</v>
      </c>
      <c r="H83" s="96">
        <f t="shared" si="13"/>
        <v>-4.1018891769764672</v>
      </c>
      <c r="I83" s="96">
        <f t="shared" si="14"/>
        <v>6.5780190001133096</v>
      </c>
      <c r="J83" s="96">
        <f t="shared" si="15"/>
        <v>43.270333965851705</v>
      </c>
      <c r="K83" s="97">
        <v>1058349.742569834</v>
      </c>
      <c r="L83" s="97">
        <v>14983.167036250243</v>
      </c>
      <c r="M83" s="98">
        <v>92.625340714737106</v>
      </c>
      <c r="N83" s="98">
        <v>4.540878810348624</v>
      </c>
      <c r="O83" s="99">
        <v>1.6541396240192626E-2</v>
      </c>
      <c r="P83" s="100">
        <v>719.11335381448532</v>
      </c>
    </row>
    <row r="84" spans="1:16" x14ac:dyDescent="0.2">
      <c r="A84" s="17" t="s">
        <v>17</v>
      </c>
      <c r="B84" s="17">
        <v>2024</v>
      </c>
      <c r="C84" s="17" t="str">
        <f t="shared" si="8"/>
        <v>SEW24</v>
      </c>
      <c r="D84" s="95">
        <f t="shared" si="9"/>
        <v>13.88110477659815</v>
      </c>
      <c r="E84" s="95">
        <f t="shared" si="10"/>
        <v>9.619056889508224</v>
      </c>
      <c r="F84" s="96">
        <f t="shared" si="11"/>
        <v>93.553043923006513</v>
      </c>
      <c r="G84" s="96">
        <f t="shared" si="12"/>
        <v>1.5131205638822638</v>
      </c>
      <c r="H84" s="96">
        <f t="shared" si="13"/>
        <v>-4.1026195805731875</v>
      </c>
      <c r="I84" s="96">
        <f t="shared" si="14"/>
        <v>6.5826491883698699</v>
      </c>
      <c r="J84" s="96">
        <f t="shared" si="15"/>
        <v>43.331270337146506</v>
      </c>
      <c r="K84" s="97">
        <v>1067793.3386037902</v>
      </c>
      <c r="L84" s="97">
        <v>15048.850514834377</v>
      </c>
      <c r="M84" s="98">
        <v>93.553043923006513</v>
      </c>
      <c r="N84" s="98">
        <v>4.540878810348624</v>
      </c>
      <c r="O84" s="99">
        <v>1.6529318756139846E-2</v>
      </c>
      <c r="P84" s="100">
        <v>722.45070433870251</v>
      </c>
    </row>
    <row r="85" spans="1:16" x14ac:dyDescent="0.2">
      <c r="A85" s="17" t="s">
        <v>17</v>
      </c>
      <c r="B85" s="17">
        <v>2025</v>
      </c>
      <c r="C85" s="17" t="str">
        <f t="shared" si="8"/>
        <v>SEW25</v>
      </c>
      <c r="D85" s="95">
        <f t="shared" si="9"/>
        <v>13.889883746300727</v>
      </c>
      <c r="E85" s="95">
        <f t="shared" si="10"/>
        <v>9.6260040733718668</v>
      </c>
      <c r="F85" s="96">
        <f t="shared" si="11"/>
        <v>94.484298555251925</v>
      </c>
      <c r="G85" s="96">
        <f t="shared" si="12"/>
        <v>1.5131205638822638</v>
      </c>
      <c r="H85" s="96">
        <f t="shared" si="13"/>
        <v>-4.1033462797918299</v>
      </c>
      <c r="I85" s="96">
        <f t="shared" si="14"/>
        <v>6.5873949904857616</v>
      </c>
      <c r="J85" s="96">
        <f t="shared" si="15"/>
        <v>43.39377276067691</v>
      </c>
      <c r="K85" s="97">
        <v>1077208.732229165</v>
      </c>
      <c r="L85" s="97">
        <v>15153.761642798414</v>
      </c>
      <c r="M85" s="98">
        <v>94.484298555251925</v>
      </c>
      <c r="N85" s="98">
        <v>4.540878810348624</v>
      </c>
      <c r="O85" s="99">
        <v>1.6517311276556507E-2</v>
      </c>
      <c r="P85" s="100">
        <v>725.887461053224</v>
      </c>
    </row>
    <row r="86" spans="1:16" x14ac:dyDescent="0.2">
      <c r="A86" s="17" t="s">
        <v>18</v>
      </c>
      <c r="B86" s="17">
        <v>2021</v>
      </c>
      <c r="C86" s="17" t="str">
        <f t="shared" si="8"/>
        <v>SSC21</v>
      </c>
      <c r="D86" s="95">
        <f t="shared" si="9"/>
        <v>13.524598454301746</v>
      </c>
      <c r="E86" s="95">
        <f t="shared" si="10"/>
        <v>9.0662415855012135</v>
      </c>
      <c r="F86" s="96">
        <f t="shared" si="11"/>
        <v>70.898233536857802</v>
      </c>
      <c r="G86" s="96">
        <f t="shared" si="12"/>
        <v>1.4638181037625517</v>
      </c>
      <c r="H86" s="96">
        <f t="shared" si="13"/>
        <v>-4.3354506787074918</v>
      </c>
      <c r="I86" s="96">
        <f t="shared" si="14"/>
        <v>7.7327670212931361</v>
      </c>
      <c r="J86" s="96">
        <f t="shared" si="15"/>
        <v>59.795685805598723</v>
      </c>
      <c r="K86" s="97">
        <v>747581.38479604176</v>
      </c>
      <c r="L86" s="97">
        <v>8658.0221428571422</v>
      </c>
      <c r="M86" s="98">
        <v>70.898233536857802</v>
      </c>
      <c r="N86" s="98">
        <v>4.3224315545637708</v>
      </c>
      <c r="O86" s="99">
        <v>1.3095970667688162E-2</v>
      </c>
      <c r="P86" s="100">
        <v>2281.9075600402284</v>
      </c>
    </row>
    <row r="87" spans="1:16" x14ac:dyDescent="0.2">
      <c r="A87" s="17" t="s">
        <v>18</v>
      </c>
      <c r="B87" s="17">
        <v>2022</v>
      </c>
      <c r="C87" s="17" t="str">
        <f t="shared" si="8"/>
        <v>SSC22</v>
      </c>
      <c r="D87" s="95">
        <f t="shared" si="9"/>
        <v>13.529199570529217</v>
      </c>
      <c r="E87" s="95">
        <f t="shared" si="10"/>
        <v>9.0721179528552902</v>
      </c>
      <c r="F87" s="96">
        <f t="shared" si="11"/>
        <v>70.898233536857802</v>
      </c>
      <c r="G87" s="96">
        <f t="shared" si="12"/>
        <v>1.4638181037625517</v>
      </c>
      <c r="H87" s="96">
        <f t="shared" si="13"/>
        <v>-4.3341818133752374</v>
      </c>
      <c r="I87" s="96">
        <f t="shared" si="14"/>
        <v>7.7374546093727572</v>
      </c>
      <c r="J87" s="96">
        <f t="shared" si="15"/>
        <v>59.868203832103724</v>
      </c>
      <c r="K87" s="97">
        <v>751029.01903763274</v>
      </c>
      <c r="L87" s="97">
        <v>8709.0496428571423</v>
      </c>
      <c r="M87" s="98">
        <v>70.898233536857802</v>
      </c>
      <c r="N87" s="98">
        <v>4.3224315545637708</v>
      </c>
      <c r="O87" s="99">
        <v>1.3112598237703291E-2</v>
      </c>
      <c r="P87" s="100">
        <v>2292.6293126645219</v>
      </c>
    </row>
    <row r="88" spans="1:16" x14ac:dyDescent="0.2">
      <c r="A88" s="17" t="s">
        <v>18</v>
      </c>
      <c r="B88" s="17">
        <v>2023</v>
      </c>
      <c r="C88" s="17" t="str">
        <f t="shared" si="8"/>
        <v>SSC23</v>
      </c>
      <c r="D88" s="95">
        <f t="shared" si="9"/>
        <v>13.535243415155472</v>
      </c>
      <c r="E88" s="95">
        <f t="shared" si="10"/>
        <v>9.0778161454589466</v>
      </c>
      <c r="F88" s="96">
        <f t="shared" si="11"/>
        <v>70.898233536857802</v>
      </c>
      <c r="G88" s="96">
        <f t="shared" si="12"/>
        <v>1.4638181037625517</v>
      </c>
      <c r="H88" s="96">
        <f t="shared" si="13"/>
        <v>-4.3329225437157</v>
      </c>
      <c r="I88" s="96">
        <f t="shared" si="14"/>
        <v>7.7419735308645183</v>
      </c>
      <c r="J88" s="96">
        <f t="shared" si="15"/>
        <v>59.93815415260682</v>
      </c>
      <c r="K88" s="97">
        <v>755581.8662301437</v>
      </c>
      <c r="L88" s="97">
        <v>8758.8171428571441</v>
      </c>
      <c r="M88" s="98">
        <v>70.898233536857802</v>
      </c>
      <c r="N88" s="98">
        <v>4.3224315545637708</v>
      </c>
      <c r="O88" s="99">
        <v>1.3129120935904589E-2</v>
      </c>
      <c r="P88" s="100">
        <v>2303.0129683304613</v>
      </c>
    </row>
    <row r="89" spans="1:16" x14ac:dyDescent="0.2">
      <c r="A89" s="17" t="s">
        <v>18</v>
      </c>
      <c r="B89" s="17">
        <v>2024</v>
      </c>
      <c r="C89" s="17" t="str">
        <f t="shared" si="8"/>
        <v>SSC24</v>
      </c>
      <c r="D89" s="95">
        <f t="shared" si="9"/>
        <v>13.540979293889857</v>
      </c>
      <c r="E89" s="95">
        <f t="shared" si="10"/>
        <v>9.0833554634716887</v>
      </c>
      <c r="F89" s="96">
        <f t="shared" si="11"/>
        <v>70.898233536857802</v>
      </c>
      <c r="G89" s="96">
        <f t="shared" si="12"/>
        <v>1.4638181037625517</v>
      </c>
      <c r="H89" s="96">
        <f t="shared" si="13"/>
        <v>-4.3316727603021494</v>
      </c>
      <c r="I89" s="96">
        <f t="shared" si="14"/>
        <v>7.7463038234129664</v>
      </c>
      <c r="J89" s="96">
        <f t="shared" si="15"/>
        <v>60.005222924622345</v>
      </c>
      <c r="K89" s="97">
        <v>759928.24542430858</v>
      </c>
      <c r="L89" s="97">
        <v>8807.4696428571424</v>
      </c>
      <c r="M89" s="98">
        <v>70.898233536857802</v>
      </c>
      <c r="N89" s="98">
        <v>4.3224315545637708</v>
      </c>
      <c r="O89" s="99">
        <v>1.3145539751329247E-2</v>
      </c>
      <c r="P89" s="100">
        <v>2313.0073118244295</v>
      </c>
    </row>
    <row r="90" spans="1:16" x14ac:dyDescent="0.2">
      <c r="A90" s="17" t="s">
        <v>18</v>
      </c>
      <c r="B90" s="17">
        <v>2025</v>
      </c>
      <c r="C90" s="17" t="str">
        <f t="shared" si="8"/>
        <v>SSC25</v>
      </c>
      <c r="D90" s="95">
        <f t="shared" si="9"/>
        <v>13.546705715493905</v>
      </c>
      <c r="E90" s="95">
        <f t="shared" si="10"/>
        <v>9.0887462619640953</v>
      </c>
      <c r="F90" s="96">
        <f t="shared" si="11"/>
        <v>70.898233536857802</v>
      </c>
      <c r="G90" s="96">
        <f t="shared" si="12"/>
        <v>1.4638181037625517</v>
      </c>
      <c r="H90" s="96">
        <f t="shared" si="13"/>
        <v>-4.3304323553799637</v>
      </c>
      <c r="I90" s="96">
        <f t="shared" si="14"/>
        <v>7.750720328449737</v>
      </c>
      <c r="J90" s="96">
        <f t="shared" si="15"/>
        <v>60.073665609843999</v>
      </c>
      <c r="K90" s="97">
        <v>764292.39851095912</v>
      </c>
      <c r="L90" s="97">
        <v>8855.0771428571425</v>
      </c>
      <c r="M90" s="98">
        <v>70.898233536857802</v>
      </c>
      <c r="N90" s="98">
        <v>4.3224315545637708</v>
      </c>
      <c r="O90" s="99">
        <v>1.3161855660616704E-2</v>
      </c>
      <c r="P90" s="100">
        <v>2323.2453117147784</v>
      </c>
    </row>
    <row r="91" spans="1:16" x14ac:dyDescent="0.2">
      <c r="A91" s="120" t="s">
        <v>93</v>
      </c>
      <c r="B91" s="121">
        <v>2021</v>
      </c>
      <c r="C91" s="120" t="str">
        <f t="shared" si="8"/>
        <v>SVH21</v>
      </c>
      <c r="D91" s="122">
        <f t="shared" ref="D91" si="16">LN(K91)</f>
        <v>15.148218408554753</v>
      </c>
      <c r="E91" s="122">
        <f t="shared" ref="E91" si="17">LN(L91)</f>
        <v>10.812324147926285</v>
      </c>
      <c r="F91" s="119">
        <f t="shared" ref="F91" si="18">M91</f>
        <v>93.453356961036377</v>
      </c>
      <c r="G91" s="119">
        <f t="shared" ref="G91" si="19">LN(N91)</f>
        <v>1.4942319443832714</v>
      </c>
      <c r="H91" s="119">
        <f t="shared" ref="H91" si="20">LN(O91)</f>
        <v>-4.1631491141970507</v>
      </c>
      <c r="I91" s="119">
        <f t="shared" ref="I91" si="21">LN(P91)</f>
        <v>7.5635725605071435</v>
      </c>
      <c r="J91" s="119">
        <f t="shared" ref="J91" si="22">(LN(P91))^2</f>
        <v>57.207629878056586</v>
      </c>
      <c r="K91" s="123">
        <v>3791295.7628240404</v>
      </c>
      <c r="L91" s="123">
        <v>49628.678834467602</v>
      </c>
      <c r="M91" s="124">
        <v>93.453356961036377</v>
      </c>
      <c r="N91" s="124">
        <v>4.455912849327194</v>
      </c>
      <c r="O91" s="125">
        <v>1.5558485246036971E-2</v>
      </c>
      <c r="P91" s="126">
        <v>1926.716543912609</v>
      </c>
    </row>
    <row r="92" spans="1:16" x14ac:dyDescent="0.2">
      <c r="A92" s="120" t="s">
        <v>93</v>
      </c>
      <c r="B92" s="121">
        <v>2022</v>
      </c>
      <c r="C92" s="120" t="str">
        <f t="shared" si="8"/>
        <v>SVH22</v>
      </c>
      <c r="D92" s="122">
        <f t="shared" ref="D92:E105" si="23">LN(K92)</f>
        <v>15.154026053311116</v>
      </c>
      <c r="E92" s="122">
        <f t="shared" ref="E92:E95" si="24">LN(L92)</f>
        <v>10.81463723651985</v>
      </c>
      <c r="F92" s="119">
        <f t="shared" ref="F92:F105" si="25">M92</f>
        <v>94.474774138478949</v>
      </c>
      <c r="G92" s="119">
        <f t="shared" ref="G92:I105" si="26">LN(N92)</f>
        <v>1.4942319443832714</v>
      </c>
      <c r="H92" s="119">
        <f t="shared" ref="H92:H95" si="27">LN(O92)</f>
        <v>-4.1664147401934715</v>
      </c>
      <c r="I92" s="119">
        <f t="shared" ref="I92:I95" si="28">LN(P92)</f>
        <v>7.5699014724038012</v>
      </c>
      <c r="J92" s="119">
        <f t="shared" ref="J92:J105" si="29">(LN(P92))^2</f>
        <v>57.303408301901236</v>
      </c>
      <c r="K92" s="123">
        <v>3813378.3235467812</v>
      </c>
      <c r="L92" s="123">
        <v>49743.607233935698</v>
      </c>
      <c r="M92" s="124">
        <v>94.474774138478949</v>
      </c>
      <c r="N92" s="124">
        <v>4.455912849327194</v>
      </c>
      <c r="O92" s="125">
        <v>1.5507759922199897E-2</v>
      </c>
      <c r="P92" s="126">
        <v>1938.9492321400942</v>
      </c>
    </row>
    <row r="93" spans="1:16" x14ac:dyDescent="0.2">
      <c r="A93" s="120" t="s">
        <v>93</v>
      </c>
      <c r="B93" s="121">
        <v>2023</v>
      </c>
      <c r="C93" s="120" t="str">
        <f t="shared" si="8"/>
        <v>SVH23</v>
      </c>
      <c r="D93" s="122">
        <f t="shared" si="23"/>
        <v>15.16100658133335</v>
      </c>
      <c r="E93" s="122">
        <f t="shared" si="24"/>
        <v>10.816944987079543</v>
      </c>
      <c r="F93" s="119">
        <f t="shared" si="25"/>
        <v>95.480130837724943</v>
      </c>
      <c r="G93" s="119">
        <f t="shared" si="26"/>
        <v>1.4942319443832714</v>
      </c>
      <c r="H93" s="119">
        <f t="shared" si="27"/>
        <v>-4.1696778773912975</v>
      </c>
      <c r="I93" s="119">
        <f t="shared" si="28"/>
        <v>7.5761646839941443</v>
      </c>
      <c r="J93" s="119">
        <f t="shared" si="29"/>
        <v>57.398271319000095</v>
      </c>
      <c r="K93" s="123">
        <v>3840090.8430691739</v>
      </c>
      <c r="L93" s="123">
        <v>49858.535633403779</v>
      </c>
      <c r="M93" s="124">
        <v>95.480130837724943</v>
      </c>
      <c r="N93" s="124">
        <v>4.455912849327194</v>
      </c>
      <c r="O93" s="125">
        <v>1.5457238448023308E-2</v>
      </c>
      <c r="P93" s="126">
        <v>1951.1313913410045</v>
      </c>
    </row>
    <row r="94" spans="1:16" x14ac:dyDescent="0.2">
      <c r="A94" s="120" t="s">
        <v>93</v>
      </c>
      <c r="B94" s="121">
        <v>2024</v>
      </c>
      <c r="C94" s="120" t="str">
        <f t="shared" si="8"/>
        <v>SVH24</v>
      </c>
      <c r="D94" s="122">
        <f t="shared" si="23"/>
        <v>15.167767115055771</v>
      </c>
      <c r="E94" s="122">
        <f t="shared" si="24"/>
        <v>10.819247424186363</v>
      </c>
      <c r="F94" s="119">
        <f t="shared" si="25"/>
        <v>96.469802899670768</v>
      </c>
      <c r="G94" s="119">
        <f t="shared" si="26"/>
        <v>1.4942319443832714</v>
      </c>
      <c r="H94" s="119">
        <f t="shared" si="27"/>
        <v>-4.1729385459878854</v>
      </c>
      <c r="I94" s="119">
        <f t="shared" si="28"/>
        <v>7.5823419904149709</v>
      </c>
      <c r="J94" s="119">
        <f t="shared" si="29"/>
        <v>57.491910059610063</v>
      </c>
      <c r="K94" s="123">
        <v>3866139.8601263096</v>
      </c>
      <c r="L94" s="123">
        <v>49973.464032871867</v>
      </c>
      <c r="M94" s="124">
        <v>96.469802899670768</v>
      </c>
      <c r="N94" s="124">
        <v>4.455912849327194</v>
      </c>
      <c r="O94" s="125">
        <v>1.5406919597156614E-2</v>
      </c>
      <c r="P94" s="126">
        <v>1963.2214313079592</v>
      </c>
    </row>
    <row r="95" spans="1:16" x14ac:dyDescent="0.2">
      <c r="A95" s="120" t="s">
        <v>93</v>
      </c>
      <c r="B95" s="121">
        <v>2025</v>
      </c>
      <c r="C95" s="120" t="str">
        <f t="shared" si="8"/>
        <v>SVH25</v>
      </c>
      <c r="D95" s="122">
        <f t="shared" si="23"/>
        <v>15.174602086623723</v>
      </c>
      <c r="E95" s="122">
        <f t="shared" si="24"/>
        <v>10.821544572251904</v>
      </c>
      <c r="F95" s="119">
        <f t="shared" si="25"/>
        <v>97.444154528943855</v>
      </c>
      <c r="G95" s="119">
        <f t="shared" si="26"/>
        <v>1.4942319443832714</v>
      </c>
      <c r="H95" s="119">
        <f t="shared" si="27"/>
        <v>-4.1761967660975525</v>
      </c>
      <c r="I95" s="119">
        <f t="shared" si="28"/>
        <v>7.5886761340486855</v>
      </c>
      <c r="J95" s="119">
        <f t="shared" si="29"/>
        <v>57.588005467480102</v>
      </c>
      <c r="K95" s="123">
        <v>3892655.3291599909</v>
      </c>
      <c r="L95" s="123">
        <v>50088.39243233997</v>
      </c>
      <c r="M95" s="124">
        <v>97.444154528943855</v>
      </c>
      <c r="N95" s="124">
        <v>4.455912849327194</v>
      </c>
      <c r="O95" s="125">
        <v>1.5356802153066439E-2</v>
      </c>
      <c r="P95" s="126">
        <v>1975.6962246964158</v>
      </c>
    </row>
    <row r="96" spans="1:16" x14ac:dyDescent="0.2">
      <c r="A96" s="16" t="s">
        <v>89</v>
      </c>
      <c r="B96" s="127">
        <v>2021</v>
      </c>
      <c r="C96" s="16" t="str">
        <f t="shared" si="8"/>
        <v>SVE21</v>
      </c>
      <c r="D96" s="128">
        <f t="shared" si="23"/>
        <v>15.117283468181464</v>
      </c>
      <c r="E96" s="128">
        <f t="shared" si="23"/>
        <v>10.757672865410985</v>
      </c>
      <c r="F96" s="129">
        <f t="shared" si="25"/>
        <v>91.350126869098915</v>
      </c>
      <c r="G96" s="129">
        <f t="shared" si="26"/>
        <v>1.5361434108476335</v>
      </c>
      <c r="H96" s="129">
        <f t="shared" si="26"/>
        <v>-4.2414797893680216</v>
      </c>
      <c r="I96" s="129">
        <f t="shared" si="26"/>
        <v>7.5898566796969114</v>
      </c>
      <c r="J96" s="129">
        <f t="shared" si="29"/>
        <v>57.605924418339825</v>
      </c>
      <c r="K96" s="130">
        <v>3675807.7712667771</v>
      </c>
      <c r="L96" s="130">
        <v>46989.190525003003</v>
      </c>
      <c r="M96" s="131">
        <v>91.350126869098915</v>
      </c>
      <c r="N96" s="131">
        <v>4.6466355070765131</v>
      </c>
      <c r="O96" s="132">
        <v>1.4386287408809472E-2</v>
      </c>
      <c r="P96" s="133">
        <v>1978.030001570718</v>
      </c>
    </row>
    <row r="97" spans="1:16" x14ac:dyDescent="0.2">
      <c r="A97" s="16" t="s">
        <v>89</v>
      </c>
      <c r="B97" s="127">
        <v>2022</v>
      </c>
      <c r="C97" s="16" t="str">
        <f t="shared" si="8"/>
        <v>SVE22</v>
      </c>
      <c r="D97" s="128">
        <f t="shared" si="23"/>
        <v>15.123182776831182</v>
      </c>
      <c r="E97" s="128">
        <f t="shared" si="23"/>
        <v>10.760203859600189</v>
      </c>
      <c r="F97" s="129">
        <f t="shared" si="25"/>
        <v>92.114330349493954</v>
      </c>
      <c r="G97" s="129">
        <f t="shared" si="26"/>
        <v>1.5465503179235927</v>
      </c>
      <c r="H97" s="129">
        <f t="shared" si="26"/>
        <v>-4.2440107835572256</v>
      </c>
      <c r="I97" s="129">
        <f t="shared" si="26"/>
        <v>7.5961501477516871</v>
      </c>
      <c r="J97" s="129">
        <f t="shared" si="29"/>
        <v>57.701497067187979</v>
      </c>
      <c r="K97" s="130">
        <v>3697556.5842519379</v>
      </c>
      <c r="L97" s="130">
        <v>47108.270525003005</v>
      </c>
      <c r="M97" s="131">
        <v>92.114330349493954</v>
      </c>
      <c r="N97" s="131">
        <v>4.6952451101094681</v>
      </c>
      <c r="O97" s="132">
        <v>1.4349921838909556E-2</v>
      </c>
      <c r="P97" s="133">
        <v>1990.517925152883</v>
      </c>
    </row>
    <row r="98" spans="1:16" x14ac:dyDescent="0.2">
      <c r="A98" s="16" t="s">
        <v>89</v>
      </c>
      <c r="B98" s="127">
        <v>2023</v>
      </c>
      <c r="C98" s="16" t="str">
        <f t="shared" si="8"/>
        <v>SVE23</v>
      </c>
      <c r="D98" s="128">
        <f t="shared" si="23"/>
        <v>15.129428043278759</v>
      </c>
      <c r="E98" s="128">
        <f t="shared" si="23"/>
        <v>10.762728464026857</v>
      </c>
      <c r="F98" s="129">
        <f t="shared" si="25"/>
        <v>92.628724753404697</v>
      </c>
      <c r="G98" s="129">
        <f t="shared" si="26"/>
        <v>1.5517511720140622</v>
      </c>
      <c r="H98" s="129">
        <f t="shared" si="26"/>
        <v>-4.2465353879838919</v>
      </c>
      <c r="I98" s="129">
        <f t="shared" si="26"/>
        <v>7.6023787268626757</v>
      </c>
      <c r="J98" s="129">
        <f t="shared" si="29"/>
        <v>57.796162306654161</v>
      </c>
      <c r="K98" s="130">
        <v>3720721.069224969</v>
      </c>
      <c r="L98" s="130">
        <v>47227.350525002999</v>
      </c>
      <c r="M98" s="131">
        <v>92.628724753404697</v>
      </c>
      <c r="N98" s="131">
        <v>4.7197280056436073</v>
      </c>
      <c r="O98" s="132">
        <v>1.4313739654781473E-2</v>
      </c>
      <c r="P98" s="133">
        <v>2002.9547150792271</v>
      </c>
    </row>
    <row r="99" spans="1:16" x14ac:dyDescent="0.2">
      <c r="A99" s="16" t="s">
        <v>89</v>
      </c>
      <c r="B99" s="127">
        <v>2024</v>
      </c>
      <c r="C99" s="16" t="str">
        <f t="shared" si="8"/>
        <v>SVE24</v>
      </c>
      <c r="D99" s="128">
        <f t="shared" si="23"/>
        <v>15.135745591343591</v>
      </c>
      <c r="E99" s="128">
        <f t="shared" si="23"/>
        <v>10.76524671087302</v>
      </c>
      <c r="F99" s="129">
        <f t="shared" si="25"/>
        <v>92.595235236724278</v>
      </c>
      <c r="G99" s="129">
        <f t="shared" si="26"/>
        <v>1.5516429314030205</v>
      </c>
      <c r="H99" s="129">
        <f t="shared" si="26"/>
        <v>-4.249053634830056</v>
      </c>
      <c r="I99" s="129">
        <f t="shared" si="26"/>
        <v>7.6085260474627754</v>
      </c>
      <c r="J99" s="129">
        <f t="shared" si="29"/>
        <v>57.889668614919522</v>
      </c>
      <c r="K99" s="130">
        <v>3744301.3096400588</v>
      </c>
      <c r="L99" s="130">
        <v>47346.430525003001</v>
      </c>
      <c r="M99" s="131">
        <v>92.595235236724278</v>
      </c>
      <c r="N99" s="131">
        <v>4.7192171670475656</v>
      </c>
      <c r="O99" s="132">
        <v>1.4277739472736254E-2</v>
      </c>
      <c r="P99" s="133">
        <v>2015.3054429080898</v>
      </c>
    </row>
    <row r="100" spans="1:16" x14ac:dyDescent="0.2">
      <c r="A100" s="16" t="s">
        <v>89</v>
      </c>
      <c r="B100" s="127">
        <v>2025</v>
      </c>
      <c r="C100" s="16" t="str">
        <f t="shared" si="8"/>
        <v>SVE25</v>
      </c>
      <c r="D100" s="128">
        <f t="shared" si="23"/>
        <v>15.142133290332939</v>
      </c>
      <c r="E100" s="128">
        <f t="shared" si="23"/>
        <v>10.767758632078197</v>
      </c>
      <c r="F100" s="129">
        <f t="shared" si="25"/>
        <v>92.638367322860375</v>
      </c>
      <c r="G100" s="129">
        <f t="shared" si="26"/>
        <v>1.5519272566997044</v>
      </c>
      <c r="H100" s="129">
        <f t="shared" si="26"/>
        <v>-4.2500873591659216</v>
      </c>
      <c r="I100" s="129">
        <f t="shared" si="26"/>
        <v>7.6148277582541484</v>
      </c>
      <c r="J100" s="129">
        <f t="shared" si="29"/>
        <v>57.985601787877897</v>
      </c>
      <c r="K100" s="130">
        <v>3768295.3310395693</v>
      </c>
      <c r="L100" s="130">
        <v>47465.510525003003</v>
      </c>
      <c r="M100" s="131">
        <v>92.638367322860375</v>
      </c>
      <c r="N100" s="131">
        <v>4.7205591506396027</v>
      </c>
      <c r="O100" s="132">
        <v>1.4262987851850503E-2</v>
      </c>
      <c r="P100" s="133">
        <v>2028.0454146138507</v>
      </c>
    </row>
    <row r="101" spans="1:16" x14ac:dyDescent="0.2">
      <c r="A101" s="16" t="s">
        <v>90</v>
      </c>
      <c r="B101" s="127">
        <v>2021</v>
      </c>
      <c r="C101" s="16" t="str">
        <f t="shared" si="8"/>
        <v>HDD21</v>
      </c>
      <c r="D101" s="128">
        <f t="shared" si="23"/>
        <v>11.570326474319035</v>
      </c>
      <c r="E101" s="128">
        <f t="shared" si="23"/>
        <v>7.8871010997521198</v>
      </c>
      <c r="F101" s="129">
        <f t="shared" si="25"/>
        <v>100</v>
      </c>
      <c r="G101" s="129">
        <f t="shared" si="26"/>
        <v>1.6546207890882698</v>
      </c>
      <c r="H101" s="129">
        <f t="shared" si="26"/>
        <v>-3.333224208151579</v>
      </c>
      <c r="I101" s="129">
        <f t="shared" si="26"/>
        <v>5.7679310456394868</v>
      </c>
      <c r="J101" s="129">
        <f t="shared" si="29"/>
        <v>33.269028547251821</v>
      </c>
      <c r="K101" s="130">
        <v>105908.04264044411</v>
      </c>
      <c r="L101" s="130">
        <v>2662.71378</v>
      </c>
      <c r="M101" s="131">
        <v>100</v>
      </c>
      <c r="N101" s="131">
        <v>5.2310958573829085</v>
      </c>
      <c r="O101" s="132">
        <v>3.5677886490676443E-2</v>
      </c>
      <c r="P101" s="133">
        <v>319.87524027724618</v>
      </c>
    </row>
    <row r="102" spans="1:16" x14ac:dyDescent="0.2">
      <c r="A102" s="16" t="s">
        <v>90</v>
      </c>
      <c r="B102" s="127">
        <v>2022</v>
      </c>
      <c r="C102" s="16" t="str">
        <f t="shared" si="8"/>
        <v>HDD22</v>
      </c>
      <c r="D102" s="128">
        <f t="shared" si="23"/>
        <v>11.573908376878659</v>
      </c>
      <c r="E102" s="128">
        <f t="shared" si="23"/>
        <v>7.8911115040090136</v>
      </c>
      <c r="F102" s="129">
        <f t="shared" si="25"/>
        <v>100</v>
      </c>
      <c r="G102" s="129">
        <f t="shared" si="26"/>
        <v>1.6547867127000524</v>
      </c>
      <c r="H102" s="129">
        <f t="shared" si="26"/>
        <v>-3.3372346124084729</v>
      </c>
      <c r="I102" s="129">
        <f t="shared" si="26"/>
        <v>5.7713541662395293</v>
      </c>
      <c r="J102" s="129">
        <f t="shared" si="29"/>
        <v>33.308528912170374</v>
      </c>
      <c r="K102" s="130">
        <v>106288.07514284045</v>
      </c>
      <c r="L102" s="130">
        <v>2673.4137799999999</v>
      </c>
      <c r="M102" s="131">
        <v>100</v>
      </c>
      <c r="N102" s="131">
        <v>5.2319638917128497</v>
      </c>
      <c r="O102" s="132">
        <v>3.5535090269490574E-2</v>
      </c>
      <c r="P102" s="133">
        <v>320.9720880517396</v>
      </c>
    </row>
    <row r="103" spans="1:16" x14ac:dyDescent="0.2">
      <c r="A103" s="16" t="s">
        <v>90</v>
      </c>
      <c r="B103" s="127">
        <v>2023</v>
      </c>
      <c r="C103" s="16" t="str">
        <f t="shared" si="8"/>
        <v>HDD23</v>
      </c>
      <c r="D103" s="128">
        <f t="shared" si="23"/>
        <v>11.577730584741321</v>
      </c>
      <c r="E103" s="128">
        <f t="shared" si="23"/>
        <v>7.8951058891453689</v>
      </c>
      <c r="F103" s="129">
        <f t="shared" si="25"/>
        <v>99.999999999999986</v>
      </c>
      <c r="G103" s="129">
        <f t="shared" si="26"/>
        <v>1.6551171596687089</v>
      </c>
      <c r="H103" s="129">
        <f t="shared" si="26"/>
        <v>-3.3412289975448282</v>
      </c>
      <c r="I103" s="129">
        <f t="shared" si="26"/>
        <v>5.7746230793606763</v>
      </c>
      <c r="J103" s="129">
        <f t="shared" si="29"/>
        <v>33.346271708684981</v>
      </c>
      <c r="K103" s="130">
        <v>106695.10764523677</v>
      </c>
      <c r="L103" s="130">
        <v>2684.1137800000001</v>
      </c>
      <c r="M103" s="131">
        <v>99.999999999999986</v>
      </c>
      <c r="N103" s="131">
        <v>5.2336930640051227</v>
      </c>
      <c r="O103" s="132">
        <v>3.5393432539212254E-2</v>
      </c>
      <c r="P103" s="133">
        <v>322.02303471270892</v>
      </c>
    </row>
    <row r="104" spans="1:16" x14ac:dyDescent="0.2">
      <c r="A104" s="16" t="s">
        <v>90</v>
      </c>
      <c r="B104" s="127">
        <v>2024</v>
      </c>
      <c r="C104" s="16" t="str">
        <f t="shared" si="8"/>
        <v>HDD24</v>
      </c>
      <c r="D104" s="128">
        <f t="shared" si="23"/>
        <v>11.581613187326637</v>
      </c>
      <c r="E104" s="128">
        <f t="shared" si="23"/>
        <v>7.8990843826254569</v>
      </c>
      <c r="F104" s="129">
        <f t="shared" si="25"/>
        <v>100</v>
      </c>
      <c r="G104" s="129">
        <f t="shared" si="26"/>
        <v>1.6554589447454569</v>
      </c>
      <c r="H104" s="129">
        <f t="shared" si="26"/>
        <v>-3.3452074910249161</v>
      </c>
      <c r="I104" s="129">
        <f t="shared" si="26"/>
        <v>5.77784903848542</v>
      </c>
      <c r="J104" s="129">
        <f t="shared" si="29"/>
        <v>33.383539511526891</v>
      </c>
      <c r="K104" s="130">
        <v>107110.16758100552</v>
      </c>
      <c r="L104" s="130">
        <v>2694.81378</v>
      </c>
      <c r="M104" s="131">
        <v>100</v>
      </c>
      <c r="N104" s="131">
        <v>5.2354821679177714</v>
      </c>
      <c r="O104" s="132">
        <v>3.5252899738400477E-2</v>
      </c>
      <c r="P104" s="133">
        <v>323.06354527983081</v>
      </c>
    </row>
    <row r="105" spans="1:16" x14ac:dyDescent="0.2">
      <c r="A105" s="16" t="s">
        <v>90</v>
      </c>
      <c r="B105" s="127">
        <v>2025</v>
      </c>
      <c r="C105" s="16" t="str">
        <f t="shared" si="8"/>
        <v>HDD25</v>
      </c>
      <c r="D105" s="128">
        <f t="shared" si="23"/>
        <v>11.585555171969695</v>
      </c>
      <c r="E105" s="128">
        <f t="shared" si="23"/>
        <v>7.9030471103982238</v>
      </c>
      <c r="F105" s="129">
        <f t="shared" si="25"/>
        <v>100</v>
      </c>
      <c r="G105" s="129">
        <f t="shared" si="26"/>
        <v>1.6556883910055997</v>
      </c>
      <c r="H105" s="129">
        <f t="shared" si="26"/>
        <v>-3.3491702187976835</v>
      </c>
      <c r="I105" s="129">
        <f t="shared" si="26"/>
        <v>5.7810010212287297</v>
      </c>
      <c r="J105" s="129">
        <f t="shared" si="29"/>
        <v>33.419972807447614</v>
      </c>
      <c r="K105" s="130">
        <v>107533.22751677425</v>
      </c>
      <c r="L105" s="130">
        <v>2705.5137800000002</v>
      </c>
      <c r="M105" s="131">
        <v>100</v>
      </c>
      <c r="N105" s="131">
        <v>5.2366835675443006</v>
      </c>
      <c r="O105" s="132">
        <v>3.5113478520150058E-2</v>
      </c>
      <c r="P105" s="133">
        <v>324.08344250438199</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H17"/>
  <sheetViews>
    <sheetView showGridLines="0" zoomScale="80" zoomScaleNormal="80" workbookViewId="0"/>
  </sheetViews>
  <sheetFormatPr defaultRowHeight="14.25" x14ac:dyDescent="0.2"/>
  <cols>
    <col min="1" max="1" width="2.125" customWidth="1"/>
    <col min="2" max="2" width="24.125" bestFit="1" customWidth="1"/>
    <col min="3" max="3" width="49.625" bestFit="1" customWidth="1"/>
    <col min="4" max="5" width="9.625" style="1" bestFit="1" customWidth="1"/>
    <col min="6" max="6" width="12.5" style="1" bestFit="1" customWidth="1"/>
    <col min="7" max="7" width="9.625" style="1" customWidth="1"/>
    <col min="8" max="8" width="10.125" style="1" bestFit="1" customWidth="1"/>
  </cols>
  <sheetData>
    <row r="1" spans="2:8" ht="15.75" customHeight="1" x14ac:dyDescent="0.2"/>
    <row r="2" spans="2:8" ht="45" x14ac:dyDescent="0.25">
      <c r="B2" s="6"/>
      <c r="C2" s="6"/>
      <c r="D2" s="42" t="s">
        <v>110</v>
      </c>
      <c r="E2" s="42"/>
      <c r="F2" s="43" t="s">
        <v>111</v>
      </c>
      <c r="G2" s="42" t="s">
        <v>112</v>
      </c>
      <c r="H2" s="41"/>
    </row>
    <row r="3" spans="2:8" x14ac:dyDescent="0.2">
      <c r="B3" s="7"/>
      <c r="C3" s="7"/>
      <c r="D3" s="44" t="s">
        <v>35</v>
      </c>
      <c r="E3" s="44" t="s">
        <v>36</v>
      </c>
      <c r="F3" s="44" t="s">
        <v>38</v>
      </c>
      <c r="G3" s="44" t="s">
        <v>39</v>
      </c>
      <c r="H3" s="44" t="s">
        <v>40</v>
      </c>
    </row>
    <row r="4" spans="2:8" x14ac:dyDescent="0.2">
      <c r="B4" s="7" t="s">
        <v>380</v>
      </c>
      <c r="C4" s="7" t="s">
        <v>381</v>
      </c>
      <c r="D4" s="44" t="s">
        <v>382</v>
      </c>
      <c r="E4" s="44" t="s">
        <v>383</v>
      </c>
      <c r="F4" s="44" t="s">
        <v>384</v>
      </c>
      <c r="G4" s="44" t="s">
        <v>385</v>
      </c>
      <c r="H4" s="44" t="s">
        <v>386</v>
      </c>
    </row>
    <row r="5" spans="2:8" x14ac:dyDescent="0.2">
      <c r="B5" s="8" t="s">
        <v>387</v>
      </c>
      <c r="C5" s="8" t="s">
        <v>388</v>
      </c>
      <c r="D5" s="9">
        <v>1.0126520000000001</v>
      </c>
      <c r="E5" s="9">
        <v>1.0126599999999999</v>
      </c>
      <c r="F5" s="9" t="s">
        <v>389</v>
      </c>
      <c r="G5" s="9">
        <v>1.033536</v>
      </c>
      <c r="H5" s="9">
        <v>1.021012</v>
      </c>
    </row>
    <row r="6" spans="2:8" x14ac:dyDescent="0.2">
      <c r="B6" s="8" t="s">
        <v>37</v>
      </c>
      <c r="C6" s="8" t="s">
        <v>390</v>
      </c>
      <c r="D6" s="9">
        <v>7.7691000000000001E-3</v>
      </c>
      <c r="E6" s="9" t="s">
        <v>389</v>
      </c>
      <c r="F6" s="9" t="s">
        <v>389</v>
      </c>
      <c r="G6" s="9">
        <v>4.8171999999999998E-3</v>
      </c>
      <c r="H6" s="9" t="s">
        <v>389</v>
      </c>
    </row>
    <row r="7" spans="2:8" x14ac:dyDescent="0.2">
      <c r="B7" s="8" t="s">
        <v>391</v>
      </c>
      <c r="C7" s="8" t="s">
        <v>392</v>
      </c>
      <c r="D7" s="9" t="s">
        <v>389</v>
      </c>
      <c r="E7" s="9">
        <v>0.43984410000000002</v>
      </c>
      <c r="F7" s="9" t="s">
        <v>389</v>
      </c>
      <c r="G7" s="9" t="s">
        <v>389</v>
      </c>
      <c r="H7" s="9">
        <v>0.52427190000000001</v>
      </c>
    </row>
    <row r="8" spans="2:8" x14ac:dyDescent="0.2">
      <c r="B8" s="8" t="s">
        <v>393</v>
      </c>
      <c r="C8" s="8" t="s">
        <v>394</v>
      </c>
      <c r="D8" s="9">
        <v>-1.388617</v>
      </c>
      <c r="E8" s="9">
        <v>-0.72892140000000005</v>
      </c>
      <c r="F8" s="9">
        <v>-2.9722249999999999</v>
      </c>
      <c r="G8" s="9">
        <v>-2.02624</v>
      </c>
      <c r="H8" s="9">
        <v>-1.634843</v>
      </c>
    </row>
    <row r="9" spans="2:8" x14ac:dyDescent="0.2">
      <c r="B9" s="8" t="s">
        <v>395</v>
      </c>
      <c r="C9" s="8" t="s">
        <v>396</v>
      </c>
      <c r="D9" s="9">
        <v>8.5116399999999995E-2</v>
      </c>
      <c r="E9" s="9">
        <v>3.7998700000000003E-2</v>
      </c>
      <c r="F9" s="9">
        <v>0.23719280000000001</v>
      </c>
      <c r="G9" s="9">
        <v>0.14212230000000001</v>
      </c>
      <c r="H9" s="9">
        <v>0.1143497</v>
      </c>
    </row>
    <row r="10" spans="2:8" x14ac:dyDescent="0.2">
      <c r="B10" s="8" t="s">
        <v>397</v>
      </c>
      <c r="C10" s="8" t="s">
        <v>398</v>
      </c>
      <c r="D10" s="9" t="s">
        <v>389</v>
      </c>
      <c r="E10" s="9" t="s">
        <v>389</v>
      </c>
      <c r="F10" s="9">
        <v>1.043941</v>
      </c>
      <c r="G10" s="9" t="s">
        <v>389</v>
      </c>
      <c r="H10" s="9" t="s">
        <v>389</v>
      </c>
    </row>
    <row r="11" spans="2:8" x14ac:dyDescent="0.2">
      <c r="B11" s="8" t="s">
        <v>399</v>
      </c>
      <c r="C11" s="8" t="s">
        <v>400</v>
      </c>
      <c r="D11" s="9" t="s">
        <v>389</v>
      </c>
      <c r="E11" s="9" t="s">
        <v>389</v>
      </c>
      <c r="F11" s="9">
        <v>0.46666619999999998</v>
      </c>
      <c r="G11" s="9">
        <v>0.23592779999999999</v>
      </c>
      <c r="H11" s="9">
        <v>0.25569599999999998</v>
      </c>
    </row>
    <row r="12" spans="2:8" x14ac:dyDescent="0.2">
      <c r="B12" s="8" t="s">
        <v>401</v>
      </c>
      <c r="C12" s="8" t="s">
        <v>402</v>
      </c>
      <c r="D12" s="9">
        <v>-5.215147</v>
      </c>
      <c r="E12" s="9">
        <v>-7.50467</v>
      </c>
      <c r="F12" s="9">
        <v>5.2705909999999996</v>
      </c>
      <c r="G12" s="9">
        <v>-1.7318659999999999</v>
      </c>
      <c r="H12" s="9">
        <v>-3.2303929999999998</v>
      </c>
    </row>
    <row r="13" spans="2:8" s="1" customFormat="1" x14ac:dyDescent="0.2">
      <c r="B13" s="10"/>
      <c r="C13" s="10"/>
      <c r="D13" s="11"/>
      <c r="E13" s="11"/>
      <c r="F13" s="11"/>
      <c r="G13" s="11"/>
      <c r="H13" s="11"/>
    </row>
    <row r="14" spans="2:8" s="1" customFormat="1" x14ac:dyDescent="0.2">
      <c r="B14" s="10"/>
      <c r="C14" s="10"/>
      <c r="D14" s="11"/>
      <c r="E14" s="11"/>
      <c r="F14" s="11"/>
      <c r="G14" s="11"/>
      <c r="H14" s="11"/>
    </row>
    <row r="15" spans="2:8" ht="15" x14ac:dyDescent="0.25">
      <c r="B15" s="14"/>
    </row>
    <row r="16" spans="2:8" ht="15" x14ac:dyDescent="0.25">
      <c r="B16" s="3"/>
    </row>
    <row r="17" spans="2:2" ht="15" x14ac:dyDescent="0.25">
      <c r="B17" s="3"/>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A1"/>
  <sheetViews>
    <sheetView showGridLines="0" zoomScaleNormal="100" workbookViewId="0"/>
  </sheetViews>
  <sheetFormatPr defaultRowHeight="14.25" x14ac:dyDescent="0.2"/>
  <sheetData>
    <row r="1" spans="1:1" x14ac:dyDescent="0.2">
      <c r="A1" s="220" t="s">
        <v>412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107"/>
  <sheetViews>
    <sheetView showGridLines="0" zoomScale="75" zoomScaleNormal="75" workbookViewId="0">
      <pane xSplit="1" ySplit="5" topLeftCell="B6" activePane="bottomRight" state="frozen"/>
      <selection activeCell="AM5" sqref="AM5"/>
      <selection pane="topRight" activeCell="AM5" sqref="AM5"/>
      <selection pane="bottomLeft" activeCell="AM5" sqref="AM5"/>
      <selection pane="bottomRight"/>
    </sheetView>
  </sheetViews>
  <sheetFormatPr defaultColWidth="8.625" defaultRowHeight="12.75" x14ac:dyDescent="0.2"/>
  <cols>
    <col min="1" max="1" width="10.625" style="5" bestFit="1" customWidth="1"/>
    <col min="2" max="2" width="10" style="5" bestFit="1" customWidth="1"/>
    <col min="3" max="3" width="10.125" style="5" bestFit="1" customWidth="1"/>
    <col min="4" max="4" width="11.625" style="5" bestFit="1" customWidth="1"/>
    <col min="5" max="5" width="12.5" style="5" customWidth="1"/>
    <col min="6" max="6" width="12.125" style="5" customWidth="1"/>
    <col min="7" max="8" width="11.125" style="5" customWidth="1"/>
    <col min="9" max="9" width="3" style="5" customWidth="1"/>
    <col min="10" max="10" width="11.625" style="5" customWidth="1"/>
    <col min="11" max="11" width="11.125" style="5" customWidth="1"/>
    <col min="12" max="12" width="14" style="5" customWidth="1"/>
    <col min="13" max="13" width="13.625" style="5" customWidth="1"/>
    <col min="14" max="14" width="14" style="5" customWidth="1"/>
    <col min="15" max="15" width="3" style="5" customWidth="1"/>
    <col min="16" max="16" width="10.125" style="5" bestFit="1" customWidth="1"/>
    <col min="17" max="18" width="10.125" style="5" customWidth="1"/>
    <col min="19" max="19" width="8.625" style="5"/>
    <col min="20" max="22" width="10" style="5" customWidth="1"/>
    <col min="23" max="23" width="15" style="5" customWidth="1"/>
    <col min="24" max="16384" width="8.625" style="5"/>
  </cols>
  <sheetData>
    <row r="1" spans="1:23" s="22" customFormat="1" ht="15.75" x14ac:dyDescent="0.25">
      <c r="A1" s="62" t="s">
        <v>146</v>
      </c>
      <c r="B1" s="27"/>
      <c r="C1" s="40"/>
    </row>
    <row r="2" spans="1:23" x14ac:dyDescent="0.2">
      <c r="N2" s="28"/>
    </row>
    <row r="3" spans="1:23" x14ac:dyDescent="0.2">
      <c r="D3" s="60" t="s">
        <v>21</v>
      </c>
      <c r="E3" s="61"/>
      <c r="F3" s="61"/>
      <c r="G3" s="61"/>
      <c r="H3" s="61"/>
      <c r="J3" s="30"/>
      <c r="K3" s="30"/>
      <c r="L3" s="60" t="s">
        <v>21</v>
      </c>
      <c r="M3" s="60"/>
      <c r="N3" s="31"/>
    </row>
    <row r="4" spans="1:23" s="19" customFormat="1" x14ac:dyDescent="0.2">
      <c r="D4" s="29">
        <f>INDEX(Controls!$D$20:$D$24,MATCH(D$5,Controls!$C$20:$C$24,0))</f>
        <v>0.5</v>
      </c>
      <c r="E4" s="29">
        <f>INDEX(Controls!$D$20:$D$24,MATCH(E$5,Controls!$C$20:$C$24,0))</f>
        <v>0.5</v>
      </c>
      <c r="F4" s="29">
        <f>INDEX(Controls!$D$20:$D$24,MATCH(F$5,Controls!$C$20:$C$24,0))</f>
        <v>1</v>
      </c>
      <c r="G4" s="29">
        <f>INDEX(Controls!$D$20:$D$24,MATCH(G$5,Controls!$C$20:$C$24,0))</f>
        <v>0.5</v>
      </c>
      <c r="H4" s="29">
        <f>INDEX(Controls!$D$20:$D$24,MATCH(H$5,Controls!$C$20:$C$24,0))</f>
        <v>0.5</v>
      </c>
      <c r="J4" s="5"/>
      <c r="K4" s="5"/>
      <c r="L4" s="29">
        <f>INDEX(Controls!$H$20:$H$21,MATCH(L$5,Controls!$G$20:$G$21,0))</f>
        <v>0.5</v>
      </c>
      <c r="M4" s="29">
        <f>INDEX(Controls!$H$20:$H$21,MATCH(M$5,Controls!$G$20:$G$21,0))</f>
        <v>0.5</v>
      </c>
      <c r="N4" s="30"/>
      <c r="Q4" s="5"/>
      <c r="R4" s="5"/>
      <c r="T4" s="26" t="s">
        <v>107</v>
      </c>
      <c r="U4" s="5"/>
      <c r="V4" s="5"/>
      <c r="W4" s="5"/>
    </row>
    <row r="5" spans="1:23" ht="38.25" x14ac:dyDescent="0.2">
      <c r="A5" s="56" t="str">
        <f>'Forecast drivers'!A5</f>
        <v>Company</v>
      </c>
      <c r="B5" s="56" t="str">
        <f>'Forecast drivers'!B5</f>
        <v>Year</v>
      </c>
      <c r="C5" s="34" t="str">
        <f>'Forecast drivers'!C5</f>
        <v>Code</v>
      </c>
      <c r="D5" s="33" t="s">
        <v>35</v>
      </c>
      <c r="E5" s="33" t="s">
        <v>36</v>
      </c>
      <c r="F5" s="33" t="s">
        <v>38</v>
      </c>
      <c r="G5" s="33" t="s">
        <v>39</v>
      </c>
      <c r="H5" s="33" t="s">
        <v>40</v>
      </c>
      <c r="J5" s="33" t="s">
        <v>55</v>
      </c>
      <c r="K5" s="33" t="s">
        <v>56</v>
      </c>
      <c r="L5" s="33" t="s">
        <v>100</v>
      </c>
      <c r="M5" s="33" t="s">
        <v>101</v>
      </c>
      <c r="N5" s="65" t="s">
        <v>151</v>
      </c>
      <c r="P5" s="33" t="s">
        <v>147</v>
      </c>
      <c r="Q5" s="33" t="s">
        <v>34</v>
      </c>
      <c r="R5" s="65" t="s">
        <v>148</v>
      </c>
      <c r="T5" s="18" t="s">
        <v>20</v>
      </c>
      <c r="U5" s="18" t="s">
        <v>92</v>
      </c>
      <c r="V5" s="18" t="s">
        <v>108</v>
      </c>
      <c r="W5" s="64" t="s">
        <v>139</v>
      </c>
    </row>
    <row r="6" spans="1:23" x14ac:dyDescent="0.2">
      <c r="A6" s="36" t="str">
        <f>'Forecast drivers'!A6</f>
        <v>ANH</v>
      </c>
      <c r="B6" s="57">
        <f>'Forecast drivers'!B6</f>
        <v>2021</v>
      </c>
      <c r="C6" s="36" t="str">
        <f>'Forecast drivers'!C6</f>
        <v>ANH21</v>
      </c>
      <c r="D6" s="50">
        <f>EXP(Coeffs!$D$12+(Coeffs!$D$5*'Forecast drivers'!D6)+(Coeffs!$D$6*'Forecast drivers'!F6)+(Coeffs!$D$8*'Forecast drivers'!I6)+(Coeffs!$D$9*'Forecast drivers'!J6))</f>
        <v>121.18958325923536</v>
      </c>
      <c r="E6" s="50">
        <f>EXP(Coeffs!$E$12+(Coeffs!$E$5*'Forecast drivers'!D6)+(Coeffs!$E$7*'Forecast drivers'!G6)+(Coeffs!$E$8*'Forecast drivers'!I6)+(Coeffs!$E$9*'Forecast drivers'!J6))</f>
        <v>130.59912316802922</v>
      </c>
      <c r="F6" s="50">
        <f>EXP(Coeffs!$F$12+(Coeffs!$F$8*'Forecast drivers'!I6)+(Coeffs!$F$9*'Forecast drivers'!J6)+(Coeffs!$F$10*'Forecast drivers'!E6)+(Coeffs!$F$11*'Forecast drivers'!H6))</f>
        <v>141.73227873024089</v>
      </c>
      <c r="G6" s="50">
        <f>EXP(Coeffs!$G$12+(Coeffs!$G$5*'Forecast drivers'!D6)+(Coeffs!$G$6*'Forecast drivers'!F6)+(Coeffs!$G$8*'Forecast drivers'!I6)+(Coeffs!$G$9*'Forecast drivers'!J6)+(Coeffs!$G$11*'Forecast drivers'!H6))</f>
        <v>260.49923899277474</v>
      </c>
      <c r="H6" s="50">
        <f>EXP(Coeffs!$H$12+(Coeffs!$H$5*'Forecast drivers'!D6)+(Coeffs!$H$7*'Forecast drivers'!G6)+(Coeffs!$H$8*'Forecast drivers'!I6)+(Coeffs!$H$9*'Forecast drivers'!J6)+(Coeffs!$H$11*'Forecast drivers'!H6))</f>
        <v>273.50914956733254</v>
      </c>
      <c r="J6" s="50">
        <f t="shared" ref="J6:J37" si="0">D$4*D6+E$4*E6</f>
        <v>125.89435321363229</v>
      </c>
      <c r="K6" s="50">
        <f t="shared" ref="K6:K37" si="1">F$4*F6</f>
        <v>141.73227873024089</v>
      </c>
      <c r="L6" s="51">
        <f t="shared" ref="L6:L37" si="2">J6+K6</f>
        <v>267.62663194387318</v>
      </c>
      <c r="M6" s="51">
        <f t="shared" ref="M6:M37" si="3">G6*$G$4+H6*$H$4</f>
        <v>267.00419428005364</v>
      </c>
      <c r="N6" s="66">
        <f>$L$4*L6+$M$4*M6</f>
        <v>267.31541311196338</v>
      </c>
      <c r="P6" s="51">
        <f>Controls!$F$5*N6</f>
        <v>256.18065988548705</v>
      </c>
      <c r="Q6" s="105">
        <f>-(INDEX(Controls!$G$12:$G$16,MATCH($B6,Controls!$C$12:$C$16,0),0))*$P6</f>
        <v>-2.8179872587403572</v>
      </c>
      <c r="R6" s="66">
        <f>P6+Q6</f>
        <v>253.3626726267467</v>
      </c>
      <c r="T6" s="74" t="s">
        <v>4</v>
      </c>
      <c r="U6" s="63">
        <f>SUMIFS('BP costs'!$J$7:$J$96,'BP costs'!$B$7:$B$96,$T6)</f>
        <v>1667.9523255333413</v>
      </c>
      <c r="V6" s="63">
        <f t="shared" ref="V6:V21" si="4">SUMIF($A$6:$A$105,$T6,N$6:N$105)</f>
        <v>1359.7474811715879</v>
      </c>
      <c r="W6" s="15">
        <f>U6/V6</f>
        <v>1.2266632949348784</v>
      </c>
    </row>
    <row r="7" spans="1:23" x14ac:dyDescent="0.2">
      <c r="A7" s="36" t="str">
        <f>'Forecast drivers'!A7</f>
        <v>ANH</v>
      </c>
      <c r="B7" s="57">
        <f>'Forecast drivers'!B7</f>
        <v>2022</v>
      </c>
      <c r="C7" s="36" t="str">
        <f>'Forecast drivers'!C7</f>
        <v>ANH22</v>
      </c>
      <c r="D7" s="50">
        <f>EXP(Coeffs!$D$12+(Coeffs!$D$5*'Forecast drivers'!D7)+(Coeffs!$D$6*'Forecast drivers'!F7)+(Coeffs!$D$8*'Forecast drivers'!I7)+(Coeffs!$D$9*'Forecast drivers'!J7))</f>
        <v>122.09009569460217</v>
      </c>
      <c r="E7" s="50">
        <f>EXP(Coeffs!$E$12+(Coeffs!$E$5*'Forecast drivers'!D7)+(Coeffs!$E$7*'Forecast drivers'!G7)+(Coeffs!$E$8*'Forecast drivers'!I7)+(Coeffs!$E$9*'Forecast drivers'!J7))</f>
        <v>131.46438086657074</v>
      </c>
      <c r="F7" s="50">
        <f>EXP(Coeffs!$F$12+(Coeffs!$F$8*'Forecast drivers'!I7)+(Coeffs!$F$9*'Forecast drivers'!J7)+(Coeffs!$F$10*'Forecast drivers'!E7)+(Coeffs!$F$11*'Forecast drivers'!H7))</f>
        <v>142.83898902756644</v>
      </c>
      <c r="G7" s="50">
        <f>EXP(Coeffs!$G$12+(Coeffs!$G$5*'Forecast drivers'!D7)+(Coeffs!$G$6*'Forecast drivers'!F7)+(Coeffs!$G$8*'Forecast drivers'!I7)+(Coeffs!$G$9*'Forecast drivers'!J7)+(Coeffs!$G$11*'Forecast drivers'!H7))</f>
        <v>262.85840589042732</v>
      </c>
      <c r="H7" s="50">
        <f>EXP(Coeffs!$H$12+(Coeffs!$H$5*'Forecast drivers'!D7)+(Coeffs!$H$7*'Forecast drivers'!G7)+(Coeffs!$H$8*'Forecast drivers'!I7)+(Coeffs!$H$9*'Forecast drivers'!J7)+(Coeffs!$H$11*'Forecast drivers'!H7))</f>
        <v>275.85368287610311</v>
      </c>
      <c r="J7" s="50">
        <f t="shared" si="0"/>
        <v>126.77723828058646</v>
      </c>
      <c r="K7" s="50">
        <f t="shared" si="1"/>
        <v>142.83898902756644</v>
      </c>
      <c r="L7" s="51">
        <f t="shared" si="2"/>
        <v>269.61622730815293</v>
      </c>
      <c r="M7" s="51">
        <f t="shared" si="3"/>
        <v>269.35604438326521</v>
      </c>
      <c r="N7" s="66">
        <f t="shared" ref="N7:N70" si="5">$L$4*L7+$M$4*M7</f>
        <v>269.4861358457091</v>
      </c>
      <c r="P7" s="51">
        <f>Controls!$F$5*N7</f>
        <v>258.26096335877196</v>
      </c>
      <c r="Q7" s="105">
        <f>-(INDEX(Controls!$G$12:$G$16,MATCH($B7,Controls!$C$12:$C$16,0),0))*$P7</f>
        <v>-5.7391009538549147</v>
      </c>
      <c r="R7" s="66">
        <f t="shared" ref="R7:R70" si="6">P7+Q7</f>
        <v>252.52186240491704</v>
      </c>
      <c r="T7" s="74" t="s">
        <v>5</v>
      </c>
      <c r="U7" s="63">
        <f>SUMIFS('BP costs'!$J$7:$J$96,'BP costs'!$B$7:$B$96,$T7)</f>
        <v>1096.79</v>
      </c>
      <c r="V7" s="63">
        <f t="shared" si="4"/>
        <v>1206.8551285742819</v>
      </c>
      <c r="W7" s="15">
        <f t="shared" ref="W7:W21" si="7">U7/V7</f>
        <v>0.90880004901308464</v>
      </c>
    </row>
    <row r="8" spans="1:23" x14ac:dyDescent="0.2">
      <c r="A8" s="36" t="str">
        <f>'Forecast drivers'!A8</f>
        <v>ANH</v>
      </c>
      <c r="B8" s="57">
        <f>'Forecast drivers'!B8</f>
        <v>2023</v>
      </c>
      <c r="C8" s="36" t="str">
        <f>'Forecast drivers'!C8</f>
        <v>ANH23</v>
      </c>
      <c r="D8" s="50">
        <f>EXP(Coeffs!$D$12+(Coeffs!$D$5*'Forecast drivers'!D8)+(Coeffs!$D$6*'Forecast drivers'!F8)+(Coeffs!$D$8*'Forecast drivers'!I8)+(Coeffs!$D$9*'Forecast drivers'!J8))</f>
        <v>123.13227341227113</v>
      </c>
      <c r="E8" s="50">
        <f>EXP(Coeffs!$E$12+(Coeffs!$E$5*'Forecast drivers'!D8)+(Coeffs!$E$7*'Forecast drivers'!G8)+(Coeffs!$E$8*'Forecast drivers'!I8)+(Coeffs!$E$9*'Forecast drivers'!J8))</f>
        <v>132.47988788444178</v>
      </c>
      <c r="F8" s="50">
        <f>EXP(Coeffs!$F$12+(Coeffs!$F$8*'Forecast drivers'!I8)+(Coeffs!$F$9*'Forecast drivers'!J8)+(Coeffs!$F$10*'Forecast drivers'!E8)+(Coeffs!$F$11*'Forecast drivers'!H8))</f>
        <v>143.90775444708856</v>
      </c>
      <c r="G8" s="50">
        <f>EXP(Coeffs!$G$12+(Coeffs!$G$5*'Forecast drivers'!D8)+(Coeffs!$G$6*'Forecast drivers'!F8)+(Coeffs!$G$8*'Forecast drivers'!I8)+(Coeffs!$G$9*'Forecast drivers'!J8)+(Coeffs!$G$11*'Forecast drivers'!H8))</f>
        <v>265.53532574430261</v>
      </c>
      <c r="H8" s="50">
        <f>EXP(Coeffs!$H$12+(Coeffs!$H$5*'Forecast drivers'!D8)+(Coeffs!$H$7*'Forecast drivers'!G8)+(Coeffs!$H$8*'Forecast drivers'!I8)+(Coeffs!$H$9*'Forecast drivers'!J8)+(Coeffs!$H$11*'Forecast drivers'!H8))</f>
        <v>278.5241351758433</v>
      </c>
      <c r="J8" s="50">
        <f t="shared" si="0"/>
        <v>127.80608064835646</v>
      </c>
      <c r="K8" s="50">
        <f t="shared" si="1"/>
        <v>143.90775444708856</v>
      </c>
      <c r="L8" s="51">
        <f t="shared" si="2"/>
        <v>271.71383509544501</v>
      </c>
      <c r="M8" s="51">
        <f t="shared" si="3"/>
        <v>272.02973046007298</v>
      </c>
      <c r="N8" s="66">
        <f t="shared" si="5"/>
        <v>271.87178277775899</v>
      </c>
      <c r="P8" s="51">
        <f>Controls!$F$5*N8</f>
        <v>260.54723858020992</v>
      </c>
      <c r="Q8" s="105">
        <f>-(INDEX(Controls!$G$12:$G$16,MATCH($B8,Controls!$C$12:$C$16,0),0))*$P8</f>
        <v>-8.6929816749934155</v>
      </c>
      <c r="R8" s="66">
        <f t="shared" si="6"/>
        <v>251.85425690521652</v>
      </c>
      <c r="T8" s="74" t="s">
        <v>6</v>
      </c>
      <c r="U8" s="63">
        <f>SUMIFS('BP costs'!$J$7:$J$96,'BP costs'!$B$7:$B$96,$T8)</f>
        <v>1789.8996399742</v>
      </c>
      <c r="V8" s="63">
        <f t="shared" si="4"/>
        <v>2064.8066135345316</v>
      </c>
      <c r="W8" s="15">
        <f t="shared" si="7"/>
        <v>0.8668606678425218</v>
      </c>
    </row>
    <row r="9" spans="1:23" x14ac:dyDescent="0.2">
      <c r="A9" s="36" t="str">
        <f>'Forecast drivers'!A9</f>
        <v>ANH</v>
      </c>
      <c r="B9" s="57">
        <f>'Forecast drivers'!B9</f>
        <v>2024</v>
      </c>
      <c r="C9" s="36" t="str">
        <f>'Forecast drivers'!C9</f>
        <v>ANH24</v>
      </c>
      <c r="D9" s="50">
        <f>EXP(Coeffs!$D$12+(Coeffs!$D$5*'Forecast drivers'!D9)+(Coeffs!$D$6*'Forecast drivers'!F9)+(Coeffs!$D$8*'Forecast drivers'!I9)+(Coeffs!$D$9*'Forecast drivers'!J9))</f>
        <v>124.1491498041708</v>
      </c>
      <c r="E9" s="50">
        <f>EXP(Coeffs!$E$12+(Coeffs!$E$5*'Forecast drivers'!D9)+(Coeffs!$E$7*'Forecast drivers'!G9)+(Coeffs!$E$8*'Forecast drivers'!I9)+(Coeffs!$E$9*'Forecast drivers'!J9))</f>
        <v>133.46213867689511</v>
      </c>
      <c r="F9" s="50">
        <f>EXP(Coeffs!$F$12+(Coeffs!$F$8*'Forecast drivers'!I9)+(Coeffs!$F$9*'Forecast drivers'!J9)+(Coeffs!$F$10*'Forecast drivers'!E9)+(Coeffs!$F$11*'Forecast drivers'!H9))</f>
        <v>144.99046068817478</v>
      </c>
      <c r="G9" s="50">
        <f>EXP(Coeffs!$G$12+(Coeffs!$G$5*'Forecast drivers'!D9)+(Coeffs!$G$6*'Forecast drivers'!F9)+(Coeffs!$G$8*'Forecast drivers'!I9)+(Coeffs!$G$9*'Forecast drivers'!J9)+(Coeffs!$G$11*'Forecast drivers'!H9))</f>
        <v>268.14246331964404</v>
      </c>
      <c r="H9" s="50">
        <f>EXP(Coeffs!$H$12+(Coeffs!$H$5*'Forecast drivers'!D9)+(Coeffs!$H$7*'Forecast drivers'!G9)+(Coeffs!$H$8*'Forecast drivers'!I9)+(Coeffs!$H$9*'Forecast drivers'!J9)+(Coeffs!$H$11*'Forecast drivers'!H9))</f>
        <v>281.11400754031934</v>
      </c>
      <c r="J9" s="50">
        <f t="shared" si="0"/>
        <v>128.80564424053296</v>
      </c>
      <c r="K9" s="50">
        <f t="shared" si="1"/>
        <v>144.99046068817478</v>
      </c>
      <c r="L9" s="51">
        <f t="shared" si="2"/>
        <v>273.79610492870773</v>
      </c>
      <c r="M9" s="51">
        <f t="shared" si="3"/>
        <v>274.62823542998171</v>
      </c>
      <c r="N9" s="66">
        <f t="shared" si="5"/>
        <v>274.21217017934475</v>
      </c>
      <c r="P9" s="51">
        <f>Controls!$F$5*N9</f>
        <v>262.79013951115923</v>
      </c>
      <c r="Q9" s="105">
        <f>-(INDEX(Controls!$G$12:$G$16,MATCH($B9,Controls!$C$12:$C$16,0),0))*$P9</f>
        <v>-11.619173058929743</v>
      </c>
      <c r="R9" s="66">
        <f t="shared" si="6"/>
        <v>251.17096645222949</v>
      </c>
      <c r="T9" s="74" t="s">
        <v>7</v>
      </c>
      <c r="U9" s="63">
        <f>SUMIFS('BP costs'!$J$7:$J$96,'BP costs'!$B$7:$B$96,$T9)</f>
        <v>806.27499999999998</v>
      </c>
      <c r="V9" s="63">
        <f t="shared" si="4"/>
        <v>704.88468439400447</v>
      </c>
      <c r="W9" s="15">
        <f t="shared" si="7"/>
        <v>1.1438395780909349</v>
      </c>
    </row>
    <row r="10" spans="1:23" x14ac:dyDescent="0.2">
      <c r="A10" s="36" t="str">
        <f>'Forecast drivers'!A10</f>
        <v>ANH</v>
      </c>
      <c r="B10" s="57">
        <f>'Forecast drivers'!B10</f>
        <v>2025</v>
      </c>
      <c r="C10" s="36" t="str">
        <f>'Forecast drivers'!C10</f>
        <v>ANH25</v>
      </c>
      <c r="D10" s="50">
        <f>EXP(Coeffs!$D$12+(Coeffs!$D$5*'Forecast drivers'!D10)+(Coeffs!$D$6*'Forecast drivers'!F10)+(Coeffs!$D$8*'Forecast drivers'!I10)+(Coeffs!$D$9*'Forecast drivers'!J10))</f>
        <v>125.14157359181067</v>
      </c>
      <c r="E10" s="50">
        <f>EXP(Coeffs!$E$12+(Coeffs!$E$5*'Forecast drivers'!D10)+(Coeffs!$E$7*'Forecast drivers'!G10)+(Coeffs!$E$8*'Forecast drivers'!I10)+(Coeffs!$E$9*'Forecast drivers'!J10))</f>
        <v>134.4174193711689</v>
      </c>
      <c r="F10" s="50">
        <f>EXP(Coeffs!$F$12+(Coeffs!$F$8*'Forecast drivers'!I10)+(Coeffs!$F$9*'Forecast drivers'!J10)+(Coeffs!$F$10*'Forecast drivers'!E10)+(Coeffs!$F$11*'Forecast drivers'!H10))</f>
        <v>146.7563668050816</v>
      </c>
      <c r="G10" s="50">
        <f>EXP(Coeffs!$G$12+(Coeffs!$G$5*'Forecast drivers'!D10)+(Coeffs!$G$6*'Forecast drivers'!F10)+(Coeffs!$G$8*'Forecast drivers'!I10)+(Coeffs!$G$9*'Forecast drivers'!J10)+(Coeffs!$G$11*'Forecast drivers'!H10))</f>
        <v>270.71235601463928</v>
      </c>
      <c r="H10" s="50">
        <f>EXP(Coeffs!$H$12+(Coeffs!$H$5*'Forecast drivers'!D10)+(Coeffs!$H$7*'Forecast drivers'!G10)+(Coeffs!$H$8*'Forecast drivers'!I10)+(Coeffs!$H$9*'Forecast drivers'!J10)+(Coeffs!$H$11*'Forecast drivers'!H10))</f>
        <v>283.66383443946398</v>
      </c>
      <c r="J10" s="50">
        <f t="shared" si="0"/>
        <v>129.77949648148979</v>
      </c>
      <c r="K10" s="50">
        <f t="shared" si="1"/>
        <v>146.7563668050816</v>
      </c>
      <c r="L10" s="51">
        <f t="shared" si="2"/>
        <v>276.53586328657138</v>
      </c>
      <c r="M10" s="51">
        <f t="shared" si="3"/>
        <v>277.18809522705163</v>
      </c>
      <c r="N10" s="66">
        <f t="shared" si="5"/>
        <v>276.86197925681154</v>
      </c>
      <c r="P10" s="51">
        <f>Controls!$F$5*N10</f>
        <v>265.32957347096487</v>
      </c>
      <c r="Q10" s="105">
        <f>-(INDEX(Controls!$G$12:$G$16,MATCH($B10,Controls!$C$12:$C$16,0),0))*$P10</f>
        <v>-14.529769602873204</v>
      </c>
      <c r="R10" s="66">
        <f t="shared" si="6"/>
        <v>250.79980386809166</v>
      </c>
      <c r="T10" s="74" t="s">
        <v>93</v>
      </c>
      <c r="U10" s="63">
        <f>SUMIFS('BP costs'!$J$7:$J$96,'BP costs'!$B$7:$B$96,$T10)</f>
        <v>2355.9171407746244</v>
      </c>
      <c r="V10" s="63">
        <f t="shared" si="4"/>
        <v>2432.8086073644931</v>
      </c>
      <c r="W10" s="15">
        <f t="shared" si="7"/>
        <v>0.96839395160099884</v>
      </c>
    </row>
    <row r="11" spans="1:23" x14ac:dyDescent="0.2">
      <c r="A11" s="36" t="str">
        <f>'Forecast drivers'!A11</f>
        <v>NES</v>
      </c>
      <c r="B11" s="57">
        <f>'Forecast drivers'!B11</f>
        <v>2021</v>
      </c>
      <c r="C11" s="36" t="str">
        <f>'Forecast drivers'!C11</f>
        <v>NES21</v>
      </c>
      <c r="D11" s="50">
        <f>EXP(Coeffs!$D$12+(Coeffs!$D$5*'Forecast drivers'!D11)+(Coeffs!$D$6*'Forecast drivers'!F11)+(Coeffs!$D$8*'Forecast drivers'!I11)+(Coeffs!$D$9*'Forecast drivers'!J11))</f>
        <v>104.73610526975315</v>
      </c>
      <c r="E11" s="50">
        <f>EXP(Coeffs!$E$12+(Coeffs!$E$5*'Forecast drivers'!D11)+(Coeffs!$E$7*'Forecast drivers'!G11)+(Coeffs!$E$8*'Forecast drivers'!I11)+(Coeffs!$E$9*'Forecast drivers'!J11))</f>
        <v>102.32061870632637</v>
      </c>
      <c r="F11" s="50">
        <f>EXP(Coeffs!$F$12+(Coeffs!$F$8*'Forecast drivers'!I11)+(Coeffs!$F$9*'Forecast drivers'!J11)+(Coeffs!$F$10*'Forecast drivers'!E11)+(Coeffs!$F$11*'Forecast drivers'!H11))</f>
        <v>125.44710142582279</v>
      </c>
      <c r="G11" s="50">
        <f>EXP(Coeffs!$G$12+(Coeffs!$G$5*'Forecast drivers'!D11)+(Coeffs!$G$6*'Forecast drivers'!F11)+(Coeffs!$G$8*'Forecast drivers'!I11)+(Coeffs!$G$9*'Forecast drivers'!J11)+(Coeffs!$G$11*'Forecast drivers'!H11))</f>
        <v>246.38121334436312</v>
      </c>
      <c r="H11" s="50">
        <f>EXP(Coeffs!$H$12+(Coeffs!$H$5*'Forecast drivers'!D11)+(Coeffs!$H$7*'Forecast drivers'!G11)+(Coeffs!$H$8*'Forecast drivers'!I11)+(Coeffs!$H$9*'Forecast drivers'!J11)+(Coeffs!$H$11*'Forecast drivers'!H11))</f>
        <v>247.35547903127326</v>
      </c>
      <c r="J11" s="50">
        <f t="shared" si="0"/>
        <v>103.52836198803976</v>
      </c>
      <c r="K11" s="50">
        <f t="shared" si="1"/>
        <v>125.44710142582279</v>
      </c>
      <c r="L11" s="51">
        <f t="shared" si="2"/>
        <v>228.97546341386254</v>
      </c>
      <c r="M11" s="51">
        <f t="shared" si="3"/>
        <v>246.86834618781819</v>
      </c>
      <c r="N11" s="66">
        <f t="shared" si="5"/>
        <v>237.92190480084037</v>
      </c>
      <c r="P11" s="51">
        <f>Controls!$F$5*N11</f>
        <v>228.01150844063892</v>
      </c>
      <c r="Q11" s="105">
        <f>-(INDEX(Controls!$G$12:$G$16,MATCH($B11,Controls!$C$12:$C$16,0),0))*$P11</f>
        <v>-2.5081265928470278</v>
      </c>
      <c r="R11" s="66">
        <f t="shared" si="6"/>
        <v>225.5033818477919</v>
      </c>
      <c r="T11" s="74" t="s">
        <v>19</v>
      </c>
      <c r="U11" s="63">
        <f>SUMIFS('BP costs'!$J$7:$J$96,'BP costs'!$B$7:$B$96,$T11)</f>
        <v>586.21699999999998</v>
      </c>
      <c r="V11" s="63">
        <f t="shared" si="4"/>
        <v>671.80104405009558</v>
      </c>
      <c r="W11" s="15">
        <f t="shared" si="7"/>
        <v>0.8726050743622934</v>
      </c>
    </row>
    <row r="12" spans="1:23" x14ac:dyDescent="0.2">
      <c r="A12" s="36" t="str">
        <f>'Forecast drivers'!A12</f>
        <v>NES</v>
      </c>
      <c r="B12" s="57">
        <f>'Forecast drivers'!B12</f>
        <v>2022</v>
      </c>
      <c r="C12" s="36" t="str">
        <f>'Forecast drivers'!C12</f>
        <v>NES22</v>
      </c>
      <c r="D12" s="50">
        <f>EXP(Coeffs!$D$12+(Coeffs!$D$5*'Forecast drivers'!D12)+(Coeffs!$D$6*'Forecast drivers'!F12)+(Coeffs!$D$8*'Forecast drivers'!I12)+(Coeffs!$D$9*'Forecast drivers'!J12))</f>
        <v>105.23934819203714</v>
      </c>
      <c r="E12" s="50">
        <f>EXP(Coeffs!$E$12+(Coeffs!$E$5*'Forecast drivers'!D12)+(Coeffs!$E$7*'Forecast drivers'!G12)+(Coeffs!$E$8*'Forecast drivers'!I12)+(Coeffs!$E$9*'Forecast drivers'!J12))</f>
        <v>102.70894887324893</v>
      </c>
      <c r="F12" s="50">
        <f>EXP(Coeffs!$F$12+(Coeffs!$F$8*'Forecast drivers'!I12)+(Coeffs!$F$9*'Forecast drivers'!J12)+(Coeffs!$F$10*'Forecast drivers'!E12)+(Coeffs!$F$11*'Forecast drivers'!H12))</f>
        <v>126.69050971853811</v>
      </c>
      <c r="G12" s="50">
        <f>EXP(Coeffs!$G$12+(Coeffs!$G$5*'Forecast drivers'!D12)+(Coeffs!$G$6*'Forecast drivers'!F12)+(Coeffs!$G$8*'Forecast drivers'!I12)+(Coeffs!$G$9*'Forecast drivers'!J12)+(Coeffs!$G$11*'Forecast drivers'!H12))</f>
        <v>248.03696797827294</v>
      </c>
      <c r="H12" s="50">
        <f>EXP(Coeffs!$H$12+(Coeffs!$H$5*'Forecast drivers'!D12)+(Coeffs!$H$7*'Forecast drivers'!G12)+(Coeffs!$H$8*'Forecast drivers'!I12)+(Coeffs!$H$9*'Forecast drivers'!J12)+(Coeffs!$H$11*'Forecast drivers'!H12))</f>
        <v>248.85643748141715</v>
      </c>
      <c r="J12" s="50">
        <f t="shared" si="0"/>
        <v>103.97414853264303</v>
      </c>
      <c r="K12" s="50">
        <f t="shared" si="1"/>
        <v>126.69050971853811</v>
      </c>
      <c r="L12" s="51">
        <f t="shared" si="2"/>
        <v>230.66465825118115</v>
      </c>
      <c r="M12" s="51">
        <f t="shared" si="3"/>
        <v>248.44670272984504</v>
      </c>
      <c r="N12" s="66">
        <f t="shared" si="5"/>
        <v>239.55568049051311</v>
      </c>
      <c r="P12" s="51">
        <f>Controls!$F$5*N12</f>
        <v>229.57723085601617</v>
      </c>
      <c r="Q12" s="105">
        <f>-(INDEX(Controls!$G$12:$G$16,MATCH($B12,Controls!$C$12:$C$16,0),0))*$P12</f>
        <v>-5.1016881818054314</v>
      </c>
      <c r="R12" s="66">
        <f t="shared" si="6"/>
        <v>224.47554267421074</v>
      </c>
      <c r="T12" s="74" t="s">
        <v>9</v>
      </c>
      <c r="U12" s="63">
        <f>SUMIFS('BP costs'!$J$7:$J$96,'BP costs'!$B$7:$B$96,$T12)</f>
        <v>3642.4954192374307</v>
      </c>
      <c r="V12" s="63">
        <f t="shared" si="4"/>
        <v>3287.4556384411303</v>
      </c>
      <c r="W12" s="15">
        <f t="shared" si="7"/>
        <v>1.1079983488278053</v>
      </c>
    </row>
    <row r="13" spans="1:23" x14ac:dyDescent="0.2">
      <c r="A13" s="36" t="str">
        <f>'Forecast drivers'!A13</f>
        <v>NES</v>
      </c>
      <c r="B13" s="57">
        <f>'Forecast drivers'!B13</f>
        <v>2023</v>
      </c>
      <c r="C13" s="36" t="str">
        <f>'Forecast drivers'!C13</f>
        <v>NES23</v>
      </c>
      <c r="D13" s="50">
        <f>EXP(Coeffs!$D$12+(Coeffs!$D$5*'Forecast drivers'!D13)+(Coeffs!$D$6*'Forecast drivers'!F13)+(Coeffs!$D$8*'Forecast drivers'!I13)+(Coeffs!$D$9*'Forecast drivers'!J13))</f>
        <v>105.86554310645056</v>
      </c>
      <c r="E13" s="50">
        <f>EXP(Coeffs!$E$12+(Coeffs!$E$5*'Forecast drivers'!D13)+(Coeffs!$E$7*'Forecast drivers'!G13)+(Coeffs!$E$8*'Forecast drivers'!I13)+(Coeffs!$E$9*'Forecast drivers'!J13))</f>
        <v>103.2178226794768</v>
      </c>
      <c r="F13" s="50">
        <f>EXP(Coeffs!$F$12+(Coeffs!$F$8*'Forecast drivers'!I13)+(Coeffs!$F$9*'Forecast drivers'!J13)+(Coeffs!$F$10*'Forecast drivers'!E13)+(Coeffs!$F$11*'Forecast drivers'!H13))</f>
        <v>127.88879233965679</v>
      </c>
      <c r="G13" s="50">
        <f>EXP(Coeffs!$G$12+(Coeffs!$G$5*'Forecast drivers'!D13)+(Coeffs!$G$6*'Forecast drivers'!F13)+(Coeffs!$G$8*'Forecast drivers'!I13)+(Coeffs!$G$9*'Forecast drivers'!J13)+(Coeffs!$G$11*'Forecast drivers'!H13))</f>
        <v>249.96684708431661</v>
      </c>
      <c r="H13" s="50">
        <f>EXP(Coeffs!$H$12+(Coeffs!$H$5*'Forecast drivers'!D13)+(Coeffs!$H$7*'Forecast drivers'!G13)+(Coeffs!$H$8*'Forecast drivers'!I13)+(Coeffs!$H$9*'Forecast drivers'!J13)+(Coeffs!$H$11*'Forecast drivers'!H13))</f>
        <v>250.62877405135006</v>
      </c>
      <c r="J13" s="50">
        <f t="shared" si="0"/>
        <v>104.54168289296368</v>
      </c>
      <c r="K13" s="50">
        <f t="shared" si="1"/>
        <v>127.88879233965679</v>
      </c>
      <c r="L13" s="51">
        <f t="shared" si="2"/>
        <v>232.43047523262047</v>
      </c>
      <c r="M13" s="51">
        <f t="shared" si="3"/>
        <v>250.29781056783332</v>
      </c>
      <c r="N13" s="66">
        <f t="shared" si="5"/>
        <v>241.36414290022691</v>
      </c>
      <c r="P13" s="51">
        <f>Controls!$F$5*N13</f>
        <v>231.31036359275265</v>
      </c>
      <c r="Q13" s="105">
        <f>-(INDEX(Controls!$G$12:$G$16,MATCH($B13,Controls!$C$12:$C$16,0),0))*$P13</f>
        <v>-7.7175131960910877</v>
      </c>
      <c r="R13" s="66">
        <f t="shared" si="6"/>
        <v>223.59285039666156</v>
      </c>
      <c r="T13" s="74" t="s">
        <v>23</v>
      </c>
      <c r="U13" s="63">
        <f>SUMIFS('BP costs'!$J$7:$J$96,'BP costs'!$B$7:$B$96,$T13)</f>
        <v>977.05199999999991</v>
      </c>
      <c r="V13" s="63">
        <f t="shared" si="4"/>
        <v>1071.4739210904429</v>
      </c>
      <c r="W13" s="15">
        <f t="shared" si="7"/>
        <v>0.91187660359073464</v>
      </c>
    </row>
    <row r="14" spans="1:23" x14ac:dyDescent="0.2">
      <c r="A14" s="36" t="str">
        <f>'Forecast drivers'!A14</f>
        <v>NES</v>
      </c>
      <c r="B14" s="57">
        <f>'Forecast drivers'!B14</f>
        <v>2024</v>
      </c>
      <c r="C14" s="36" t="str">
        <f>'Forecast drivers'!C14</f>
        <v>NES24</v>
      </c>
      <c r="D14" s="50">
        <f>EXP(Coeffs!$D$12+(Coeffs!$D$5*'Forecast drivers'!D14)+(Coeffs!$D$6*'Forecast drivers'!F14)+(Coeffs!$D$8*'Forecast drivers'!I14)+(Coeffs!$D$9*'Forecast drivers'!J14))</f>
        <v>106.46329274083801</v>
      </c>
      <c r="E14" s="50">
        <f>EXP(Coeffs!$E$12+(Coeffs!$E$5*'Forecast drivers'!D14)+(Coeffs!$E$7*'Forecast drivers'!G14)+(Coeffs!$E$8*'Forecast drivers'!I14)+(Coeffs!$E$9*'Forecast drivers'!J14))</f>
        <v>103.69887031496448</v>
      </c>
      <c r="F14" s="50">
        <f>EXP(Coeffs!$F$12+(Coeffs!$F$8*'Forecast drivers'!I14)+(Coeffs!$F$9*'Forecast drivers'!J14)+(Coeffs!$F$10*'Forecast drivers'!E14)+(Coeffs!$F$11*'Forecast drivers'!H14))</f>
        <v>129.09936660440553</v>
      </c>
      <c r="G14" s="50">
        <f>EXP(Coeffs!$G$12+(Coeffs!$G$5*'Forecast drivers'!D14)+(Coeffs!$G$6*'Forecast drivers'!F14)+(Coeffs!$G$8*'Forecast drivers'!I14)+(Coeffs!$G$9*'Forecast drivers'!J14)+(Coeffs!$G$11*'Forecast drivers'!H14))</f>
        <v>251.81451034092231</v>
      </c>
      <c r="H14" s="50">
        <f>EXP(Coeffs!$H$12+(Coeffs!$H$5*'Forecast drivers'!D14)+(Coeffs!$H$7*'Forecast drivers'!G14)+(Coeffs!$H$8*'Forecast drivers'!I14)+(Coeffs!$H$9*'Forecast drivers'!J14)+(Coeffs!$H$11*'Forecast drivers'!H14))</f>
        <v>252.3185891404265</v>
      </c>
      <c r="J14" s="50">
        <f t="shared" si="0"/>
        <v>105.08108152790125</v>
      </c>
      <c r="K14" s="50">
        <f t="shared" si="1"/>
        <v>129.09936660440553</v>
      </c>
      <c r="L14" s="51">
        <f t="shared" si="2"/>
        <v>234.18044813230676</v>
      </c>
      <c r="M14" s="51">
        <f t="shared" si="3"/>
        <v>252.06654974067442</v>
      </c>
      <c r="N14" s="66">
        <f t="shared" si="5"/>
        <v>243.12349893649059</v>
      </c>
      <c r="P14" s="51">
        <f>Controls!$F$5*N14</f>
        <v>232.9964354323692</v>
      </c>
      <c r="Q14" s="105">
        <f>-(INDEX(Controls!$G$12:$G$16,MATCH($B14,Controls!$C$12:$C$16,0),0))*$P14</f>
        <v>-10.301854972330448</v>
      </c>
      <c r="R14" s="66">
        <f t="shared" si="6"/>
        <v>222.69458046003874</v>
      </c>
      <c r="T14" s="74" t="s">
        <v>10</v>
      </c>
      <c r="U14" s="63">
        <f>SUMIFS('BP costs'!$J$7:$J$96,'BP costs'!$B$7:$B$96,$T14)</f>
        <v>465.61135574887771</v>
      </c>
      <c r="V14" s="63">
        <f t="shared" si="4"/>
        <v>500.21527282118814</v>
      </c>
      <c r="W14" s="15">
        <f t="shared" si="7"/>
        <v>0.9308219501632844</v>
      </c>
    </row>
    <row r="15" spans="1:23" x14ac:dyDescent="0.2">
      <c r="A15" s="36" t="str">
        <f>'Forecast drivers'!A15</f>
        <v>NES</v>
      </c>
      <c r="B15" s="57">
        <f>'Forecast drivers'!B15</f>
        <v>2025</v>
      </c>
      <c r="C15" s="36" t="str">
        <f>'Forecast drivers'!C15</f>
        <v>NES25</v>
      </c>
      <c r="D15" s="50">
        <f>EXP(Coeffs!$D$12+(Coeffs!$D$5*'Forecast drivers'!D15)+(Coeffs!$D$6*'Forecast drivers'!F15)+(Coeffs!$D$8*'Forecast drivers'!I15)+(Coeffs!$D$9*'Forecast drivers'!J15))</f>
        <v>107.06457880750371</v>
      </c>
      <c r="E15" s="50">
        <f>EXP(Coeffs!$E$12+(Coeffs!$E$5*'Forecast drivers'!D15)+(Coeffs!$E$7*'Forecast drivers'!G15)+(Coeffs!$E$8*'Forecast drivers'!I15)+(Coeffs!$E$9*'Forecast drivers'!J15))</f>
        <v>104.18273050599285</v>
      </c>
      <c r="F15" s="50">
        <f>EXP(Coeffs!$F$12+(Coeffs!$F$8*'Forecast drivers'!I15)+(Coeffs!$F$9*'Forecast drivers'!J15)+(Coeffs!$F$10*'Forecast drivers'!E15)+(Coeffs!$F$11*'Forecast drivers'!H15))</f>
        <v>130.31962330773919</v>
      </c>
      <c r="G15" s="50">
        <f>EXP(Coeffs!$G$12+(Coeffs!$G$5*'Forecast drivers'!D15)+(Coeffs!$G$6*'Forecast drivers'!F15)+(Coeffs!$G$8*'Forecast drivers'!I15)+(Coeffs!$G$9*'Forecast drivers'!J15)+(Coeffs!$G$11*'Forecast drivers'!H15))</f>
        <v>253.66427646700043</v>
      </c>
      <c r="H15" s="50">
        <f>EXP(Coeffs!$H$12+(Coeffs!$H$5*'Forecast drivers'!D15)+(Coeffs!$H$7*'Forecast drivers'!G15)+(Coeffs!$H$8*'Forecast drivers'!I15)+(Coeffs!$H$9*'Forecast drivers'!J15)+(Coeffs!$H$11*'Forecast drivers'!H15))</f>
        <v>254.00877338886804</v>
      </c>
      <c r="J15" s="50">
        <f t="shared" si="0"/>
        <v>105.62365465674827</v>
      </c>
      <c r="K15" s="50">
        <f t="shared" si="1"/>
        <v>130.31962330773919</v>
      </c>
      <c r="L15" s="51">
        <f t="shared" si="2"/>
        <v>235.94327796448746</v>
      </c>
      <c r="M15" s="51">
        <f t="shared" si="3"/>
        <v>253.83652492793425</v>
      </c>
      <c r="N15" s="66">
        <f t="shared" si="5"/>
        <v>244.88990144621084</v>
      </c>
      <c r="P15" s="51">
        <f>Controls!$F$5*N15</f>
        <v>234.68926023171579</v>
      </c>
      <c r="Q15" s="105">
        <f>-(INDEX(Controls!$G$12:$G$16,MATCH($B15,Controls!$C$12:$C$16,0),0))*$P15</f>
        <v>-12.851868846835268</v>
      </c>
      <c r="R15" s="66">
        <f t="shared" si="6"/>
        <v>221.83739138488053</v>
      </c>
      <c r="T15" s="74" t="s">
        <v>11</v>
      </c>
      <c r="U15" s="63">
        <f>SUMIFS('BP costs'!$J$7:$J$96,'BP costs'!$B$7:$B$96,$T15)</f>
        <v>1412.607</v>
      </c>
      <c r="V15" s="63">
        <f t="shared" si="4"/>
        <v>1422.7703252338365</v>
      </c>
      <c r="W15" s="15">
        <f t="shared" si="7"/>
        <v>0.99285666487866464</v>
      </c>
    </row>
    <row r="16" spans="1:23" x14ac:dyDescent="0.2">
      <c r="A16" s="36" t="str">
        <f>'Forecast drivers'!A16</f>
        <v>NWT</v>
      </c>
      <c r="B16" s="57">
        <f>'Forecast drivers'!B16</f>
        <v>2021</v>
      </c>
      <c r="C16" s="36" t="str">
        <f>'Forecast drivers'!C16</f>
        <v>NWT21</v>
      </c>
      <c r="D16" s="50">
        <f>EXP(Coeffs!$D$12+(Coeffs!$D$5*'Forecast drivers'!D16)+(Coeffs!$D$6*'Forecast drivers'!F16)+(Coeffs!$D$8*'Forecast drivers'!I16)+(Coeffs!$D$9*'Forecast drivers'!J16))</f>
        <v>170.19835202868666</v>
      </c>
      <c r="E16" s="50">
        <f>EXP(Coeffs!$E$12+(Coeffs!$E$5*'Forecast drivers'!D16)+(Coeffs!$E$7*'Forecast drivers'!G16)+(Coeffs!$E$8*'Forecast drivers'!I16)+(Coeffs!$E$9*'Forecast drivers'!J16))</f>
        <v>162.57939071275854</v>
      </c>
      <c r="F16" s="50">
        <f>EXP(Coeffs!$F$12+(Coeffs!$F$8*'Forecast drivers'!I16)+(Coeffs!$F$9*'Forecast drivers'!J16)+(Coeffs!$F$10*'Forecast drivers'!E16)+(Coeffs!$F$11*'Forecast drivers'!H16))</f>
        <v>230.90705105418772</v>
      </c>
      <c r="G16" s="50">
        <f>EXP(Coeffs!$G$12+(Coeffs!$G$5*'Forecast drivers'!D16)+(Coeffs!$G$6*'Forecast drivers'!F16)+(Coeffs!$G$8*'Forecast drivers'!I16)+(Coeffs!$G$9*'Forecast drivers'!J16)+(Coeffs!$G$11*'Forecast drivers'!H16))</f>
        <v>421.47182786665951</v>
      </c>
      <c r="H16" s="50">
        <f>EXP(Coeffs!$H$12+(Coeffs!$H$5*'Forecast drivers'!D16)+(Coeffs!$H$7*'Forecast drivers'!G16)+(Coeffs!$H$8*'Forecast drivers'!I16)+(Coeffs!$H$9*'Forecast drivers'!J16)+(Coeffs!$H$11*'Forecast drivers'!H16))</f>
        <v>410.26717484953792</v>
      </c>
      <c r="J16" s="50">
        <f t="shared" si="0"/>
        <v>166.3888713707226</v>
      </c>
      <c r="K16" s="50">
        <f t="shared" si="1"/>
        <v>230.90705105418772</v>
      </c>
      <c r="L16" s="51">
        <f t="shared" si="2"/>
        <v>397.29592242491032</v>
      </c>
      <c r="M16" s="51">
        <f t="shared" si="3"/>
        <v>415.86950135809872</v>
      </c>
      <c r="N16" s="66">
        <f t="shared" si="5"/>
        <v>406.58271189150452</v>
      </c>
      <c r="P16" s="51">
        <f>Controls!$F$5*N16</f>
        <v>389.64692016008183</v>
      </c>
      <c r="Q16" s="105">
        <f>-(INDEX(Controls!$G$12:$G$16,MATCH($B16,Controls!$C$12:$C$16,0),0))*$P16</f>
        <v>-4.2861161217608998</v>
      </c>
      <c r="R16" s="66">
        <f t="shared" si="6"/>
        <v>385.36080403832091</v>
      </c>
      <c r="T16" s="74" t="s">
        <v>12</v>
      </c>
      <c r="U16" s="63">
        <f>SUMIFS('BP costs'!$J$7:$J$96,'BP costs'!$B$7:$B$96,$T16)</f>
        <v>1005.8486461108317</v>
      </c>
      <c r="V16" s="63">
        <f t="shared" si="4"/>
        <v>1028.8929717300261</v>
      </c>
      <c r="W16" s="15">
        <f t="shared" si="7"/>
        <v>0.97760279615823731</v>
      </c>
    </row>
    <row r="17" spans="1:23" x14ac:dyDescent="0.2">
      <c r="A17" s="36" t="str">
        <f>'Forecast drivers'!A17</f>
        <v>NWT</v>
      </c>
      <c r="B17" s="57">
        <f>'Forecast drivers'!B17</f>
        <v>2022</v>
      </c>
      <c r="C17" s="36" t="str">
        <f>'Forecast drivers'!C17</f>
        <v>NWT22</v>
      </c>
      <c r="D17" s="50">
        <f>EXP(Coeffs!$D$12+(Coeffs!$D$5*'Forecast drivers'!D17)+(Coeffs!$D$6*'Forecast drivers'!F17)+(Coeffs!$D$8*'Forecast drivers'!I17)+(Coeffs!$D$9*'Forecast drivers'!J17))</f>
        <v>170.86640988110008</v>
      </c>
      <c r="E17" s="50">
        <f>EXP(Coeffs!$E$12+(Coeffs!$E$5*'Forecast drivers'!D17)+(Coeffs!$E$7*'Forecast drivers'!G17)+(Coeffs!$E$8*'Forecast drivers'!I17)+(Coeffs!$E$9*'Forecast drivers'!J17))</f>
        <v>163.17507567872795</v>
      </c>
      <c r="F17" s="50">
        <f>EXP(Coeffs!$F$12+(Coeffs!$F$8*'Forecast drivers'!I17)+(Coeffs!$F$9*'Forecast drivers'!J17)+(Coeffs!$F$10*'Forecast drivers'!E17)+(Coeffs!$F$11*'Forecast drivers'!H17))</f>
        <v>233.43089854306791</v>
      </c>
      <c r="G17" s="50">
        <f>EXP(Coeffs!$G$12+(Coeffs!$G$5*'Forecast drivers'!D17)+(Coeffs!$G$6*'Forecast drivers'!F17)+(Coeffs!$G$8*'Forecast drivers'!I17)+(Coeffs!$G$9*'Forecast drivers'!J17)+(Coeffs!$G$11*'Forecast drivers'!H17))</f>
        <v>424.63940549005412</v>
      </c>
      <c r="H17" s="50">
        <f>EXP(Coeffs!$H$12+(Coeffs!$H$5*'Forecast drivers'!D17)+(Coeffs!$H$7*'Forecast drivers'!G17)+(Coeffs!$H$8*'Forecast drivers'!I17)+(Coeffs!$H$9*'Forecast drivers'!J17)+(Coeffs!$H$11*'Forecast drivers'!H17))</f>
        <v>413.35009779569145</v>
      </c>
      <c r="J17" s="50">
        <f t="shared" si="0"/>
        <v>167.02074277991403</v>
      </c>
      <c r="K17" s="50">
        <f t="shared" si="1"/>
        <v>233.43089854306791</v>
      </c>
      <c r="L17" s="51">
        <f t="shared" si="2"/>
        <v>400.45164132298191</v>
      </c>
      <c r="M17" s="51">
        <f t="shared" si="3"/>
        <v>418.99475164287276</v>
      </c>
      <c r="N17" s="66">
        <f t="shared" si="5"/>
        <v>409.72319648292734</v>
      </c>
      <c r="P17" s="51">
        <f>Controls!$F$5*N17</f>
        <v>392.65659104147591</v>
      </c>
      <c r="Q17" s="105">
        <f>-(INDEX(Controls!$G$12:$G$16,MATCH($B17,Controls!$C$12:$C$16,0),0))*$P17</f>
        <v>-8.7256540317827032</v>
      </c>
      <c r="R17" s="66">
        <f t="shared" si="6"/>
        <v>383.9309370096932</v>
      </c>
      <c r="T17" s="74" t="s">
        <v>13</v>
      </c>
      <c r="U17" s="63">
        <f>SUMIFS('BP costs'!$J$7:$J$96,'BP costs'!$B$7:$B$96,$T17)</f>
        <v>383.27299999999997</v>
      </c>
      <c r="V17" s="63">
        <f t="shared" si="4"/>
        <v>355.09054253036118</v>
      </c>
      <c r="W17" s="15">
        <f t="shared" si="7"/>
        <v>1.0793669616453643</v>
      </c>
    </row>
    <row r="18" spans="1:23" x14ac:dyDescent="0.2">
      <c r="A18" s="36" t="str">
        <f>'Forecast drivers'!A18</f>
        <v>NWT</v>
      </c>
      <c r="B18" s="57">
        <f>'Forecast drivers'!B18</f>
        <v>2023</v>
      </c>
      <c r="C18" s="36" t="str">
        <f>'Forecast drivers'!C18</f>
        <v>NWT23</v>
      </c>
      <c r="D18" s="50">
        <f>EXP(Coeffs!$D$12+(Coeffs!$D$5*'Forecast drivers'!D18)+(Coeffs!$D$6*'Forecast drivers'!F18)+(Coeffs!$D$8*'Forecast drivers'!I18)+(Coeffs!$D$9*'Forecast drivers'!J18))</f>
        <v>171.60587770274267</v>
      </c>
      <c r="E18" s="50">
        <f>EXP(Coeffs!$E$12+(Coeffs!$E$5*'Forecast drivers'!D18)+(Coeffs!$E$7*'Forecast drivers'!G18)+(Coeffs!$E$8*'Forecast drivers'!I18)+(Coeffs!$E$9*'Forecast drivers'!J18))</f>
        <v>163.83866811708296</v>
      </c>
      <c r="F18" s="50">
        <f>EXP(Coeffs!$F$12+(Coeffs!$F$8*'Forecast drivers'!I18)+(Coeffs!$F$9*'Forecast drivers'!J18)+(Coeffs!$F$10*'Forecast drivers'!E18)+(Coeffs!$F$11*'Forecast drivers'!H18))</f>
        <v>236.02583679206589</v>
      </c>
      <c r="G18" s="50">
        <f>EXP(Coeffs!$G$12+(Coeffs!$G$5*'Forecast drivers'!D18)+(Coeffs!$G$6*'Forecast drivers'!F18)+(Coeffs!$G$8*'Forecast drivers'!I18)+(Coeffs!$G$9*'Forecast drivers'!J18)+(Coeffs!$G$11*'Forecast drivers'!H18))</f>
        <v>427.9835320740109</v>
      </c>
      <c r="H18" s="50">
        <f>EXP(Coeffs!$H$12+(Coeffs!$H$5*'Forecast drivers'!D18)+(Coeffs!$H$7*'Forecast drivers'!G18)+(Coeffs!$H$8*'Forecast drivers'!I18)+(Coeffs!$H$9*'Forecast drivers'!J18)+(Coeffs!$H$11*'Forecast drivers'!H18))</f>
        <v>416.60139394889001</v>
      </c>
      <c r="J18" s="50">
        <f t="shared" si="0"/>
        <v>167.72227290991282</v>
      </c>
      <c r="K18" s="50">
        <f t="shared" si="1"/>
        <v>236.02583679206589</v>
      </c>
      <c r="L18" s="51">
        <f t="shared" si="2"/>
        <v>403.74810970197871</v>
      </c>
      <c r="M18" s="51">
        <f t="shared" si="3"/>
        <v>422.29246301145042</v>
      </c>
      <c r="N18" s="66">
        <f t="shared" si="5"/>
        <v>413.02028635671456</v>
      </c>
      <c r="P18" s="51">
        <f>Controls!$F$5*N18</f>
        <v>395.81634397055524</v>
      </c>
      <c r="Q18" s="105">
        <f>-(INDEX(Controls!$G$12:$G$16,MATCH($B18,Controls!$C$12:$C$16,0),0))*$P18</f>
        <v>-13.206143513740075</v>
      </c>
      <c r="R18" s="66">
        <f t="shared" si="6"/>
        <v>382.61020045681516</v>
      </c>
      <c r="T18" s="74" t="s">
        <v>15</v>
      </c>
      <c r="U18" s="63">
        <f>SUMIFS('BP costs'!$J$7:$J$96,'BP costs'!$B$7:$B$96,$T18)</f>
        <v>126.607</v>
      </c>
      <c r="V18" s="63">
        <f t="shared" si="4"/>
        <v>165.16062050851457</v>
      </c>
      <c r="W18" s="15">
        <f t="shared" si="7"/>
        <v>0.76656892914417818</v>
      </c>
    </row>
    <row r="19" spans="1:23" x14ac:dyDescent="0.2">
      <c r="A19" s="36" t="str">
        <f>'Forecast drivers'!A19</f>
        <v>NWT</v>
      </c>
      <c r="B19" s="57">
        <f>'Forecast drivers'!B19</f>
        <v>2024</v>
      </c>
      <c r="C19" s="36" t="str">
        <f>'Forecast drivers'!C19</f>
        <v>NWT24</v>
      </c>
      <c r="D19" s="50">
        <f>EXP(Coeffs!$D$12+(Coeffs!$D$5*'Forecast drivers'!D19)+(Coeffs!$D$6*'Forecast drivers'!F19)+(Coeffs!$D$8*'Forecast drivers'!I19)+(Coeffs!$D$9*'Forecast drivers'!J19))</f>
        <v>172.28071680234638</v>
      </c>
      <c r="E19" s="50">
        <f>EXP(Coeffs!$E$12+(Coeffs!$E$5*'Forecast drivers'!D19)+(Coeffs!$E$7*'Forecast drivers'!G19)+(Coeffs!$E$8*'Forecast drivers'!I19)+(Coeffs!$E$9*'Forecast drivers'!J19))</f>
        <v>164.44260177409623</v>
      </c>
      <c r="F19" s="50">
        <f>EXP(Coeffs!$F$12+(Coeffs!$F$8*'Forecast drivers'!I19)+(Coeffs!$F$9*'Forecast drivers'!J19)+(Coeffs!$F$10*'Forecast drivers'!E19)+(Coeffs!$F$11*'Forecast drivers'!H19))</f>
        <v>238.5824465545407</v>
      </c>
      <c r="G19" s="50">
        <f>EXP(Coeffs!$G$12+(Coeffs!$G$5*'Forecast drivers'!D19)+(Coeffs!$G$6*'Forecast drivers'!F19)+(Coeffs!$G$8*'Forecast drivers'!I19)+(Coeffs!$G$9*'Forecast drivers'!J19)+(Coeffs!$G$11*'Forecast drivers'!H19))</f>
        <v>431.13183651573763</v>
      </c>
      <c r="H19" s="50">
        <f>EXP(Coeffs!$H$12+(Coeffs!$H$5*'Forecast drivers'!D19)+(Coeffs!$H$7*'Forecast drivers'!G19)+(Coeffs!$H$8*'Forecast drivers'!I19)+(Coeffs!$H$9*'Forecast drivers'!J19)+(Coeffs!$H$11*'Forecast drivers'!H19))</f>
        <v>419.66604894553075</v>
      </c>
      <c r="J19" s="50">
        <f t="shared" si="0"/>
        <v>168.36165928822129</v>
      </c>
      <c r="K19" s="50">
        <f t="shared" si="1"/>
        <v>238.5824465545407</v>
      </c>
      <c r="L19" s="51">
        <f t="shared" si="2"/>
        <v>406.94410584276199</v>
      </c>
      <c r="M19" s="51">
        <f t="shared" si="3"/>
        <v>425.39894273063419</v>
      </c>
      <c r="N19" s="66">
        <f t="shared" si="5"/>
        <v>416.17152428669806</v>
      </c>
      <c r="P19" s="51">
        <f>Controls!$F$5*N19</f>
        <v>398.83632027106592</v>
      </c>
      <c r="Q19" s="105">
        <f>-(INDEX(Controls!$G$12:$G$16,MATCH($B19,Controls!$C$12:$C$16,0),0))*$P19</f>
        <v>-17.634406816163882</v>
      </c>
      <c r="R19" s="66">
        <f t="shared" si="6"/>
        <v>381.20191345490201</v>
      </c>
      <c r="T19" s="74" t="s">
        <v>16</v>
      </c>
      <c r="U19" s="63">
        <f>SUMIFS('BP costs'!$J$7:$J$96,'BP costs'!$B$7:$B$96,$T19)</f>
        <v>182.666</v>
      </c>
      <c r="V19" s="63">
        <f t="shared" si="4"/>
        <v>170.843193143326</v>
      </c>
      <c r="W19" s="15">
        <f t="shared" si="7"/>
        <v>1.0692026801837837</v>
      </c>
    </row>
    <row r="20" spans="1:23" x14ac:dyDescent="0.2">
      <c r="A20" s="36" t="str">
        <f>'Forecast drivers'!A20</f>
        <v>NWT</v>
      </c>
      <c r="B20" s="57">
        <f>'Forecast drivers'!B20</f>
        <v>2025</v>
      </c>
      <c r="C20" s="36" t="str">
        <f>'Forecast drivers'!C20</f>
        <v>NWT25</v>
      </c>
      <c r="D20" s="50">
        <f>EXP(Coeffs!$D$12+(Coeffs!$D$5*'Forecast drivers'!D20)+(Coeffs!$D$6*'Forecast drivers'!F20)+(Coeffs!$D$8*'Forecast drivers'!I20)+(Coeffs!$D$9*'Forecast drivers'!J20))</f>
        <v>172.93791030271512</v>
      </c>
      <c r="E20" s="50">
        <f>EXP(Coeffs!$E$12+(Coeffs!$E$5*'Forecast drivers'!D20)+(Coeffs!$E$7*'Forecast drivers'!G20)+(Coeffs!$E$8*'Forecast drivers'!I20)+(Coeffs!$E$9*'Forecast drivers'!J20))</f>
        <v>165.02806536740101</v>
      </c>
      <c r="F20" s="50">
        <f>EXP(Coeffs!$F$12+(Coeffs!$F$8*'Forecast drivers'!I20)+(Coeffs!$F$9*'Forecast drivers'!J20)+(Coeffs!$F$10*'Forecast drivers'!E20)+(Coeffs!$F$11*'Forecast drivers'!H20))</f>
        <v>241.16429381019299</v>
      </c>
      <c r="G20" s="50">
        <f>EXP(Coeffs!$G$12+(Coeffs!$G$5*'Forecast drivers'!D20)+(Coeffs!$G$6*'Forecast drivers'!F20)+(Coeffs!$G$8*'Forecast drivers'!I20)+(Coeffs!$G$9*'Forecast drivers'!J20)+(Coeffs!$G$11*'Forecast drivers'!H20))</f>
        <v>434.24613264814354</v>
      </c>
      <c r="H20" s="50">
        <f>EXP(Coeffs!$H$12+(Coeffs!$H$5*'Forecast drivers'!D20)+(Coeffs!$H$7*'Forecast drivers'!G20)+(Coeffs!$H$8*'Forecast drivers'!I20)+(Coeffs!$H$9*'Forecast drivers'!J20)+(Coeffs!$H$11*'Forecast drivers'!H20))</f>
        <v>422.6948821281037</v>
      </c>
      <c r="J20" s="50">
        <f t="shared" si="0"/>
        <v>168.98298783505805</v>
      </c>
      <c r="K20" s="50">
        <f t="shared" si="1"/>
        <v>241.16429381019299</v>
      </c>
      <c r="L20" s="51">
        <f t="shared" si="2"/>
        <v>410.14728164525104</v>
      </c>
      <c r="M20" s="51">
        <f t="shared" si="3"/>
        <v>428.47050738812362</v>
      </c>
      <c r="N20" s="66">
        <f t="shared" si="5"/>
        <v>419.30889451668736</v>
      </c>
      <c r="P20" s="51">
        <f>Controls!$F$5*N20</f>
        <v>401.84300651660277</v>
      </c>
      <c r="Q20" s="105">
        <f>-(INDEX(Controls!$G$12:$G$16,MATCH($B20,Controls!$C$12:$C$16,0),0))*$P20</f>
        <v>-22.005410949228558</v>
      </c>
      <c r="R20" s="66">
        <f t="shared" si="6"/>
        <v>379.83759556737419</v>
      </c>
      <c r="T20" s="74" t="s">
        <v>17</v>
      </c>
      <c r="U20" s="63">
        <f>SUMIFS('BP costs'!$J$7:$J$96,'BP costs'!$B$7:$B$96,$T20)</f>
        <v>645.45136481287818</v>
      </c>
      <c r="V20" s="63">
        <f t="shared" si="4"/>
        <v>631.54678838550444</v>
      </c>
      <c r="W20" s="15">
        <f t="shared" si="7"/>
        <v>1.0220167003982707</v>
      </c>
    </row>
    <row r="21" spans="1:23" x14ac:dyDescent="0.2">
      <c r="A21" s="36" t="str">
        <f>'Forecast drivers'!A21</f>
        <v>SRN</v>
      </c>
      <c r="B21" s="57">
        <f>'Forecast drivers'!B21</f>
        <v>2021</v>
      </c>
      <c r="C21" s="36" t="str">
        <f>'Forecast drivers'!C21</f>
        <v>SRN21</v>
      </c>
      <c r="D21" s="50">
        <f>EXP(Coeffs!$D$12+(Coeffs!$D$5*'Forecast drivers'!D21)+(Coeffs!$D$6*'Forecast drivers'!F21)+(Coeffs!$D$8*'Forecast drivers'!I21)+(Coeffs!$D$9*'Forecast drivers'!J21))</f>
        <v>53.484730613259998</v>
      </c>
      <c r="E21" s="50">
        <f>EXP(Coeffs!$E$12+(Coeffs!$E$5*'Forecast drivers'!D21)+(Coeffs!$E$7*'Forecast drivers'!G21)+(Coeffs!$E$8*'Forecast drivers'!I21)+(Coeffs!$E$9*'Forecast drivers'!J21))</f>
        <v>51.402107592347747</v>
      </c>
      <c r="F21" s="50">
        <f>EXP(Coeffs!$F$12+(Coeffs!$F$8*'Forecast drivers'!I21)+(Coeffs!$F$9*'Forecast drivers'!J21)+(Coeffs!$F$10*'Forecast drivers'!E21)+(Coeffs!$F$11*'Forecast drivers'!H21))</f>
        <v>83.663615592357758</v>
      </c>
      <c r="G21" s="50">
        <f>EXP(Coeffs!$G$12+(Coeffs!$G$5*'Forecast drivers'!D21)+(Coeffs!$G$6*'Forecast drivers'!F21)+(Coeffs!$G$8*'Forecast drivers'!I21)+(Coeffs!$G$9*'Forecast drivers'!J21)+(Coeffs!$G$11*'Forecast drivers'!H21))</f>
        <v>143.25790042848533</v>
      </c>
      <c r="H21" s="50">
        <f>EXP(Coeffs!$H$12+(Coeffs!$H$5*'Forecast drivers'!D21)+(Coeffs!$H$7*'Forecast drivers'!G21)+(Coeffs!$H$8*'Forecast drivers'!I21)+(Coeffs!$H$9*'Forecast drivers'!J21)+(Coeffs!$H$11*'Forecast drivers'!H21))</f>
        <v>138.60834327652051</v>
      </c>
      <c r="J21" s="50">
        <f t="shared" si="0"/>
        <v>52.443419102803873</v>
      </c>
      <c r="K21" s="50">
        <f t="shared" si="1"/>
        <v>83.663615592357758</v>
      </c>
      <c r="L21" s="51">
        <f t="shared" si="2"/>
        <v>136.10703469516164</v>
      </c>
      <c r="M21" s="51">
        <f t="shared" si="3"/>
        <v>140.93312185250292</v>
      </c>
      <c r="N21" s="66">
        <f t="shared" si="5"/>
        <v>138.52007827383227</v>
      </c>
      <c r="P21" s="51">
        <f>Controls!$F$5*N21</f>
        <v>132.75016448346923</v>
      </c>
      <c r="Q21" s="105">
        <f>-(INDEX(Controls!$G$12:$G$16,MATCH($B21,Controls!$C$12:$C$16,0),0))*$P21</f>
        <v>-1.4602518093181616</v>
      </c>
      <c r="R21" s="66">
        <f t="shared" si="6"/>
        <v>131.28991267415108</v>
      </c>
      <c r="T21" s="74" t="s">
        <v>18</v>
      </c>
      <c r="U21" s="63">
        <f>SUMIFS('BP costs'!$J$7:$J$96,'BP costs'!$B$7:$B$96,$T21)</f>
        <v>428.02152842073548</v>
      </c>
      <c r="V21" s="63">
        <f t="shared" si="4"/>
        <v>414.44545776467891</v>
      </c>
      <c r="W21" s="15">
        <f t="shared" si="7"/>
        <v>1.0327571949497998</v>
      </c>
    </row>
    <row r="22" spans="1:23" x14ac:dyDescent="0.2">
      <c r="A22" s="36" t="str">
        <f>'Forecast drivers'!A22</f>
        <v>SRN</v>
      </c>
      <c r="B22" s="57">
        <f>'Forecast drivers'!B22</f>
        <v>2022</v>
      </c>
      <c r="C22" s="36" t="str">
        <f>'Forecast drivers'!C22</f>
        <v>SRN22</v>
      </c>
      <c r="D22" s="50">
        <f>EXP(Coeffs!$D$12+(Coeffs!$D$5*'Forecast drivers'!D22)+(Coeffs!$D$6*'Forecast drivers'!F22)+(Coeffs!$D$8*'Forecast drivers'!I22)+(Coeffs!$D$9*'Forecast drivers'!J22))</f>
        <v>54.201468608412455</v>
      </c>
      <c r="E22" s="50">
        <f>EXP(Coeffs!$E$12+(Coeffs!$E$5*'Forecast drivers'!D22)+(Coeffs!$E$7*'Forecast drivers'!G22)+(Coeffs!$E$8*'Forecast drivers'!I22)+(Coeffs!$E$9*'Forecast drivers'!J22))</f>
        <v>51.751013753107863</v>
      </c>
      <c r="F22" s="50">
        <f>EXP(Coeffs!$F$12+(Coeffs!$F$8*'Forecast drivers'!I22)+(Coeffs!$F$9*'Forecast drivers'!J22)+(Coeffs!$F$10*'Forecast drivers'!E22)+(Coeffs!$F$11*'Forecast drivers'!H22))</f>
        <v>84.044439636354255</v>
      </c>
      <c r="G22" s="50">
        <f>EXP(Coeffs!$G$12+(Coeffs!$G$5*'Forecast drivers'!D22)+(Coeffs!$G$6*'Forecast drivers'!F22)+(Coeffs!$G$8*'Forecast drivers'!I22)+(Coeffs!$G$9*'Forecast drivers'!J22)+(Coeffs!$G$11*'Forecast drivers'!H22))</f>
        <v>144.92318365655669</v>
      </c>
      <c r="H22" s="50">
        <f>EXP(Coeffs!$H$12+(Coeffs!$H$5*'Forecast drivers'!D22)+(Coeffs!$H$7*'Forecast drivers'!G22)+(Coeffs!$H$8*'Forecast drivers'!I22)+(Coeffs!$H$9*'Forecast drivers'!J22)+(Coeffs!$H$11*'Forecast drivers'!H22))</f>
        <v>139.63480253406561</v>
      </c>
      <c r="J22" s="50">
        <f t="shared" si="0"/>
        <v>52.976241180760155</v>
      </c>
      <c r="K22" s="50">
        <f t="shared" si="1"/>
        <v>84.044439636354255</v>
      </c>
      <c r="L22" s="51">
        <f t="shared" si="2"/>
        <v>137.0206808171144</v>
      </c>
      <c r="M22" s="51">
        <f t="shared" si="3"/>
        <v>142.27899309531114</v>
      </c>
      <c r="N22" s="66">
        <f t="shared" si="5"/>
        <v>139.64983695621277</v>
      </c>
      <c r="P22" s="51">
        <f>Controls!$F$5*N22</f>
        <v>133.832864210336</v>
      </c>
      <c r="Q22" s="105">
        <f>-(INDEX(Controls!$G$12:$G$16,MATCH($B22,Controls!$C$12:$C$16,0),0))*$P22</f>
        <v>-2.974047291768481</v>
      </c>
      <c r="R22" s="66">
        <f t="shared" si="6"/>
        <v>130.85881691856753</v>
      </c>
      <c r="T22" s="69" t="s">
        <v>33</v>
      </c>
      <c r="U22" s="70">
        <f>SUM(U6:U21)</f>
        <v>17572.684420612917</v>
      </c>
      <c r="V22" s="70">
        <f>SUM(V6:V21)</f>
        <v>17488.798290738003</v>
      </c>
      <c r="W22" s="71">
        <f t="shared" ref="W22" si="8">U22/V22</f>
        <v>1.0047965634047789</v>
      </c>
    </row>
    <row r="23" spans="1:23" x14ac:dyDescent="0.2">
      <c r="A23" s="36" t="str">
        <f>'Forecast drivers'!A23</f>
        <v>SRN</v>
      </c>
      <c r="B23" s="57">
        <f>'Forecast drivers'!B23</f>
        <v>2023</v>
      </c>
      <c r="C23" s="36" t="str">
        <f>'Forecast drivers'!C23</f>
        <v>SRN23</v>
      </c>
      <c r="D23" s="50">
        <f>EXP(Coeffs!$D$12+(Coeffs!$D$5*'Forecast drivers'!D23)+(Coeffs!$D$6*'Forecast drivers'!F23)+(Coeffs!$D$8*'Forecast drivers'!I23)+(Coeffs!$D$9*'Forecast drivers'!J23))</f>
        <v>55.005441113690431</v>
      </c>
      <c r="E23" s="50">
        <f>EXP(Coeffs!$E$12+(Coeffs!$E$5*'Forecast drivers'!D23)+(Coeffs!$E$7*'Forecast drivers'!G23)+(Coeffs!$E$8*'Forecast drivers'!I23)+(Coeffs!$E$9*'Forecast drivers'!J23))</f>
        <v>52.174155667044154</v>
      </c>
      <c r="F23" s="50">
        <f>EXP(Coeffs!$F$12+(Coeffs!$F$8*'Forecast drivers'!I23)+(Coeffs!$F$9*'Forecast drivers'!J23)+(Coeffs!$F$10*'Forecast drivers'!E23)+(Coeffs!$F$11*'Forecast drivers'!H23))</f>
        <v>84.448698387014403</v>
      </c>
      <c r="G23" s="50">
        <f>EXP(Coeffs!$G$12+(Coeffs!$G$5*'Forecast drivers'!D23)+(Coeffs!$G$6*'Forecast drivers'!F23)+(Coeffs!$G$8*'Forecast drivers'!I23)+(Coeffs!$G$9*'Forecast drivers'!J23)+(Coeffs!$G$11*'Forecast drivers'!H23))</f>
        <v>146.8328368297104</v>
      </c>
      <c r="H23" s="50">
        <f>EXP(Coeffs!$H$12+(Coeffs!$H$5*'Forecast drivers'!D23)+(Coeffs!$H$7*'Forecast drivers'!G23)+(Coeffs!$H$8*'Forecast drivers'!I23)+(Coeffs!$H$9*'Forecast drivers'!J23)+(Coeffs!$H$11*'Forecast drivers'!H23))</f>
        <v>140.87955440905773</v>
      </c>
      <c r="J23" s="50">
        <f t="shared" si="0"/>
        <v>53.589798390367292</v>
      </c>
      <c r="K23" s="50">
        <f t="shared" si="1"/>
        <v>84.448698387014403</v>
      </c>
      <c r="L23" s="51">
        <f t="shared" si="2"/>
        <v>138.03849677738168</v>
      </c>
      <c r="M23" s="51">
        <f t="shared" si="3"/>
        <v>143.85619561938407</v>
      </c>
      <c r="N23" s="66">
        <f t="shared" si="5"/>
        <v>140.94734619838289</v>
      </c>
      <c r="P23" s="51">
        <f>Controls!$F$5*N23</f>
        <v>135.07632701705202</v>
      </c>
      <c r="Q23" s="105">
        <f>-(INDEX(Controls!$G$12:$G$16,MATCH($B23,Controls!$C$12:$C$16,0),0))*$P23</f>
        <v>-4.5067299192394508</v>
      </c>
      <c r="R23" s="66">
        <f t="shared" si="6"/>
        <v>130.56959709781256</v>
      </c>
    </row>
    <row r="24" spans="1:23" x14ac:dyDescent="0.2">
      <c r="A24" s="36" t="str">
        <f>'Forecast drivers'!A24</f>
        <v>SRN</v>
      </c>
      <c r="B24" s="57">
        <f>'Forecast drivers'!B24</f>
        <v>2024</v>
      </c>
      <c r="C24" s="36" t="str">
        <f>'Forecast drivers'!C24</f>
        <v>SRN24</v>
      </c>
      <c r="D24" s="50">
        <f>EXP(Coeffs!$D$12+(Coeffs!$D$5*'Forecast drivers'!D24)+(Coeffs!$D$6*'Forecast drivers'!F24)+(Coeffs!$D$8*'Forecast drivers'!I24)+(Coeffs!$D$9*'Forecast drivers'!J24))</f>
        <v>55.809952369156015</v>
      </c>
      <c r="E24" s="50">
        <f>EXP(Coeffs!$E$12+(Coeffs!$E$5*'Forecast drivers'!D24)+(Coeffs!$E$7*'Forecast drivers'!G24)+(Coeffs!$E$8*'Forecast drivers'!I24)+(Coeffs!$E$9*'Forecast drivers'!J24))</f>
        <v>52.590051668848346</v>
      </c>
      <c r="F24" s="50">
        <f>EXP(Coeffs!$F$12+(Coeffs!$F$8*'Forecast drivers'!I24)+(Coeffs!$F$9*'Forecast drivers'!J24)+(Coeffs!$F$10*'Forecast drivers'!E24)+(Coeffs!$F$11*'Forecast drivers'!H24))</f>
        <v>84.842877958886319</v>
      </c>
      <c r="G24" s="50">
        <f>EXP(Coeffs!$G$12+(Coeffs!$G$5*'Forecast drivers'!D24)+(Coeffs!$G$6*'Forecast drivers'!F24)+(Coeffs!$G$8*'Forecast drivers'!I24)+(Coeffs!$G$9*'Forecast drivers'!J24)+(Coeffs!$G$11*'Forecast drivers'!H24))</f>
        <v>148.72855517174565</v>
      </c>
      <c r="H24" s="50">
        <f>EXP(Coeffs!$H$12+(Coeffs!$H$5*'Forecast drivers'!D24)+(Coeffs!$H$7*'Forecast drivers'!G24)+(Coeffs!$H$8*'Forecast drivers'!I24)+(Coeffs!$H$9*'Forecast drivers'!J24)+(Coeffs!$H$11*'Forecast drivers'!H24))</f>
        <v>142.09839560858387</v>
      </c>
      <c r="J24" s="50">
        <f t="shared" si="0"/>
        <v>54.200002019002184</v>
      </c>
      <c r="K24" s="50">
        <f t="shared" si="1"/>
        <v>84.842877958886319</v>
      </c>
      <c r="L24" s="51">
        <f t="shared" si="2"/>
        <v>139.0428799778885</v>
      </c>
      <c r="M24" s="51">
        <f t="shared" si="3"/>
        <v>145.41347539016476</v>
      </c>
      <c r="N24" s="66">
        <f t="shared" si="5"/>
        <v>142.22817768402663</v>
      </c>
      <c r="P24" s="51">
        <f>Controls!$F$5*N24</f>
        <v>136.30380676232542</v>
      </c>
      <c r="Q24" s="105">
        <f>-(INDEX(Controls!$G$12:$G$16,MATCH($B24,Controls!$C$12:$C$16,0),0))*$P24</f>
        <v>-6.0266245997982919</v>
      </c>
      <c r="R24" s="66">
        <f t="shared" si="6"/>
        <v>130.27718216252714</v>
      </c>
    </row>
    <row r="25" spans="1:23" x14ac:dyDescent="0.2">
      <c r="A25" s="36" t="str">
        <f>'Forecast drivers'!A25</f>
        <v>SRN</v>
      </c>
      <c r="B25" s="57">
        <f>'Forecast drivers'!B25</f>
        <v>2025</v>
      </c>
      <c r="C25" s="36" t="str">
        <f>'Forecast drivers'!C25</f>
        <v>SRN25</v>
      </c>
      <c r="D25" s="50">
        <f>EXP(Coeffs!$D$12+(Coeffs!$D$5*'Forecast drivers'!D25)+(Coeffs!$D$6*'Forecast drivers'!F25)+(Coeffs!$D$8*'Forecast drivers'!I25)+(Coeffs!$D$9*'Forecast drivers'!J25))</f>
        <v>56.621886222438462</v>
      </c>
      <c r="E25" s="50">
        <f>EXP(Coeffs!$E$12+(Coeffs!$E$5*'Forecast drivers'!D25)+(Coeffs!$E$7*'Forecast drivers'!G25)+(Coeffs!$E$8*'Forecast drivers'!I25)+(Coeffs!$E$9*'Forecast drivers'!J25))</f>
        <v>53.002818664427934</v>
      </c>
      <c r="F25" s="50">
        <f>EXP(Coeffs!$F$12+(Coeffs!$F$8*'Forecast drivers'!I25)+(Coeffs!$F$9*'Forecast drivers'!J25)+(Coeffs!$F$10*'Forecast drivers'!E25)+(Coeffs!$F$11*'Forecast drivers'!H25))</f>
        <v>85.271135988996122</v>
      </c>
      <c r="G25" s="50">
        <f>EXP(Coeffs!$G$12+(Coeffs!$G$5*'Forecast drivers'!D25)+(Coeffs!$G$6*'Forecast drivers'!F25)+(Coeffs!$G$8*'Forecast drivers'!I25)+(Coeffs!$G$9*'Forecast drivers'!J25)+(Coeffs!$G$11*'Forecast drivers'!H25))</f>
        <v>150.65746912903657</v>
      </c>
      <c r="H25" s="50">
        <f>EXP(Coeffs!$H$12+(Coeffs!$H$5*'Forecast drivers'!D25)+(Coeffs!$H$7*'Forecast drivers'!G25)+(Coeffs!$H$8*'Forecast drivers'!I25)+(Coeffs!$H$9*'Forecast drivers'!J25)+(Coeffs!$H$11*'Forecast drivers'!H25))</f>
        <v>143.33253513230454</v>
      </c>
      <c r="J25" s="50">
        <f t="shared" si="0"/>
        <v>54.812352443433198</v>
      </c>
      <c r="K25" s="50">
        <f t="shared" si="1"/>
        <v>85.271135988996122</v>
      </c>
      <c r="L25" s="51">
        <f t="shared" si="2"/>
        <v>140.08348843242931</v>
      </c>
      <c r="M25" s="51">
        <f t="shared" si="3"/>
        <v>146.99500213067057</v>
      </c>
      <c r="N25" s="66">
        <f t="shared" si="5"/>
        <v>143.53924528154994</v>
      </c>
      <c r="P25" s="51">
        <f>Controls!$F$5*N25</f>
        <v>137.56026316481248</v>
      </c>
      <c r="Q25" s="105">
        <f>-(INDEX(Controls!$G$12:$G$16,MATCH($B25,Controls!$C$12:$C$16,0),0))*$P25</f>
        <v>-7.5329670347284203</v>
      </c>
      <c r="R25" s="66">
        <f t="shared" si="6"/>
        <v>130.02729613008407</v>
      </c>
      <c r="U25" s="73" t="s">
        <v>140</v>
      </c>
      <c r="V25" s="72"/>
      <c r="W25" s="75">
        <f>PERCENTILE($W$6:$W$21,0.25)</f>
        <v>0.91110746494632211</v>
      </c>
    </row>
    <row r="26" spans="1:23" x14ac:dyDescent="0.2">
      <c r="A26" s="36" t="str">
        <f>'Forecast drivers'!A26</f>
        <v>SVT</v>
      </c>
      <c r="B26" s="57">
        <f>'Forecast drivers'!B26</f>
        <v>2021</v>
      </c>
      <c r="C26" s="36" t="str">
        <f>'Forecast drivers'!C26</f>
        <v>SVT21</v>
      </c>
      <c r="D26" s="50">
        <f>EXP(Coeffs!$D$12+(Coeffs!$D$5*'Forecast drivers'!D26)+(Coeffs!$D$6*'Forecast drivers'!F26)+(Coeffs!$D$8*'Forecast drivers'!I26)+(Coeffs!$D$9*'Forecast drivers'!J26))</f>
        <v>177.06871100091948</v>
      </c>
      <c r="E26" s="50">
        <f>EXP(Coeffs!$E$12+(Coeffs!$E$5*'Forecast drivers'!D26)+(Coeffs!$E$7*'Forecast drivers'!G26)+(Coeffs!$E$8*'Forecast drivers'!I26)+(Coeffs!$E$9*'Forecast drivers'!J26))</f>
        <v>166.02926635108963</v>
      </c>
      <c r="F26" s="50">
        <f>EXP(Coeffs!$F$12+(Coeffs!$F$8*'Forecast drivers'!I26)+(Coeffs!$F$9*'Forecast drivers'!J26)+(Coeffs!$F$10*'Forecast drivers'!E26)+(Coeffs!$F$11*'Forecast drivers'!H26))</f>
        <v>290.38735936930601</v>
      </c>
      <c r="G26" s="50">
        <f>EXP(Coeffs!$G$12+(Coeffs!$G$5*'Forecast drivers'!D26)+(Coeffs!$G$6*'Forecast drivers'!F26)+(Coeffs!$G$8*'Forecast drivers'!I26)+(Coeffs!$G$9*'Forecast drivers'!J26)+(Coeffs!$G$11*'Forecast drivers'!H26))</f>
        <v>473.70464867806749</v>
      </c>
      <c r="H26" s="50">
        <f>EXP(Coeffs!$H$12+(Coeffs!$H$5*'Forecast drivers'!D26)+(Coeffs!$H$7*'Forecast drivers'!G26)+(Coeffs!$H$8*'Forecast drivers'!I26)+(Coeffs!$H$9*'Forecast drivers'!J26)+(Coeffs!$H$11*'Forecast drivers'!H26))</f>
        <v>443.25323914639915</v>
      </c>
      <c r="J26" s="50">
        <f t="shared" si="0"/>
        <v>171.54898867600457</v>
      </c>
      <c r="K26" s="50">
        <f t="shared" si="1"/>
        <v>290.38735936930601</v>
      </c>
      <c r="L26" s="51">
        <f t="shared" si="2"/>
        <v>461.93634804531058</v>
      </c>
      <c r="M26" s="51">
        <f t="shared" si="3"/>
        <v>458.47894391223332</v>
      </c>
      <c r="N26" s="66">
        <f t="shared" si="5"/>
        <v>460.20764597877195</v>
      </c>
      <c r="P26" s="51">
        <f>Controls!$F$5*N26</f>
        <v>441.03816184294726</v>
      </c>
      <c r="Q26" s="105">
        <f>-(INDEX(Controls!$G$12:$G$16,MATCH($B26,Controls!$C$12:$C$16,0),0))*$P26</f>
        <v>-4.8514197802724199</v>
      </c>
      <c r="R26" s="66">
        <f t="shared" si="6"/>
        <v>436.18674206267485</v>
      </c>
    </row>
    <row r="27" spans="1:23" x14ac:dyDescent="0.2">
      <c r="A27" s="36" t="str">
        <f>'Forecast drivers'!A27</f>
        <v>SVT</v>
      </c>
      <c r="B27" s="57">
        <f>'Forecast drivers'!B27</f>
        <v>2022</v>
      </c>
      <c r="C27" s="36" t="str">
        <f>'Forecast drivers'!C27</f>
        <v>SVT22</v>
      </c>
      <c r="D27" s="50">
        <f>EXP(Coeffs!$D$12+(Coeffs!$D$5*'Forecast drivers'!D27)+(Coeffs!$D$6*'Forecast drivers'!F27)+(Coeffs!$D$8*'Forecast drivers'!I27)+(Coeffs!$D$9*'Forecast drivers'!J27))</f>
        <v>179.43291163552288</v>
      </c>
      <c r="E27" s="50">
        <f>EXP(Coeffs!$E$12+(Coeffs!$E$5*'Forecast drivers'!D27)+(Coeffs!$E$7*'Forecast drivers'!G27)+(Coeffs!$E$8*'Forecast drivers'!I27)+(Coeffs!$E$9*'Forecast drivers'!J27))</f>
        <v>166.84922224260538</v>
      </c>
      <c r="F27" s="50">
        <f>EXP(Coeffs!$F$12+(Coeffs!$F$8*'Forecast drivers'!I27)+(Coeffs!$F$9*'Forecast drivers'!J27)+(Coeffs!$F$10*'Forecast drivers'!E27)+(Coeffs!$F$11*'Forecast drivers'!H27))</f>
        <v>291.60165075416143</v>
      </c>
      <c r="G27" s="50">
        <f>EXP(Coeffs!$G$12+(Coeffs!$G$5*'Forecast drivers'!D27)+(Coeffs!$G$6*'Forecast drivers'!F27)+(Coeffs!$G$8*'Forecast drivers'!I27)+(Coeffs!$G$9*'Forecast drivers'!J27)+(Coeffs!$G$11*'Forecast drivers'!H27))</f>
        <v>478.87530865669129</v>
      </c>
      <c r="H27" s="50">
        <f>EXP(Coeffs!$H$12+(Coeffs!$H$5*'Forecast drivers'!D27)+(Coeffs!$H$7*'Forecast drivers'!G27)+(Coeffs!$H$8*'Forecast drivers'!I27)+(Coeffs!$H$9*'Forecast drivers'!J27)+(Coeffs!$H$11*'Forecast drivers'!H27))</f>
        <v>445.72592874596705</v>
      </c>
      <c r="J27" s="50">
        <f t="shared" si="0"/>
        <v>173.14106693906413</v>
      </c>
      <c r="K27" s="50">
        <f t="shared" si="1"/>
        <v>291.60165075416143</v>
      </c>
      <c r="L27" s="51">
        <f t="shared" si="2"/>
        <v>464.74271769322559</v>
      </c>
      <c r="M27" s="51">
        <f t="shared" si="3"/>
        <v>462.3006187013292</v>
      </c>
      <c r="N27" s="66">
        <f t="shared" si="5"/>
        <v>463.52166819727739</v>
      </c>
      <c r="P27" s="51">
        <f>Controls!$F$5*N27</f>
        <v>444.21414181704739</v>
      </c>
      <c r="Q27" s="105">
        <f>-(INDEX(Controls!$G$12:$G$16,MATCH($B27,Controls!$C$12:$C$16,0),0))*$P27</f>
        <v>-9.871371080872521</v>
      </c>
      <c r="R27" s="66">
        <f t="shared" si="6"/>
        <v>434.34277073617488</v>
      </c>
    </row>
    <row r="28" spans="1:23" x14ac:dyDescent="0.2">
      <c r="A28" s="36" t="str">
        <f>'Forecast drivers'!A28</f>
        <v>SVT</v>
      </c>
      <c r="B28" s="57">
        <f>'Forecast drivers'!B28</f>
        <v>2023</v>
      </c>
      <c r="C28" s="36" t="str">
        <f>'Forecast drivers'!C28</f>
        <v>SVT23</v>
      </c>
      <c r="D28" s="50">
        <f>EXP(Coeffs!$D$12+(Coeffs!$D$5*'Forecast drivers'!D28)+(Coeffs!$D$6*'Forecast drivers'!F28)+(Coeffs!$D$8*'Forecast drivers'!I28)+(Coeffs!$D$9*'Forecast drivers'!J28))</f>
        <v>182.02996887230674</v>
      </c>
      <c r="E28" s="50">
        <f>EXP(Coeffs!$E$12+(Coeffs!$E$5*'Forecast drivers'!D28)+(Coeffs!$E$7*'Forecast drivers'!G28)+(Coeffs!$E$8*'Forecast drivers'!I28)+(Coeffs!$E$9*'Forecast drivers'!J28))</f>
        <v>167.88021599828335</v>
      </c>
      <c r="F28" s="50">
        <f>EXP(Coeffs!$F$12+(Coeffs!$F$8*'Forecast drivers'!I28)+(Coeffs!$F$9*'Forecast drivers'!J28)+(Coeffs!$F$10*'Forecast drivers'!E28)+(Coeffs!$F$11*'Forecast drivers'!H28))</f>
        <v>292.81328497779873</v>
      </c>
      <c r="G28" s="50">
        <f>EXP(Coeffs!$G$12+(Coeffs!$G$5*'Forecast drivers'!D28)+(Coeffs!$G$6*'Forecast drivers'!F28)+(Coeffs!$G$8*'Forecast drivers'!I28)+(Coeffs!$G$9*'Forecast drivers'!J28)+(Coeffs!$G$11*'Forecast drivers'!H28))</f>
        <v>484.66894948981417</v>
      </c>
      <c r="H28" s="50">
        <f>EXP(Coeffs!$H$12+(Coeffs!$H$5*'Forecast drivers'!D28)+(Coeffs!$H$7*'Forecast drivers'!G28)+(Coeffs!$H$8*'Forecast drivers'!I28)+(Coeffs!$H$9*'Forecast drivers'!J28)+(Coeffs!$H$11*'Forecast drivers'!H28))</f>
        <v>448.76551807311432</v>
      </c>
      <c r="J28" s="50">
        <f t="shared" si="0"/>
        <v>174.95509243529506</v>
      </c>
      <c r="K28" s="50">
        <f t="shared" si="1"/>
        <v>292.81328497779873</v>
      </c>
      <c r="L28" s="51">
        <f t="shared" si="2"/>
        <v>467.76837741309379</v>
      </c>
      <c r="M28" s="51">
        <f t="shared" si="3"/>
        <v>466.71723378146424</v>
      </c>
      <c r="N28" s="66">
        <f t="shared" si="5"/>
        <v>467.24280559727902</v>
      </c>
      <c r="P28" s="51">
        <f>Controls!$F$5*N28</f>
        <v>447.78027900142928</v>
      </c>
      <c r="Q28" s="105">
        <f>-(INDEX(Controls!$G$12:$G$16,MATCH($B28,Controls!$C$12:$C$16,0),0))*$P28</f>
        <v>-14.939884916817251</v>
      </c>
      <c r="R28" s="66">
        <f t="shared" si="6"/>
        <v>432.840394084612</v>
      </c>
    </row>
    <row r="29" spans="1:23" x14ac:dyDescent="0.2">
      <c r="A29" s="36" t="str">
        <f>'Forecast drivers'!A29</f>
        <v>SVT</v>
      </c>
      <c r="B29" s="57">
        <f>'Forecast drivers'!B29</f>
        <v>2024</v>
      </c>
      <c r="C29" s="36" t="str">
        <f>'Forecast drivers'!C29</f>
        <v>SVT24</v>
      </c>
      <c r="D29" s="50">
        <f>EXP(Coeffs!$D$12+(Coeffs!$D$5*'Forecast drivers'!D29)+(Coeffs!$D$6*'Forecast drivers'!F29)+(Coeffs!$D$8*'Forecast drivers'!I29)+(Coeffs!$D$9*'Forecast drivers'!J29))</f>
        <v>184.60164708243298</v>
      </c>
      <c r="E29" s="50">
        <f>EXP(Coeffs!$E$12+(Coeffs!$E$5*'Forecast drivers'!D29)+(Coeffs!$E$7*'Forecast drivers'!G29)+(Coeffs!$E$8*'Forecast drivers'!I29)+(Coeffs!$E$9*'Forecast drivers'!J29))</f>
        <v>168.88114372619063</v>
      </c>
      <c r="F29" s="50">
        <f>EXP(Coeffs!$F$12+(Coeffs!$F$8*'Forecast drivers'!I29)+(Coeffs!$F$9*'Forecast drivers'!J29)+(Coeffs!$F$10*'Forecast drivers'!E29)+(Coeffs!$F$11*'Forecast drivers'!H29))</f>
        <v>294.01895153295345</v>
      </c>
      <c r="G29" s="50">
        <f>EXP(Coeffs!$G$12+(Coeffs!$G$5*'Forecast drivers'!D29)+(Coeffs!$G$6*'Forecast drivers'!F29)+(Coeffs!$G$8*'Forecast drivers'!I29)+(Coeffs!$G$9*'Forecast drivers'!J29)+(Coeffs!$G$11*'Forecast drivers'!H29))</f>
        <v>490.3792441093737</v>
      </c>
      <c r="H29" s="50">
        <f>EXP(Coeffs!$H$12+(Coeffs!$H$5*'Forecast drivers'!D29)+(Coeffs!$H$7*'Forecast drivers'!G29)+(Coeffs!$H$8*'Forecast drivers'!I29)+(Coeffs!$H$9*'Forecast drivers'!J29)+(Coeffs!$H$11*'Forecast drivers'!H29))</f>
        <v>451.72078248796998</v>
      </c>
      <c r="J29" s="50">
        <f t="shared" si="0"/>
        <v>176.74139540431179</v>
      </c>
      <c r="K29" s="50">
        <f t="shared" si="1"/>
        <v>294.01895153295345</v>
      </c>
      <c r="L29" s="51">
        <f t="shared" si="2"/>
        <v>470.76034693726524</v>
      </c>
      <c r="M29" s="51">
        <f t="shared" si="3"/>
        <v>471.05001329867184</v>
      </c>
      <c r="N29" s="66">
        <f t="shared" si="5"/>
        <v>470.90518011796854</v>
      </c>
      <c r="P29" s="51">
        <f>Controls!$F$5*N29</f>
        <v>451.2901010148164</v>
      </c>
      <c r="Q29" s="105">
        <f>-(INDEX(Controls!$G$12:$G$16,MATCH($B29,Controls!$C$12:$C$16,0),0))*$P29</f>
        <v>-19.953632176714034</v>
      </c>
      <c r="R29" s="66">
        <f t="shared" si="6"/>
        <v>431.33646883810235</v>
      </c>
    </row>
    <row r="30" spans="1:23" x14ac:dyDescent="0.2">
      <c r="A30" s="36" t="str">
        <f>'Forecast drivers'!A30</f>
        <v>SVT</v>
      </c>
      <c r="B30" s="57">
        <f>'Forecast drivers'!B30</f>
        <v>2025</v>
      </c>
      <c r="C30" s="36" t="str">
        <f>'Forecast drivers'!C30</f>
        <v>SVT25</v>
      </c>
      <c r="D30" s="50">
        <f>EXP(Coeffs!$D$12+(Coeffs!$D$5*'Forecast drivers'!D30)+(Coeffs!$D$6*'Forecast drivers'!F30)+(Coeffs!$D$8*'Forecast drivers'!I30)+(Coeffs!$D$9*'Forecast drivers'!J30))</f>
        <v>187.1963797033996</v>
      </c>
      <c r="E30" s="50">
        <f>EXP(Coeffs!$E$12+(Coeffs!$E$5*'Forecast drivers'!D30)+(Coeffs!$E$7*'Forecast drivers'!G30)+(Coeffs!$E$8*'Forecast drivers'!I30)+(Coeffs!$E$9*'Forecast drivers'!J30))</f>
        <v>169.89448897970871</v>
      </c>
      <c r="F30" s="50">
        <f>EXP(Coeffs!$F$12+(Coeffs!$F$8*'Forecast drivers'!I30)+(Coeffs!$F$9*'Forecast drivers'!J30)+(Coeffs!$F$10*'Forecast drivers'!E30)+(Coeffs!$F$11*'Forecast drivers'!H30))</f>
        <v>295.26285853429437</v>
      </c>
      <c r="G30" s="50">
        <f>EXP(Coeffs!$G$12+(Coeffs!$G$5*'Forecast drivers'!D30)+(Coeffs!$G$6*'Forecast drivers'!F30)+(Coeffs!$G$8*'Forecast drivers'!I30)+(Coeffs!$G$9*'Forecast drivers'!J30)+(Coeffs!$G$11*'Forecast drivers'!H30))</f>
        <v>496.16488755308188</v>
      </c>
      <c r="H30" s="50">
        <f>EXP(Coeffs!$H$12+(Coeffs!$H$5*'Forecast drivers'!D30)+(Coeffs!$H$7*'Forecast drivers'!G30)+(Coeffs!$H$8*'Forecast drivers'!I30)+(Coeffs!$H$9*'Forecast drivers'!J30)+(Coeffs!$H$11*'Forecast drivers'!H30))</f>
        <v>454.73363027790236</v>
      </c>
      <c r="J30" s="50">
        <f t="shared" si="0"/>
        <v>178.54543434155414</v>
      </c>
      <c r="K30" s="50">
        <f t="shared" si="1"/>
        <v>295.26285853429437</v>
      </c>
      <c r="L30" s="51">
        <f t="shared" si="2"/>
        <v>473.80829287584851</v>
      </c>
      <c r="M30" s="51">
        <f t="shared" si="3"/>
        <v>475.44925891549212</v>
      </c>
      <c r="N30" s="66">
        <f t="shared" si="5"/>
        <v>474.62877589567029</v>
      </c>
      <c r="P30" s="51">
        <f>Controls!$F$5*N30</f>
        <v>454.85859417566121</v>
      </c>
      <c r="Q30" s="105">
        <f>-(INDEX(Controls!$G$12:$G$16,MATCH($B30,Controls!$C$12:$C$16,0),0))*$P30</f>
        <v>-24.908608900252823</v>
      </c>
      <c r="R30" s="66">
        <f t="shared" si="6"/>
        <v>429.94998527540838</v>
      </c>
    </row>
    <row r="31" spans="1:23" x14ac:dyDescent="0.2">
      <c r="A31" s="36" t="str">
        <f>'Forecast drivers'!A31</f>
        <v>SWB</v>
      </c>
      <c r="B31" s="57">
        <f>'Forecast drivers'!B31</f>
        <v>2021</v>
      </c>
      <c r="C31" s="36" t="str">
        <f>'Forecast drivers'!C31</f>
        <v>SWB21</v>
      </c>
      <c r="D31" s="50">
        <f>EXP(Coeffs!$D$12+(Coeffs!$D$5*'Forecast drivers'!D31)+(Coeffs!$D$6*'Forecast drivers'!F31)+(Coeffs!$D$8*'Forecast drivers'!I31)+(Coeffs!$D$9*'Forecast drivers'!J31))</f>
        <v>56.116546273685586</v>
      </c>
      <c r="E31" s="50">
        <f>EXP(Coeffs!$E$12+(Coeffs!$E$5*'Forecast drivers'!D31)+(Coeffs!$E$7*'Forecast drivers'!G31)+(Coeffs!$E$8*'Forecast drivers'!I31)+(Coeffs!$E$9*'Forecast drivers'!J31))</f>
        <v>54.5032802538949</v>
      </c>
      <c r="F31" s="50">
        <f>EXP(Coeffs!$F$12+(Coeffs!$F$8*'Forecast drivers'!I31)+(Coeffs!$F$9*'Forecast drivers'!J31)+(Coeffs!$F$10*'Forecast drivers'!E31)+(Coeffs!$F$11*'Forecast drivers'!H31))</f>
        <v>81.487978831470798</v>
      </c>
      <c r="G31" s="50">
        <f>EXP(Coeffs!$G$12+(Coeffs!$G$5*'Forecast drivers'!D31)+(Coeffs!$G$6*'Forecast drivers'!F31)+(Coeffs!$G$8*'Forecast drivers'!I31)+(Coeffs!$G$9*'Forecast drivers'!J31)+(Coeffs!$G$11*'Forecast drivers'!H31))</f>
        <v>128.81052367612062</v>
      </c>
      <c r="H31" s="50">
        <f>EXP(Coeffs!$H$12+(Coeffs!$H$5*'Forecast drivers'!D31)+(Coeffs!$H$7*'Forecast drivers'!G31)+(Coeffs!$H$8*'Forecast drivers'!I31)+(Coeffs!$H$9*'Forecast drivers'!J31)+(Coeffs!$H$11*'Forecast drivers'!H31))</f>
        <v>128.12723667855832</v>
      </c>
      <c r="J31" s="50">
        <f t="shared" si="0"/>
        <v>55.309913263790243</v>
      </c>
      <c r="K31" s="50">
        <f t="shared" si="1"/>
        <v>81.487978831470798</v>
      </c>
      <c r="L31" s="51">
        <f t="shared" si="2"/>
        <v>136.79789209526103</v>
      </c>
      <c r="M31" s="51">
        <f t="shared" si="3"/>
        <v>128.46888017733949</v>
      </c>
      <c r="N31" s="66">
        <f t="shared" si="5"/>
        <v>132.63338613630026</v>
      </c>
      <c r="P31" s="51">
        <f>Controls!$F$5*N31</f>
        <v>127.10867655436125</v>
      </c>
      <c r="Q31" s="105">
        <f>-(INDEX(Controls!$G$12:$G$16,MATCH($B31,Controls!$C$12:$C$16,0),0))*$P31</f>
        <v>-1.3981954420979736</v>
      </c>
      <c r="R31" s="66">
        <f t="shared" si="6"/>
        <v>125.71048111226328</v>
      </c>
    </row>
    <row r="32" spans="1:23" x14ac:dyDescent="0.2">
      <c r="A32" s="36" t="str">
        <f>'Forecast drivers'!A32</f>
        <v>SWB</v>
      </c>
      <c r="B32" s="57">
        <f>'Forecast drivers'!B32</f>
        <v>2022</v>
      </c>
      <c r="C32" s="36" t="str">
        <f>'Forecast drivers'!C32</f>
        <v>SWB22</v>
      </c>
      <c r="D32" s="50">
        <f>EXP(Coeffs!$D$12+(Coeffs!$D$5*'Forecast drivers'!D32)+(Coeffs!$D$6*'Forecast drivers'!F32)+(Coeffs!$D$8*'Forecast drivers'!I32)+(Coeffs!$D$9*'Forecast drivers'!J32))</f>
        <v>56.421727452072865</v>
      </c>
      <c r="E32" s="50">
        <f>EXP(Coeffs!$E$12+(Coeffs!$E$5*'Forecast drivers'!D32)+(Coeffs!$E$7*'Forecast drivers'!G32)+(Coeffs!$E$8*'Forecast drivers'!I32)+(Coeffs!$E$9*'Forecast drivers'!J32))</f>
        <v>54.806654168181645</v>
      </c>
      <c r="F32" s="50">
        <f>EXP(Coeffs!$F$12+(Coeffs!$F$8*'Forecast drivers'!I32)+(Coeffs!$F$9*'Forecast drivers'!J32)+(Coeffs!$F$10*'Forecast drivers'!E32)+(Coeffs!$F$11*'Forecast drivers'!H32))</f>
        <v>81.90809697314775</v>
      </c>
      <c r="G32" s="50">
        <f>EXP(Coeffs!$G$12+(Coeffs!$G$5*'Forecast drivers'!D32)+(Coeffs!$G$6*'Forecast drivers'!F32)+(Coeffs!$G$8*'Forecast drivers'!I32)+(Coeffs!$G$9*'Forecast drivers'!J32)+(Coeffs!$G$11*'Forecast drivers'!H32))</f>
        <v>129.64074528250788</v>
      </c>
      <c r="H32" s="50">
        <f>EXP(Coeffs!$H$12+(Coeffs!$H$5*'Forecast drivers'!D32)+(Coeffs!$H$7*'Forecast drivers'!G32)+(Coeffs!$H$8*'Forecast drivers'!I32)+(Coeffs!$H$9*'Forecast drivers'!J32)+(Coeffs!$H$11*'Forecast drivers'!H32))</f>
        <v>128.9575796040028</v>
      </c>
      <c r="J32" s="50">
        <f t="shared" si="0"/>
        <v>55.614190810127255</v>
      </c>
      <c r="K32" s="50">
        <f t="shared" si="1"/>
        <v>81.90809697314775</v>
      </c>
      <c r="L32" s="51">
        <f t="shared" si="2"/>
        <v>137.522287783275</v>
      </c>
      <c r="M32" s="51">
        <f t="shared" si="3"/>
        <v>129.29916244325534</v>
      </c>
      <c r="N32" s="66">
        <f t="shared" si="5"/>
        <v>133.41072511326519</v>
      </c>
      <c r="P32" s="51">
        <f>Controls!$F$5*N32</f>
        <v>127.85363626227819</v>
      </c>
      <c r="Q32" s="105">
        <f>-(INDEX(Controls!$G$12:$G$16,MATCH($B32,Controls!$C$12:$C$16,0),0))*$P32</f>
        <v>-2.8411762903839466</v>
      </c>
      <c r="R32" s="66">
        <f t="shared" si="6"/>
        <v>125.01245997189424</v>
      </c>
    </row>
    <row r="33" spans="1:18" x14ac:dyDescent="0.2">
      <c r="A33" s="36" t="str">
        <f>'Forecast drivers'!A33</f>
        <v>SWB</v>
      </c>
      <c r="B33" s="57">
        <f>'Forecast drivers'!B33</f>
        <v>2023</v>
      </c>
      <c r="C33" s="36" t="str">
        <f>'Forecast drivers'!C33</f>
        <v>SWB23</v>
      </c>
      <c r="D33" s="50">
        <f>EXP(Coeffs!$D$12+(Coeffs!$D$5*'Forecast drivers'!D33)+(Coeffs!$D$6*'Forecast drivers'!F33)+(Coeffs!$D$8*'Forecast drivers'!I33)+(Coeffs!$D$9*'Forecast drivers'!J33))</f>
        <v>56.80527447690632</v>
      </c>
      <c r="E33" s="50">
        <f>EXP(Coeffs!$E$12+(Coeffs!$E$5*'Forecast drivers'!D33)+(Coeffs!$E$7*'Forecast drivers'!G33)+(Coeffs!$E$8*'Forecast drivers'!I33)+(Coeffs!$E$9*'Forecast drivers'!J33))</f>
        <v>55.185955965682233</v>
      </c>
      <c r="F33" s="50">
        <f>EXP(Coeffs!$F$12+(Coeffs!$F$8*'Forecast drivers'!I33)+(Coeffs!$F$9*'Forecast drivers'!J33)+(Coeffs!$F$10*'Forecast drivers'!E33)+(Coeffs!$F$11*'Forecast drivers'!H33))</f>
        <v>82.355853310033822</v>
      </c>
      <c r="G33" s="50">
        <f>EXP(Coeffs!$G$12+(Coeffs!$G$5*'Forecast drivers'!D33)+(Coeffs!$G$6*'Forecast drivers'!F33)+(Coeffs!$G$8*'Forecast drivers'!I33)+(Coeffs!$G$9*'Forecast drivers'!J33)+(Coeffs!$G$11*'Forecast drivers'!H33))</f>
        <v>130.6617789934734</v>
      </c>
      <c r="H33" s="50">
        <f>EXP(Coeffs!$H$12+(Coeffs!$H$5*'Forecast drivers'!D33)+(Coeffs!$H$7*'Forecast drivers'!G33)+(Coeffs!$H$8*'Forecast drivers'!I33)+(Coeffs!$H$9*'Forecast drivers'!J33)+(Coeffs!$H$11*'Forecast drivers'!H33))</f>
        <v>129.97521065246039</v>
      </c>
      <c r="J33" s="50">
        <f t="shared" si="0"/>
        <v>55.995615221294273</v>
      </c>
      <c r="K33" s="50">
        <f t="shared" si="1"/>
        <v>82.355853310033822</v>
      </c>
      <c r="L33" s="51">
        <f t="shared" si="2"/>
        <v>138.35146853132809</v>
      </c>
      <c r="M33" s="51">
        <f t="shared" si="3"/>
        <v>130.3184948229669</v>
      </c>
      <c r="N33" s="66">
        <f t="shared" si="5"/>
        <v>134.33498167714748</v>
      </c>
      <c r="P33" s="51">
        <f>Controls!$F$5*N33</f>
        <v>128.73939385359108</v>
      </c>
      <c r="Q33" s="105">
        <f>-(INDEX(Controls!$G$12:$G$16,MATCH($B33,Controls!$C$12:$C$16,0),0))*$P33</f>
        <v>-4.295302447715259</v>
      </c>
      <c r="R33" s="66">
        <f t="shared" si="6"/>
        <v>124.44409140587582</v>
      </c>
    </row>
    <row r="34" spans="1:18" x14ac:dyDescent="0.2">
      <c r="A34" s="36" t="str">
        <f>'Forecast drivers'!A34</f>
        <v>SWB</v>
      </c>
      <c r="B34" s="57">
        <f>'Forecast drivers'!B34</f>
        <v>2024</v>
      </c>
      <c r="C34" s="36" t="str">
        <f>'Forecast drivers'!C34</f>
        <v>SWB24</v>
      </c>
      <c r="D34" s="50">
        <f>EXP(Coeffs!$D$12+(Coeffs!$D$5*'Forecast drivers'!D34)+(Coeffs!$D$6*'Forecast drivers'!F34)+(Coeffs!$D$8*'Forecast drivers'!I34)+(Coeffs!$D$9*'Forecast drivers'!J34))</f>
        <v>57.183300335212991</v>
      </c>
      <c r="E34" s="50">
        <f>EXP(Coeffs!$E$12+(Coeffs!$E$5*'Forecast drivers'!D34)+(Coeffs!$E$7*'Forecast drivers'!G34)+(Coeffs!$E$8*'Forecast drivers'!I34)+(Coeffs!$E$9*'Forecast drivers'!J34))</f>
        <v>55.55976701737513</v>
      </c>
      <c r="F34" s="50">
        <f>EXP(Coeffs!$F$12+(Coeffs!$F$8*'Forecast drivers'!I34)+(Coeffs!$F$9*'Forecast drivers'!J34)+(Coeffs!$F$10*'Forecast drivers'!E34)+(Coeffs!$F$11*'Forecast drivers'!H34))</f>
        <v>82.793652541942663</v>
      </c>
      <c r="G34" s="50">
        <f>EXP(Coeffs!$G$12+(Coeffs!$G$5*'Forecast drivers'!D34)+(Coeffs!$G$6*'Forecast drivers'!F34)+(Coeffs!$G$8*'Forecast drivers'!I34)+(Coeffs!$G$9*'Forecast drivers'!J34)+(Coeffs!$G$11*'Forecast drivers'!H34))</f>
        <v>131.67316816001031</v>
      </c>
      <c r="H34" s="50">
        <f>EXP(Coeffs!$H$12+(Coeffs!$H$5*'Forecast drivers'!D34)+(Coeffs!$H$7*'Forecast drivers'!G34)+(Coeffs!$H$8*'Forecast drivers'!I34)+(Coeffs!$H$9*'Forecast drivers'!J34)+(Coeffs!$H$11*'Forecast drivers'!H34))</f>
        <v>130.98317960147153</v>
      </c>
      <c r="J34" s="50">
        <f t="shared" si="0"/>
        <v>56.371533676294064</v>
      </c>
      <c r="K34" s="50">
        <f t="shared" si="1"/>
        <v>82.793652541942663</v>
      </c>
      <c r="L34" s="51">
        <f t="shared" si="2"/>
        <v>139.16518621823673</v>
      </c>
      <c r="M34" s="51">
        <f t="shared" si="3"/>
        <v>131.32817388074091</v>
      </c>
      <c r="N34" s="66">
        <f t="shared" si="5"/>
        <v>135.24668004948882</v>
      </c>
      <c r="P34" s="51">
        <f>Controls!$F$5*N34</f>
        <v>129.61311635213289</v>
      </c>
      <c r="Q34" s="105">
        <f>-(INDEX(Controls!$G$12:$G$16,MATCH($B34,Controls!$C$12:$C$16,0),0))*$P34</f>
        <v>-5.7307980900808397</v>
      </c>
      <c r="R34" s="66">
        <f t="shared" si="6"/>
        <v>123.88231826205205</v>
      </c>
    </row>
    <row r="35" spans="1:18" x14ac:dyDescent="0.2">
      <c r="A35" s="36" t="str">
        <f>'Forecast drivers'!A35</f>
        <v>SWB</v>
      </c>
      <c r="B35" s="57">
        <f>'Forecast drivers'!B35</f>
        <v>2025</v>
      </c>
      <c r="C35" s="36" t="str">
        <f>'Forecast drivers'!C35</f>
        <v>SWB25</v>
      </c>
      <c r="D35" s="50">
        <f>EXP(Coeffs!$D$12+(Coeffs!$D$5*'Forecast drivers'!D35)+(Coeffs!$D$6*'Forecast drivers'!F35)+(Coeffs!$D$8*'Forecast drivers'!I35)+(Coeffs!$D$9*'Forecast drivers'!J35))</f>
        <v>57.550194802157307</v>
      </c>
      <c r="E35" s="50">
        <f>EXP(Coeffs!$E$12+(Coeffs!$E$5*'Forecast drivers'!D35)+(Coeffs!$E$7*'Forecast drivers'!G35)+(Coeffs!$E$8*'Forecast drivers'!I35)+(Coeffs!$E$9*'Forecast drivers'!J35))</f>
        <v>55.922068640262076</v>
      </c>
      <c r="F35" s="50">
        <f>EXP(Coeffs!$F$12+(Coeffs!$F$8*'Forecast drivers'!I35)+(Coeffs!$F$9*'Forecast drivers'!J35)+(Coeffs!$F$10*'Forecast drivers'!E35)+(Coeffs!$F$11*'Forecast drivers'!H35))</f>
        <v>83.27101658841714</v>
      </c>
      <c r="G35" s="50">
        <f>EXP(Coeffs!$G$12+(Coeffs!$G$5*'Forecast drivers'!D35)+(Coeffs!$G$6*'Forecast drivers'!F35)+(Coeffs!$G$8*'Forecast drivers'!I35)+(Coeffs!$G$9*'Forecast drivers'!J35)+(Coeffs!$G$11*'Forecast drivers'!H35))</f>
        <v>132.69043685182157</v>
      </c>
      <c r="H35" s="50">
        <f>EXP(Coeffs!$H$12+(Coeffs!$H$5*'Forecast drivers'!D35)+(Coeffs!$H$7*'Forecast drivers'!G35)+(Coeffs!$H$8*'Forecast drivers'!I35)+(Coeffs!$H$9*'Forecast drivers'!J35)+(Coeffs!$H$11*'Forecast drivers'!H35))</f>
        <v>131.99635082450044</v>
      </c>
      <c r="J35" s="50">
        <f t="shared" si="0"/>
        <v>56.736131721209688</v>
      </c>
      <c r="K35" s="50">
        <f t="shared" si="1"/>
        <v>83.27101658841714</v>
      </c>
      <c r="L35" s="51">
        <f t="shared" si="2"/>
        <v>140.00714830962681</v>
      </c>
      <c r="M35" s="51">
        <f t="shared" si="3"/>
        <v>132.34339383816101</v>
      </c>
      <c r="N35" s="66">
        <f t="shared" si="5"/>
        <v>136.1752710738939</v>
      </c>
      <c r="P35" s="51">
        <f>Controls!$F$5*N35</f>
        <v>130.50302785639846</v>
      </c>
      <c r="Q35" s="105">
        <f>-(INDEX(Controls!$G$12:$G$16,MATCH($B35,Controls!$C$12:$C$16,0),0))*$P35</f>
        <v>-7.1465042604393769</v>
      </c>
      <c r="R35" s="66">
        <f t="shared" si="6"/>
        <v>123.35652359595909</v>
      </c>
    </row>
    <row r="36" spans="1:18" x14ac:dyDescent="0.2">
      <c r="A36" s="36" t="str">
        <f>'Forecast drivers'!A36</f>
        <v>TMS</v>
      </c>
      <c r="B36" s="57">
        <f>'Forecast drivers'!B36</f>
        <v>2021</v>
      </c>
      <c r="C36" s="36" t="str">
        <f>'Forecast drivers'!C36</f>
        <v>TMS21</v>
      </c>
      <c r="D36" s="50">
        <f>EXP(Coeffs!$D$12+(Coeffs!$D$5*'Forecast drivers'!D36)+(Coeffs!$D$6*'Forecast drivers'!F36)+(Coeffs!$D$8*'Forecast drivers'!I36)+(Coeffs!$D$9*'Forecast drivers'!J36))</f>
        <v>186.40296664040596</v>
      </c>
      <c r="E36" s="50">
        <f>EXP(Coeffs!$E$12+(Coeffs!$E$5*'Forecast drivers'!D36)+(Coeffs!$E$7*'Forecast drivers'!G36)+(Coeffs!$E$8*'Forecast drivers'!I36)+(Coeffs!$E$9*'Forecast drivers'!J36))</f>
        <v>172.77002114826476</v>
      </c>
      <c r="F36" s="50">
        <f>EXP(Coeffs!$F$12+(Coeffs!$F$8*'Forecast drivers'!I36)+(Coeffs!$F$9*'Forecast drivers'!J36)+(Coeffs!$F$10*'Forecast drivers'!E36)+(Coeffs!$F$11*'Forecast drivers'!H36))</f>
        <v>462.11170466956349</v>
      </c>
      <c r="G36" s="50">
        <f>EXP(Coeffs!$G$12+(Coeffs!$G$5*'Forecast drivers'!D36)+(Coeffs!$G$6*'Forecast drivers'!F36)+(Coeffs!$G$8*'Forecast drivers'!I36)+(Coeffs!$G$9*'Forecast drivers'!J36)+(Coeffs!$G$11*'Forecast drivers'!H36))</f>
        <v>647.86951750622143</v>
      </c>
      <c r="H36" s="50">
        <f>EXP(Coeffs!$H$12+(Coeffs!$H$5*'Forecast drivers'!D36)+(Coeffs!$H$7*'Forecast drivers'!G36)+(Coeffs!$H$8*'Forecast drivers'!I36)+(Coeffs!$H$9*'Forecast drivers'!J36)+(Coeffs!$H$11*'Forecast drivers'!H36))</f>
        <v>634.78454902097928</v>
      </c>
      <c r="J36" s="50">
        <f t="shared" si="0"/>
        <v>179.58649389433538</v>
      </c>
      <c r="K36" s="50">
        <f t="shared" si="1"/>
        <v>462.11170466956349</v>
      </c>
      <c r="L36" s="51">
        <f t="shared" si="2"/>
        <v>641.69819856389881</v>
      </c>
      <c r="M36" s="51">
        <f t="shared" si="3"/>
        <v>641.32703326360036</v>
      </c>
      <c r="N36" s="66">
        <f t="shared" si="5"/>
        <v>641.51261591374964</v>
      </c>
      <c r="P36" s="51">
        <f>Controls!$F$5*N36</f>
        <v>614.79105658907633</v>
      </c>
      <c r="Q36" s="105">
        <f>-(INDEX(Controls!$G$12:$G$16,MATCH($B36,Controls!$C$12:$C$16,0),0))*$P36</f>
        <v>-6.7627016224798391</v>
      </c>
      <c r="R36" s="66">
        <f t="shared" si="6"/>
        <v>608.02835496659645</v>
      </c>
    </row>
    <row r="37" spans="1:18" x14ac:dyDescent="0.2">
      <c r="A37" s="36" t="str">
        <f>'Forecast drivers'!A37</f>
        <v>TMS</v>
      </c>
      <c r="B37" s="57">
        <f>'Forecast drivers'!B37</f>
        <v>2022</v>
      </c>
      <c r="C37" s="36" t="str">
        <f>'Forecast drivers'!C37</f>
        <v>TMS22</v>
      </c>
      <c r="D37" s="50">
        <f>EXP(Coeffs!$D$12+(Coeffs!$D$5*'Forecast drivers'!D37)+(Coeffs!$D$6*'Forecast drivers'!F37)+(Coeffs!$D$8*'Forecast drivers'!I37)+(Coeffs!$D$9*'Forecast drivers'!J37))</f>
        <v>187.99626046742375</v>
      </c>
      <c r="E37" s="50">
        <f>EXP(Coeffs!$E$12+(Coeffs!$E$5*'Forecast drivers'!D37)+(Coeffs!$E$7*'Forecast drivers'!G37)+(Coeffs!$E$8*'Forecast drivers'!I37)+(Coeffs!$E$9*'Forecast drivers'!J37))</f>
        <v>173.90822439815435</v>
      </c>
      <c r="F37" s="50">
        <f>EXP(Coeffs!$F$12+(Coeffs!$F$8*'Forecast drivers'!I37)+(Coeffs!$F$9*'Forecast drivers'!J37)+(Coeffs!$F$10*'Forecast drivers'!E37)+(Coeffs!$F$11*'Forecast drivers'!H37))</f>
        <v>468.67514335323636</v>
      </c>
      <c r="G37" s="50">
        <f>EXP(Coeffs!$G$12+(Coeffs!$G$5*'Forecast drivers'!D37)+(Coeffs!$G$6*'Forecast drivers'!F37)+(Coeffs!$G$8*'Forecast drivers'!I37)+(Coeffs!$G$9*'Forecast drivers'!J37)+(Coeffs!$G$11*'Forecast drivers'!H37))</f>
        <v>655.59502799157792</v>
      </c>
      <c r="H37" s="50">
        <f>EXP(Coeffs!$H$12+(Coeffs!$H$5*'Forecast drivers'!D37)+(Coeffs!$H$7*'Forecast drivers'!G37)+(Coeffs!$H$8*'Forecast drivers'!I37)+(Coeffs!$H$9*'Forecast drivers'!J37)+(Coeffs!$H$11*'Forecast drivers'!H37))</f>
        <v>641.56629966015532</v>
      </c>
      <c r="J37" s="50">
        <f t="shared" si="0"/>
        <v>180.95224243278903</v>
      </c>
      <c r="K37" s="50">
        <f t="shared" si="1"/>
        <v>468.67514335323636</v>
      </c>
      <c r="L37" s="51">
        <f t="shared" si="2"/>
        <v>649.62738578602534</v>
      </c>
      <c r="M37" s="51">
        <f t="shared" si="3"/>
        <v>648.58066382586662</v>
      </c>
      <c r="N37" s="66">
        <f t="shared" si="5"/>
        <v>649.10402480594598</v>
      </c>
      <c r="P37" s="51">
        <f>Controls!$F$5*N37</f>
        <v>622.06625302022587</v>
      </c>
      <c r="Q37" s="105">
        <f>-(INDEX(Controls!$G$12:$G$16,MATCH($B37,Controls!$C$12:$C$16,0),0))*$P37</f>
        <v>-13.823618481240636</v>
      </c>
      <c r="R37" s="66">
        <f t="shared" si="6"/>
        <v>608.24263453898527</v>
      </c>
    </row>
    <row r="38" spans="1:18" x14ac:dyDescent="0.2">
      <c r="A38" s="36" t="str">
        <f>'Forecast drivers'!A38</f>
        <v>TMS</v>
      </c>
      <c r="B38" s="57">
        <f>'Forecast drivers'!B38</f>
        <v>2023</v>
      </c>
      <c r="C38" s="36" t="str">
        <f>'Forecast drivers'!C38</f>
        <v>TMS23</v>
      </c>
      <c r="D38" s="50">
        <f>EXP(Coeffs!$D$12+(Coeffs!$D$5*'Forecast drivers'!D38)+(Coeffs!$D$6*'Forecast drivers'!F38)+(Coeffs!$D$8*'Forecast drivers'!I38)+(Coeffs!$D$9*'Forecast drivers'!J38))</f>
        <v>190.15244875568911</v>
      </c>
      <c r="E38" s="50">
        <f>EXP(Coeffs!$E$12+(Coeffs!$E$5*'Forecast drivers'!D38)+(Coeffs!$E$7*'Forecast drivers'!G38)+(Coeffs!$E$8*'Forecast drivers'!I38)+(Coeffs!$E$9*'Forecast drivers'!J38))</f>
        <v>175.59047132648701</v>
      </c>
      <c r="F38" s="50">
        <f>EXP(Coeffs!$F$12+(Coeffs!$F$8*'Forecast drivers'!I38)+(Coeffs!$F$9*'Forecast drivers'!J38)+(Coeffs!$F$10*'Forecast drivers'!E38)+(Coeffs!$F$11*'Forecast drivers'!H38))</f>
        <v>474.73465030706467</v>
      </c>
      <c r="G38" s="50">
        <f>EXP(Coeffs!$G$12+(Coeffs!$G$5*'Forecast drivers'!D38)+(Coeffs!$G$6*'Forecast drivers'!F38)+(Coeffs!$G$8*'Forecast drivers'!I38)+(Coeffs!$G$9*'Forecast drivers'!J38)+(Coeffs!$G$11*'Forecast drivers'!H38))</f>
        <v>665.14149281622201</v>
      </c>
      <c r="H38" s="50">
        <f>EXP(Coeffs!$H$12+(Coeffs!$H$5*'Forecast drivers'!D38)+(Coeffs!$H$7*'Forecast drivers'!G38)+(Coeffs!$H$8*'Forecast drivers'!I38)+(Coeffs!$H$9*'Forecast drivers'!J38)+(Coeffs!$H$11*'Forecast drivers'!H38))</f>
        <v>650.14887682505264</v>
      </c>
      <c r="J38" s="50">
        <f t="shared" ref="J38:J69" si="9">D$4*D38+E$4*E38</f>
        <v>182.87146004108806</v>
      </c>
      <c r="K38" s="50">
        <f t="shared" ref="K38:K69" si="10">F$4*F38</f>
        <v>474.73465030706467</v>
      </c>
      <c r="L38" s="51">
        <f t="shared" ref="L38:L69" si="11">J38+K38</f>
        <v>657.6061103481527</v>
      </c>
      <c r="M38" s="51">
        <f t="shared" ref="M38:M69" si="12">G38*$G$4+H38*$H$4</f>
        <v>657.64518482063727</v>
      </c>
      <c r="N38" s="66">
        <f t="shared" si="5"/>
        <v>657.62564758439498</v>
      </c>
      <c r="P38" s="51">
        <f>Controls!$F$5*N38</f>
        <v>630.23291621881924</v>
      </c>
      <c r="Q38" s="105">
        <f>-(INDEX(Controls!$G$12:$G$16,MATCH($B38,Controls!$C$12:$C$16,0),0))*$P38</f>
        <v>-21.027293252164938</v>
      </c>
      <c r="R38" s="66">
        <f t="shared" si="6"/>
        <v>609.20562296665435</v>
      </c>
    </row>
    <row r="39" spans="1:18" x14ac:dyDescent="0.2">
      <c r="A39" s="36" t="str">
        <f>'Forecast drivers'!A39</f>
        <v>TMS</v>
      </c>
      <c r="B39" s="57">
        <f>'Forecast drivers'!B39</f>
        <v>2024</v>
      </c>
      <c r="C39" s="36" t="str">
        <f>'Forecast drivers'!C39</f>
        <v>TMS24</v>
      </c>
      <c r="D39" s="50">
        <f>EXP(Coeffs!$D$12+(Coeffs!$D$5*'Forecast drivers'!D39)+(Coeffs!$D$6*'Forecast drivers'!F39)+(Coeffs!$D$8*'Forecast drivers'!I39)+(Coeffs!$D$9*'Forecast drivers'!J39))</f>
        <v>192.22413850044856</v>
      </c>
      <c r="E39" s="50">
        <f>EXP(Coeffs!$E$12+(Coeffs!$E$5*'Forecast drivers'!D39)+(Coeffs!$E$7*'Forecast drivers'!G39)+(Coeffs!$E$8*'Forecast drivers'!I39)+(Coeffs!$E$9*'Forecast drivers'!J39))</f>
        <v>177.21839609421491</v>
      </c>
      <c r="F39" s="50">
        <f>EXP(Coeffs!$F$12+(Coeffs!$F$8*'Forecast drivers'!I39)+(Coeffs!$F$9*'Forecast drivers'!J39)+(Coeffs!$F$10*'Forecast drivers'!E39)+(Coeffs!$F$11*'Forecast drivers'!H39))</f>
        <v>480.24663632968714</v>
      </c>
      <c r="G39" s="50">
        <f>EXP(Coeffs!$G$12+(Coeffs!$G$5*'Forecast drivers'!D39)+(Coeffs!$G$6*'Forecast drivers'!F39)+(Coeffs!$G$8*'Forecast drivers'!I39)+(Coeffs!$G$9*'Forecast drivers'!J39)+(Coeffs!$G$11*'Forecast drivers'!H39))</f>
        <v>674.19785435287565</v>
      </c>
      <c r="H39" s="50">
        <f>EXP(Coeffs!$H$12+(Coeffs!$H$5*'Forecast drivers'!D39)+(Coeffs!$H$7*'Forecast drivers'!G39)+(Coeffs!$H$8*'Forecast drivers'!I39)+(Coeffs!$H$9*'Forecast drivers'!J39)+(Coeffs!$H$11*'Forecast drivers'!H39))</f>
        <v>658.3001664116764</v>
      </c>
      <c r="J39" s="50">
        <f t="shared" si="9"/>
        <v>184.72126729733174</v>
      </c>
      <c r="K39" s="50">
        <f t="shared" si="10"/>
        <v>480.24663632968714</v>
      </c>
      <c r="L39" s="51">
        <f t="shared" si="11"/>
        <v>664.96790362701881</v>
      </c>
      <c r="M39" s="51">
        <f t="shared" si="12"/>
        <v>666.24901038227608</v>
      </c>
      <c r="N39" s="66">
        <f t="shared" si="5"/>
        <v>665.60845700464745</v>
      </c>
      <c r="P39" s="51">
        <f>Controls!$F$5*N39</f>
        <v>637.88320978480908</v>
      </c>
      <c r="Q39" s="105">
        <f>-(INDEX(Controls!$G$12:$G$16,MATCH($B39,Controls!$C$12:$C$16,0),0))*$P39</f>
        <v>-28.203780475410689</v>
      </c>
      <c r="R39" s="66">
        <f t="shared" si="6"/>
        <v>609.67942930939842</v>
      </c>
    </row>
    <row r="40" spans="1:18" x14ac:dyDescent="0.2">
      <c r="A40" s="36" t="str">
        <f>'Forecast drivers'!A40</f>
        <v>TMS</v>
      </c>
      <c r="B40" s="57">
        <f>'Forecast drivers'!B40</f>
        <v>2025</v>
      </c>
      <c r="C40" s="36" t="str">
        <f>'Forecast drivers'!C40</f>
        <v>TMS25</v>
      </c>
      <c r="D40" s="50">
        <f>EXP(Coeffs!$D$12+(Coeffs!$D$5*'Forecast drivers'!D40)+(Coeffs!$D$6*'Forecast drivers'!F40)+(Coeffs!$D$8*'Forecast drivers'!I40)+(Coeffs!$D$9*'Forecast drivers'!J40))</f>
        <v>194.2594862314659</v>
      </c>
      <c r="E40" s="50">
        <f>EXP(Coeffs!$E$12+(Coeffs!$E$5*'Forecast drivers'!D40)+(Coeffs!$E$7*'Forecast drivers'!G40)+(Coeffs!$E$8*'Forecast drivers'!I40)+(Coeffs!$E$9*'Forecast drivers'!J40))</f>
        <v>178.81643244925075</v>
      </c>
      <c r="F40" s="50">
        <f>EXP(Coeffs!$F$12+(Coeffs!$F$8*'Forecast drivers'!I40)+(Coeffs!$F$9*'Forecast drivers'!J40)+(Coeffs!$F$10*'Forecast drivers'!E40)+(Coeffs!$F$11*'Forecast drivers'!H40))</f>
        <v>485.9710230276936</v>
      </c>
      <c r="G40" s="50">
        <f>EXP(Coeffs!$G$12+(Coeffs!$G$5*'Forecast drivers'!D40)+(Coeffs!$G$6*'Forecast drivers'!F40)+(Coeffs!$G$8*'Forecast drivers'!I40)+(Coeffs!$G$9*'Forecast drivers'!J40)+(Coeffs!$G$11*'Forecast drivers'!H40))</f>
        <v>683.09820648652203</v>
      </c>
      <c r="H40" s="50">
        <f>EXP(Coeffs!$H$12+(Coeffs!$H$5*'Forecast drivers'!D40)+(Coeffs!$H$7*'Forecast drivers'!G40)+(Coeffs!$H$8*'Forecast drivers'!I40)+(Coeffs!$H$9*'Forecast drivers'!J40)+(Coeffs!$H$11*'Forecast drivers'!H40))</f>
        <v>666.30340130694276</v>
      </c>
      <c r="J40" s="50">
        <f t="shared" si="9"/>
        <v>186.53795934035833</v>
      </c>
      <c r="K40" s="50">
        <f t="shared" si="10"/>
        <v>485.9710230276936</v>
      </c>
      <c r="L40" s="51">
        <f t="shared" si="11"/>
        <v>672.50898236805187</v>
      </c>
      <c r="M40" s="51">
        <f t="shared" si="12"/>
        <v>674.7008038967324</v>
      </c>
      <c r="N40" s="66">
        <f t="shared" si="5"/>
        <v>673.60489313239214</v>
      </c>
      <c r="P40" s="51">
        <f>Controls!$F$5*N40</f>
        <v>645.54656245156968</v>
      </c>
      <c r="Q40" s="105">
        <f>-(INDEX(Controls!$G$12:$G$16,MATCH($B40,Controls!$C$12:$C$16,0),0))*$P40</f>
        <v>-35.350913573810587</v>
      </c>
      <c r="R40" s="66">
        <f t="shared" si="6"/>
        <v>610.19564887775914</v>
      </c>
    </row>
    <row r="41" spans="1:18" x14ac:dyDescent="0.2">
      <c r="A41" s="36" t="str">
        <f>'Forecast drivers'!A41</f>
        <v>WSH</v>
      </c>
      <c r="B41" s="57">
        <f>'Forecast drivers'!B41</f>
        <v>2021</v>
      </c>
      <c r="C41" s="36" t="str">
        <f>'Forecast drivers'!C41</f>
        <v>WSH21</v>
      </c>
      <c r="D41" s="50">
        <f>EXP(Coeffs!$D$12+(Coeffs!$D$5*'Forecast drivers'!D41)+(Coeffs!$D$6*'Forecast drivers'!F41)+(Coeffs!$D$8*'Forecast drivers'!I41)+(Coeffs!$D$9*'Forecast drivers'!J41))</f>
        <v>91.34736260892825</v>
      </c>
      <c r="E41" s="50">
        <f>EXP(Coeffs!$E$12+(Coeffs!$E$5*'Forecast drivers'!D41)+(Coeffs!$E$7*'Forecast drivers'!G41)+(Coeffs!$E$8*'Forecast drivers'!I41)+(Coeffs!$E$9*'Forecast drivers'!J41))</f>
        <v>86.961580884945349</v>
      </c>
      <c r="F41" s="50">
        <f>EXP(Coeffs!$F$12+(Coeffs!$F$8*'Forecast drivers'!I41)+(Coeffs!$F$9*'Forecast drivers'!J41)+(Coeffs!$F$10*'Forecast drivers'!E41)+(Coeffs!$F$11*'Forecast drivers'!H41))</f>
        <v>127.88497882092611</v>
      </c>
      <c r="G41" s="50">
        <f>EXP(Coeffs!$G$12+(Coeffs!$G$5*'Forecast drivers'!D41)+(Coeffs!$G$6*'Forecast drivers'!F41)+(Coeffs!$G$8*'Forecast drivers'!I41)+(Coeffs!$G$9*'Forecast drivers'!J41)+(Coeffs!$G$11*'Forecast drivers'!H41))</f>
        <v>210.13501427335063</v>
      </c>
      <c r="H41" s="50">
        <f>EXP(Coeffs!$H$12+(Coeffs!$H$5*'Forecast drivers'!D41)+(Coeffs!$H$7*'Forecast drivers'!G41)+(Coeffs!$H$8*'Forecast drivers'!I41)+(Coeffs!$H$9*'Forecast drivers'!J41)+(Coeffs!$H$11*'Forecast drivers'!H41))</f>
        <v>209.16687315565611</v>
      </c>
      <c r="J41" s="50">
        <f t="shared" si="9"/>
        <v>89.154471746936792</v>
      </c>
      <c r="K41" s="50">
        <f t="shared" si="10"/>
        <v>127.88497882092611</v>
      </c>
      <c r="L41" s="51">
        <f t="shared" si="11"/>
        <v>217.0394505678629</v>
      </c>
      <c r="M41" s="51">
        <f t="shared" si="12"/>
        <v>209.65094371450337</v>
      </c>
      <c r="N41" s="66">
        <f t="shared" si="5"/>
        <v>213.34519714118312</v>
      </c>
      <c r="P41" s="51">
        <f>Controls!$F$5*N41</f>
        <v>204.45851868682092</v>
      </c>
      <c r="Q41" s="105">
        <f>-(INDEX(Controls!$G$12:$G$16,MATCH($B41,Controls!$C$12:$C$16,0),0))*$P41</f>
        <v>-2.2490437055550299</v>
      </c>
      <c r="R41" s="66">
        <f t="shared" si="6"/>
        <v>202.20947498126588</v>
      </c>
    </row>
    <row r="42" spans="1:18" x14ac:dyDescent="0.2">
      <c r="A42" s="36" t="str">
        <f>'Forecast drivers'!A42</f>
        <v>WSH</v>
      </c>
      <c r="B42" s="57">
        <f>'Forecast drivers'!B42</f>
        <v>2022</v>
      </c>
      <c r="C42" s="36" t="str">
        <f>'Forecast drivers'!C42</f>
        <v>WSH22</v>
      </c>
      <c r="D42" s="50">
        <f>EXP(Coeffs!$D$12+(Coeffs!$D$5*'Forecast drivers'!D42)+(Coeffs!$D$6*'Forecast drivers'!F42)+(Coeffs!$D$8*'Forecast drivers'!I42)+(Coeffs!$D$9*'Forecast drivers'!J42))</f>
        <v>91.597536727482293</v>
      </c>
      <c r="E42" s="50">
        <f>EXP(Coeffs!$E$12+(Coeffs!$E$5*'Forecast drivers'!D42)+(Coeffs!$E$7*'Forecast drivers'!G42)+(Coeffs!$E$8*'Forecast drivers'!I42)+(Coeffs!$E$9*'Forecast drivers'!J42))</f>
        <v>87.237704353164219</v>
      </c>
      <c r="F42" s="50">
        <f>EXP(Coeffs!$F$12+(Coeffs!$F$8*'Forecast drivers'!I42)+(Coeffs!$F$9*'Forecast drivers'!J42)+(Coeffs!$F$10*'Forecast drivers'!E42)+(Coeffs!$F$11*'Forecast drivers'!H42))</f>
        <v>127.9471181793042</v>
      </c>
      <c r="G42" s="50">
        <f>EXP(Coeffs!$G$12+(Coeffs!$G$5*'Forecast drivers'!D42)+(Coeffs!$G$6*'Forecast drivers'!F42)+(Coeffs!$G$8*'Forecast drivers'!I42)+(Coeffs!$G$9*'Forecast drivers'!J42)+(Coeffs!$G$11*'Forecast drivers'!H42))</f>
        <v>210.68852166927456</v>
      </c>
      <c r="H42" s="50">
        <f>EXP(Coeffs!$H$12+(Coeffs!$H$5*'Forecast drivers'!D42)+(Coeffs!$H$7*'Forecast drivers'!G42)+(Coeffs!$H$8*'Forecast drivers'!I42)+(Coeffs!$H$9*'Forecast drivers'!J42)+(Coeffs!$H$11*'Forecast drivers'!H42))</f>
        <v>209.74402502968266</v>
      </c>
      <c r="J42" s="50">
        <f t="shared" si="9"/>
        <v>89.417620540323256</v>
      </c>
      <c r="K42" s="50">
        <f t="shared" si="10"/>
        <v>127.9471181793042</v>
      </c>
      <c r="L42" s="51">
        <f t="shared" si="11"/>
        <v>217.36473871962744</v>
      </c>
      <c r="M42" s="51">
        <f t="shared" si="12"/>
        <v>210.21627334947863</v>
      </c>
      <c r="N42" s="66">
        <f t="shared" si="5"/>
        <v>213.79050603455303</v>
      </c>
      <c r="P42" s="51">
        <f>Controls!$F$5*N42</f>
        <v>204.88527868852947</v>
      </c>
      <c r="Q42" s="105">
        <f>-(INDEX(Controls!$G$12:$G$16,MATCH($B42,Controls!$C$12:$C$16,0),0))*$P42</f>
        <v>-4.5529811515443299</v>
      </c>
      <c r="R42" s="66">
        <f t="shared" si="6"/>
        <v>200.33229753698515</v>
      </c>
    </row>
    <row r="43" spans="1:18" x14ac:dyDescent="0.2">
      <c r="A43" s="36" t="str">
        <f>'Forecast drivers'!A43</f>
        <v>WSH</v>
      </c>
      <c r="B43" s="57">
        <f>'Forecast drivers'!B43</f>
        <v>2023</v>
      </c>
      <c r="C43" s="36" t="str">
        <f>'Forecast drivers'!C43</f>
        <v>WSH23</v>
      </c>
      <c r="D43" s="50">
        <f>EXP(Coeffs!$D$12+(Coeffs!$D$5*'Forecast drivers'!D43)+(Coeffs!$D$6*'Forecast drivers'!F43)+(Coeffs!$D$8*'Forecast drivers'!I43)+(Coeffs!$D$9*'Forecast drivers'!J43))</f>
        <v>91.885687288460431</v>
      </c>
      <c r="E43" s="50">
        <f>EXP(Coeffs!$E$12+(Coeffs!$E$5*'Forecast drivers'!D43)+(Coeffs!$E$7*'Forecast drivers'!G43)+(Coeffs!$E$8*'Forecast drivers'!I43)+(Coeffs!$E$9*'Forecast drivers'!J43))</f>
        <v>87.55039307041632</v>
      </c>
      <c r="F43" s="50">
        <f>EXP(Coeffs!$F$12+(Coeffs!$F$8*'Forecast drivers'!I43)+(Coeffs!$F$9*'Forecast drivers'!J43)+(Coeffs!$F$10*'Forecast drivers'!E43)+(Coeffs!$F$11*'Forecast drivers'!H43))</f>
        <v>128.00582694156776</v>
      </c>
      <c r="G43" s="50">
        <f>EXP(Coeffs!$G$12+(Coeffs!$G$5*'Forecast drivers'!D43)+(Coeffs!$G$6*'Forecast drivers'!F43)+(Coeffs!$G$8*'Forecast drivers'!I43)+(Coeffs!$G$9*'Forecast drivers'!J43)+(Coeffs!$G$11*'Forecast drivers'!H43))</f>
        <v>211.33651796959359</v>
      </c>
      <c r="H43" s="50">
        <f>EXP(Coeffs!$H$12+(Coeffs!$H$5*'Forecast drivers'!D43)+(Coeffs!$H$7*'Forecast drivers'!G43)+(Coeffs!$H$8*'Forecast drivers'!I43)+(Coeffs!$H$9*'Forecast drivers'!J43)+(Coeffs!$H$11*'Forecast drivers'!H43))</f>
        <v>210.41453949671742</v>
      </c>
      <c r="J43" s="50">
        <f t="shared" si="9"/>
        <v>89.718040179438376</v>
      </c>
      <c r="K43" s="50">
        <f t="shared" si="10"/>
        <v>128.00582694156776</v>
      </c>
      <c r="L43" s="51">
        <f t="shared" si="11"/>
        <v>217.72386712100615</v>
      </c>
      <c r="M43" s="51">
        <f t="shared" si="12"/>
        <v>210.87552873315551</v>
      </c>
      <c r="N43" s="66">
        <f t="shared" si="5"/>
        <v>214.29969792708084</v>
      </c>
      <c r="P43" s="51">
        <f>Controls!$F$5*N43</f>
        <v>205.37326070766383</v>
      </c>
      <c r="Q43" s="105">
        <f>-(INDEX(Controls!$G$12:$G$16,MATCH($B43,Controls!$C$12:$C$16,0),0))*$P43</f>
        <v>-6.8521393724760493</v>
      </c>
      <c r="R43" s="66">
        <f t="shared" si="6"/>
        <v>198.52112133518779</v>
      </c>
    </row>
    <row r="44" spans="1:18" x14ac:dyDescent="0.2">
      <c r="A44" s="36" t="str">
        <f>'Forecast drivers'!A44</f>
        <v>WSH</v>
      </c>
      <c r="B44" s="57">
        <f>'Forecast drivers'!B44</f>
        <v>2024</v>
      </c>
      <c r="C44" s="36" t="str">
        <f>'Forecast drivers'!C44</f>
        <v>WSH24</v>
      </c>
      <c r="D44" s="50">
        <f>EXP(Coeffs!$D$12+(Coeffs!$D$5*'Forecast drivers'!D44)+(Coeffs!$D$6*'Forecast drivers'!F44)+(Coeffs!$D$8*'Forecast drivers'!I44)+(Coeffs!$D$9*'Forecast drivers'!J44))</f>
        <v>92.143806571196805</v>
      </c>
      <c r="E44" s="50">
        <f>EXP(Coeffs!$E$12+(Coeffs!$E$5*'Forecast drivers'!D44)+(Coeffs!$E$7*'Forecast drivers'!G44)+(Coeffs!$E$8*'Forecast drivers'!I44)+(Coeffs!$E$9*'Forecast drivers'!J44))</f>
        <v>87.834721951880539</v>
      </c>
      <c r="F44" s="50">
        <f>EXP(Coeffs!$F$12+(Coeffs!$F$8*'Forecast drivers'!I44)+(Coeffs!$F$9*'Forecast drivers'!J44)+(Coeffs!$F$10*'Forecast drivers'!E44)+(Coeffs!$F$11*'Forecast drivers'!H44))</f>
        <v>128.10404738978443</v>
      </c>
      <c r="G44" s="50">
        <f>EXP(Coeffs!$G$12+(Coeffs!$G$5*'Forecast drivers'!D44)+(Coeffs!$G$6*'Forecast drivers'!F44)+(Coeffs!$G$8*'Forecast drivers'!I44)+(Coeffs!$G$9*'Forecast drivers'!J44)+(Coeffs!$G$11*'Forecast drivers'!H44))</f>
        <v>211.91892836899214</v>
      </c>
      <c r="H44" s="50">
        <f>EXP(Coeffs!$H$12+(Coeffs!$H$5*'Forecast drivers'!D44)+(Coeffs!$H$7*'Forecast drivers'!G44)+(Coeffs!$H$8*'Forecast drivers'!I44)+(Coeffs!$H$9*'Forecast drivers'!J44)+(Coeffs!$H$11*'Forecast drivers'!H44))</f>
        <v>211.02078266204381</v>
      </c>
      <c r="J44" s="50">
        <f t="shared" si="9"/>
        <v>89.989264261538665</v>
      </c>
      <c r="K44" s="50">
        <f t="shared" si="10"/>
        <v>128.10404738978443</v>
      </c>
      <c r="L44" s="51">
        <f t="shared" si="11"/>
        <v>218.09331165132309</v>
      </c>
      <c r="M44" s="51">
        <f t="shared" si="12"/>
        <v>211.46985551551796</v>
      </c>
      <c r="N44" s="66">
        <f t="shared" si="5"/>
        <v>214.78158358342051</v>
      </c>
      <c r="P44" s="51">
        <f>Controls!$F$5*N44</f>
        <v>205.83507390426669</v>
      </c>
      <c r="Q44" s="105">
        <f>-(INDEX(Controls!$G$12:$G$16,MATCH($B44,Controls!$C$12:$C$16,0),0))*$P44</f>
        <v>-9.1009249804432208</v>
      </c>
      <c r="R44" s="66">
        <f t="shared" si="6"/>
        <v>196.73414892382348</v>
      </c>
    </row>
    <row r="45" spans="1:18" x14ac:dyDescent="0.2">
      <c r="A45" s="36" t="str">
        <f>'Forecast drivers'!A45</f>
        <v>WSH</v>
      </c>
      <c r="B45" s="57">
        <f>'Forecast drivers'!B45</f>
        <v>2025</v>
      </c>
      <c r="C45" s="36" t="str">
        <f>'Forecast drivers'!C45</f>
        <v>WSH25</v>
      </c>
      <c r="D45" s="50">
        <f>EXP(Coeffs!$D$12+(Coeffs!$D$5*'Forecast drivers'!D45)+(Coeffs!$D$6*'Forecast drivers'!F45)+(Coeffs!$D$8*'Forecast drivers'!I45)+(Coeffs!$D$9*'Forecast drivers'!J45))</f>
        <v>92.385459801880671</v>
      </c>
      <c r="E45" s="50">
        <f>EXP(Coeffs!$E$12+(Coeffs!$E$5*'Forecast drivers'!D45)+(Coeffs!$E$7*'Forecast drivers'!G45)+(Coeffs!$E$8*'Forecast drivers'!I45)+(Coeffs!$E$9*'Forecast drivers'!J45))</f>
        <v>88.103204123180987</v>
      </c>
      <c r="F45" s="50">
        <f>EXP(Coeffs!$F$12+(Coeffs!$F$8*'Forecast drivers'!I45)+(Coeffs!$F$9*'Forecast drivers'!J45)+(Coeffs!$F$10*'Forecast drivers'!E45)+(Coeffs!$F$11*'Forecast drivers'!H45))</f>
        <v>128.24076365226358</v>
      </c>
      <c r="G45" s="50">
        <f>EXP(Coeffs!$G$12+(Coeffs!$G$5*'Forecast drivers'!D45)+(Coeffs!$G$6*'Forecast drivers'!F45)+(Coeffs!$G$8*'Forecast drivers'!I45)+(Coeffs!$G$9*'Forecast drivers'!J45)+(Coeffs!$G$11*'Forecast drivers'!H45))</f>
        <v>212.46580648088388</v>
      </c>
      <c r="H45" s="50">
        <f>EXP(Coeffs!$H$12+(Coeffs!$H$5*'Forecast drivers'!D45)+(Coeffs!$H$7*'Forecast drivers'!G45)+(Coeffs!$H$8*'Forecast drivers'!I45)+(Coeffs!$H$9*'Forecast drivers'!J45)+(Coeffs!$H$11*'Forecast drivers'!H45))</f>
        <v>211.59174790634856</v>
      </c>
      <c r="J45" s="50">
        <f t="shared" si="9"/>
        <v>90.244331962530822</v>
      </c>
      <c r="K45" s="50">
        <f t="shared" si="10"/>
        <v>128.24076365226358</v>
      </c>
      <c r="L45" s="51">
        <f t="shared" si="11"/>
        <v>218.4850956147944</v>
      </c>
      <c r="M45" s="51">
        <f t="shared" si="12"/>
        <v>212.02877719361624</v>
      </c>
      <c r="N45" s="66">
        <f t="shared" si="5"/>
        <v>215.25693640420531</v>
      </c>
      <c r="P45" s="51">
        <f>Controls!$F$5*N45</f>
        <v>206.29062638397377</v>
      </c>
      <c r="Q45" s="105">
        <f>-(INDEX(Controls!$G$12:$G$16,MATCH($B45,Controls!$C$12:$C$16,0),0))*$P45</f>
        <v>-11.296725176093259</v>
      </c>
      <c r="R45" s="66">
        <f t="shared" si="6"/>
        <v>194.99390120788053</v>
      </c>
    </row>
    <row r="46" spans="1:18" x14ac:dyDescent="0.2">
      <c r="A46" s="36" t="str">
        <f>'Forecast drivers'!A46</f>
        <v>WSX</v>
      </c>
      <c r="B46" s="57">
        <f>'Forecast drivers'!B46</f>
        <v>2021</v>
      </c>
      <c r="C46" s="36" t="str">
        <f>'Forecast drivers'!C46</f>
        <v>WSX21</v>
      </c>
      <c r="D46" s="50">
        <f>EXP(Coeffs!$D$12+(Coeffs!$D$5*'Forecast drivers'!D46)+(Coeffs!$D$6*'Forecast drivers'!F46)+(Coeffs!$D$8*'Forecast drivers'!I46)+(Coeffs!$D$9*'Forecast drivers'!J46))</f>
        <v>36.672539343822251</v>
      </c>
      <c r="E46" s="50">
        <f>EXP(Coeffs!$E$12+(Coeffs!$E$5*'Forecast drivers'!D46)+(Coeffs!$E$7*'Forecast drivers'!G46)+(Coeffs!$E$8*'Forecast drivers'!I46)+(Coeffs!$E$9*'Forecast drivers'!J46))</f>
        <v>40.527843886450903</v>
      </c>
      <c r="F46" s="50">
        <f>EXP(Coeffs!$F$12+(Coeffs!$F$8*'Forecast drivers'!I46)+(Coeffs!$F$9*'Forecast drivers'!J46)+(Coeffs!$F$10*'Forecast drivers'!E46)+(Coeffs!$F$11*'Forecast drivers'!H46))</f>
        <v>63.24493642597298</v>
      </c>
      <c r="G46" s="50">
        <f>EXP(Coeffs!$G$12+(Coeffs!$G$5*'Forecast drivers'!D46)+(Coeffs!$G$6*'Forecast drivers'!F46)+(Coeffs!$G$8*'Forecast drivers'!I46)+(Coeffs!$G$9*'Forecast drivers'!J46)+(Coeffs!$G$11*'Forecast drivers'!H46))</f>
        <v>95.261409511400146</v>
      </c>
      <c r="H46" s="50">
        <f>EXP(Coeffs!$H$12+(Coeffs!$H$5*'Forecast drivers'!D46)+(Coeffs!$H$7*'Forecast drivers'!G46)+(Coeffs!$H$8*'Forecast drivers'!I46)+(Coeffs!$H$9*'Forecast drivers'!J46)+(Coeffs!$H$11*'Forecast drivers'!H46))</f>
        <v>96.484749373484647</v>
      </c>
      <c r="J46" s="50">
        <f t="shared" si="9"/>
        <v>38.60019161513658</v>
      </c>
      <c r="K46" s="50">
        <f t="shared" si="10"/>
        <v>63.24493642597298</v>
      </c>
      <c r="L46" s="51">
        <f t="shared" si="11"/>
        <v>101.84512804110956</v>
      </c>
      <c r="M46" s="51">
        <f t="shared" si="12"/>
        <v>95.873079442442389</v>
      </c>
      <c r="N46" s="66">
        <f t="shared" si="5"/>
        <v>98.859103741775982</v>
      </c>
      <c r="P46" s="51">
        <f>Controls!$F$5*N46</f>
        <v>94.741227740760493</v>
      </c>
      <c r="Q46" s="105">
        <f>-(INDEX(Controls!$G$12:$G$16,MATCH($B46,Controls!$C$12:$C$16,0),0))*$P46</f>
        <v>-1.0421535051483655</v>
      </c>
      <c r="R46" s="66">
        <f t="shared" si="6"/>
        <v>93.69907423561213</v>
      </c>
    </row>
    <row r="47" spans="1:18" x14ac:dyDescent="0.2">
      <c r="A47" s="36" t="str">
        <f>'Forecast drivers'!A47</f>
        <v>WSX</v>
      </c>
      <c r="B47" s="57">
        <f>'Forecast drivers'!B47</f>
        <v>2022</v>
      </c>
      <c r="C47" s="36" t="str">
        <f>'Forecast drivers'!C47</f>
        <v>WSX22</v>
      </c>
      <c r="D47" s="50">
        <f>EXP(Coeffs!$D$12+(Coeffs!$D$5*'Forecast drivers'!D47)+(Coeffs!$D$6*'Forecast drivers'!F47)+(Coeffs!$D$8*'Forecast drivers'!I47)+(Coeffs!$D$9*'Forecast drivers'!J47))</f>
        <v>36.989262067955181</v>
      </c>
      <c r="E47" s="50">
        <f>EXP(Coeffs!$E$12+(Coeffs!$E$5*'Forecast drivers'!D47)+(Coeffs!$E$7*'Forecast drivers'!G47)+(Coeffs!$E$8*'Forecast drivers'!I47)+(Coeffs!$E$9*'Forecast drivers'!J47))</f>
        <v>40.740857538299338</v>
      </c>
      <c r="F47" s="50">
        <f>EXP(Coeffs!$F$12+(Coeffs!$F$8*'Forecast drivers'!I47)+(Coeffs!$F$9*'Forecast drivers'!J47)+(Coeffs!$F$10*'Forecast drivers'!E47)+(Coeffs!$F$11*'Forecast drivers'!H47))</f>
        <v>63.422523071077435</v>
      </c>
      <c r="G47" s="50">
        <f>EXP(Coeffs!$G$12+(Coeffs!$G$5*'Forecast drivers'!D47)+(Coeffs!$G$6*'Forecast drivers'!F47)+(Coeffs!$G$8*'Forecast drivers'!I47)+(Coeffs!$G$9*'Forecast drivers'!J47)+(Coeffs!$G$11*'Forecast drivers'!H47))</f>
        <v>95.988729504714414</v>
      </c>
      <c r="H47" s="50">
        <f>EXP(Coeffs!$H$12+(Coeffs!$H$5*'Forecast drivers'!D47)+(Coeffs!$H$7*'Forecast drivers'!G47)+(Coeffs!$H$8*'Forecast drivers'!I47)+(Coeffs!$H$9*'Forecast drivers'!J47)+(Coeffs!$H$11*'Forecast drivers'!H47))</f>
        <v>97.013714446713479</v>
      </c>
      <c r="J47" s="50">
        <f t="shared" si="9"/>
        <v>38.865059803127259</v>
      </c>
      <c r="K47" s="50">
        <f t="shared" si="10"/>
        <v>63.422523071077435</v>
      </c>
      <c r="L47" s="51">
        <f t="shared" si="11"/>
        <v>102.2875828742047</v>
      </c>
      <c r="M47" s="51">
        <f t="shared" si="12"/>
        <v>96.501221975713946</v>
      </c>
      <c r="N47" s="66">
        <f t="shared" si="5"/>
        <v>99.394402424959324</v>
      </c>
      <c r="P47" s="51">
        <f>Controls!$F$5*N47</f>
        <v>95.25422909858456</v>
      </c>
      <c r="Q47" s="105">
        <f>-(INDEX(Controls!$G$12:$G$16,MATCH($B47,Controls!$C$12:$C$16,0),0))*$P47</f>
        <v>-2.1167490044516368</v>
      </c>
      <c r="R47" s="66">
        <f t="shared" si="6"/>
        <v>93.137480094132926</v>
      </c>
    </row>
    <row r="48" spans="1:18" x14ac:dyDescent="0.2">
      <c r="A48" s="36" t="str">
        <f>'Forecast drivers'!A48</f>
        <v>WSX</v>
      </c>
      <c r="B48" s="57">
        <f>'Forecast drivers'!B48</f>
        <v>2023</v>
      </c>
      <c r="C48" s="36" t="str">
        <f>'Forecast drivers'!C48</f>
        <v>WSX23</v>
      </c>
      <c r="D48" s="50">
        <f>EXP(Coeffs!$D$12+(Coeffs!$D$5*'Forecast drivers'!D48)+(Coeffs!$D$6*'Forecast drivers'!F48)+(Coeffs!$D$8*'Forecast drivers'!I48)+(Coeffs!$D$9*'Forecast drivers'!J48))</f>
        <v>37.36237947700802</v>
      </c>
      <c r="E48" s="50">
        <f>EXP(Coeffs!$E$12+(Coeffs!$E$5*'Forecast drivers'!D48)+(Coeffs!$E$7*'Forecast drivers'!G48)+(Coeffs!$E$8*'Forecast drivers'!I48)+(Coeffs!$E$9*'Forecast drivers'!J48))</f>
        <v>41.015057578671154</v>
      </c>
      <c r="F48" s="50">
        <f>EXP(Coeffs!$F$12+(Coeffs!$F$8*'Forecast drivers'!I48)+(Coeffs!$F$9*'Forecast drivers'!J48)+(Coeffs!$F$10*'Forecast drivers'!E48)+(Coeffs!$F$11*'Forecast drivers'!H48))</f>
        <v>63.601659952036535</v>
      </c>
      <c r="G48" s="50">
        <f>EXP(Coeffs!$G$12+(Coeffs!$G$5*'Forecast drivers'!D48)+(Coeffs!$G$6*'Forecast drivers'!F48)+(Coeffs!$G$8*'Forecast drivers'!I48)+(Coeffs!$G$9*'Forecast drivers'!J48)+(Coeffs!$G$11*'Forecast drivers'!H48))</f>
        <v>96.865025140043272</v>
      </c>
      <c r="H48" s="50">
        <f>EXP(Coeffs!$H$12+(Coeffs!$H$5*'Forecast drivers'!D48)+(Coeffs!$H$7*'Forecast drivers'!G48)+(Coeffs!$H$8*'Forecast drivers'!I48)+(Coeffs!$H$9*'Forecast drivers'!J48)+(Coeffs!$H$11*'Forecast drivers'!H48))</f>
        <v>97.690193658439114</v>
      </c>
      <c r="J48" s="50">
        <f t="shared" si="9"/>
        <v>39.188718527839583</v>
      </c>
      <c r="K48" s="50">
        <f t="shared" si="10"/>
        <v>63.601659952036535</v>
      </c>
      <c r="L48" s="51">
        <f t="shared" si="11"/>
        <v>102.79037847987613</v>
      </c>
      <c r="M48" s="51">
        <f t="shared" si="12"/>
        <v>97.277609399241186</v>
      </c>
      <c r="N48" s="66">
        <f t="shared" si="5"/>
        <v>100.03399393955866</v>
      </c>
      <c r="P48" s="51">
        <f>Controls!$F$5*N48</f>
        <v>95.867179075391874</v>
      </c>
      <c r="Q48" s="105">
        <f>-(INDEX(Controls!$G$12:$G$16,MATCH($B48,Controls!$C$12:$C$16,0),0))*$P48</f>
        <v>-3.1985433254904327</v>
      </c>
      <c r="R48" s="66">
        <f t="shared" si="6"/>
        <v>92.668635749901441</v>
      </c>
    </row>
    <row r="49" spans="1:18" x14ac:dyDescent="0.2">
      <c r="A49" s="36" t="str">
        <f>'Forecast drivers'!A49</f>
        <v>WSX</v>
      </c>
      <c r="B49" s="57">
        <f>'Forecast drivers'!B49</f>
        <v>2024</v>
      </c>
      <c r="C49" s="36" t="str">
        <f>'Forecast drivers'!C49</f>
        <v>WSX24</v>
      </c>
      <c r="D49" s="50">
        <f>EXP(Coeffs!$D$12+(Coeffs!$D$5*'Forecast drivers'!D49)+(Coeffs!$D$6*'Forecast drivers'!F49)+(Coeffs!$D$8*'Forecast drivers'!I49)+(Coeffs!$D$9*'Forecast drivers'!J49))</f>
        <v>37.727374984559525</v>
      </c>
      <c r="E49" s="50">
        <f>EXP(Coeffs!$E$12+(Coeffs!$E$5*'Forecast drivers'!D49)+(Coeffs!$E$7*'Forecast drivers'!G49)+(Coeffs!$E$8*'Forecast drivers'!I49)+(Coeffs!$E$9*'Forecast drivers'!J49))</f>
        <v>41.2797629957293</v>
      </c>
      <c r="F49" s="50">
        <f>EXP(Coeffs!$F$12+(Coeffs!$F$8*'Forecast drivers'!I49)+(Coeffs!$F$9*'Forecast drivers'!J49)+(Coeffs!$F$10*'Forecast drivers'!E49)+(Coeffs!$F$11*'Forecast drivers'!H49))</f>
        <v>63.780421846516298</v>
      </c>
      <c r="G49" s="50">
        <f>EXP(Coeffs!$G$12+(Coeffs!$G$5*'Forecast drivers'!D49)+(Coeffs!$G$6*'Forecast drivers'!F49)+(Coeffs!$G$8*'Forecast drivers'!I49)+(Coeffs!$G$9*'Forecast drivers'!J49)+(Coeffs!$G$11*'Forecast drivers'!H49))</f>
        <v>97.719407221775441</v>
      </c>
      <c r="H49" s="50">
        <f>EXP(Coeffs!$H$12+(Coeffs!$H$5*'Forecast drivers'!D49)+(Coeffs!$H$7*'Forecast drivers'!G49)+(Coeffs!$H$8*'Forecast drivers'!I49)+(Coeffs!$H$9*'Forecast drivers'!J49)+(Coeffs!$H$11*'Forecast drivers'!H49))</f>
        <v>98.344053186871989</v>
      </c>
      <c r="J49" s="50">
        <f t="shared" si="9"/>
        <v>39.503568990144416</v>
      </c>
      <c r="K49" s="50">
        <f t="shared" si="10"/>
        <v>63.780421846516298</v>
      </c>
      <c r="L49" s="51">
        <f t="shared" si="11"/>
        <v>103.28399083666071</v>
      </c>
      <c r="M49" s="51">
        <f t="shared" si="12"/>
        <v>98.031730204323708</v>
      </c>
      <c r="N49" s="66">
        <f t="shared" si="5"/>
        <v>100.65786052049221</v>
      </c>
      <c r="P49" s="51">
        <f>Controls!$F$5*N49</f>
        <v>96.465059124744357</v>
      </c>
      <c r="Q49" s="105">
        <f>-(INDEX(Controls!$G$12:$G$16,MATCH($B49,Controls!$C$12:$C$16,0),0))*$P49</f>
        <v>-4.2651684655873412</v>
      </c>
      <c r="R49" s="66">
        <f t="shared" si="6"/>
        <v>92.19989065915702</v>
      </c>
    </row>
    <row r="50" spans="1:18" x14ac:dyDescent="0.2">
      <c r="A50" s="36" t="str">
        <f>'Forecast drivers'!A50</f>
        <v>WSX</v>
      </c>
      <c r="B50" s="57">
        <f>'Forecast drivers'!B50</f>
        <v>2025</v>
      </c>
      <c r="C50" s="36" t="str">
        <f>'Forecast drivers'!C50</f>
        <v>WSX25</v>
      </c>
      <c r="D50" s="50">
        <f>EXP(Coeffs!$D$12+(Coeffs!$D$5*'Forecast drivers'!D50)+(Coeffs!$D$6*'Forecast drivers'!F50)+(Coeffs!$D$8*'Forecast drivers'!I50)+(Coeffs!$D$9*'Forecast drivers'!J50))</f>
        <v>38.086543966593794</v>
      </c>
      <c r="E50" s="50">
        <f>EXP(Coeffs!$E$12+(Coeffs!$E$5*'Forecast drivers'!D50)+(Coeffs!$E$7*'Forecast drivers'!G50)+(Coeffs!$E$8*'Forecast drivers'!I50)+(Coeffs!$E$9*'Forecast drivers'!J50))</f>
        <v>41.537943429334995</v>
      </c>
      <c r="F50" s="50">
        <f>EXP(Coeffs!$F$12+(Coeffs!$F$8*'Forecast drivers'!I50)+(Coeffs!$F$9*'Forecast drivers'!J50)+(Coeffs!$F$10*'Forecast drivers'!E50)+(Coeffs!$F$11*'Forecast drivers'!H50))</f>
        <v>63.957488463443411</v>
      </c>
      <c r="G50" s="50">
        <f>EXP(Coeffs!$G$12+(Coeffs!$G$5*'Forecast drivers'!D50)+(Coeffs!$G$6*'Forecast drivers'!F50)+(Coeffs!$G$8*'Forecast drivers'!I50)+(Coeffs!$G$9*'Forecast drivers'!J50)+(Coeffs!$G$11*'Forecast drivers'!H50))</f>
        <v>98.558083747319074</v>
      </c>
      <c r="H50" s="50">
        <f>EXP(Coeffs!$H$12+(Coeffs!$H$5*'Forecast drivers'!D50)+(Coeffs!$H$7*'Forecast drivers'!G50)+(Coeffs!$H$8*'Forecast drivers'!I50)+(Coeffs!$H$9*'Forecast drivers'!J50)+(Coeffs!$H$11*'Forecast drivers'!H50))</f>
        <v>98.982100707473464</v>
      </c>
      <c r="J50" s="50">
        <f t="shared" si="9"/>
        <v>39.812243697964391</v>
      </c>
      <c r="K50" s="50">
        <f t="shared" si="10"/>
        <v>63.957488463443411</v>
      </c>
      <c r="L50" s="51">
        <f t="shared" si="11"/>
        <v>103.7697321614078</v>
      </c>
      <c r="M50" s="51">
        <f t="shared" si="12"/>
        <v>98.770092227396276</v>
      </c>
      <c r="N50" s="66">
        <f t="shared" si="5"/>
        <v>101.26991219440204</v>
      </c>
      <c r="P50" s="51">
        <f>Controls!$F$5*N50</f>
        <v>97.051616405078079</v>
      </c>
      <c r="Q50" s="105">
        <f>-(INDEX(Controls!$G$12:$G$16,MATCH($B50,Controls!$C$12:$C$16,0),0))*$P50</f>
        <v>-5.3146643531107385</v>
      </c>
      <c r="R50" s="66">
        <f t="shared" si="6"/>
        <v>91.736952051967336</v>
      </c>
    </row>
    <row r="51" spans="1:18" x14ac:dyDescent="0.2">
      <c r="A51" s="36" t="str">
        <f>'Forecast drivers'!A51</f>
        <v>YKY</v>
      </c>
      <c r="B51" s="57">
        <f>'Forecast drivers'!B51</f>
        <v>2021</v>
      </c>
      <c r="C51" s="36" t="str">
        <f>'Forecast drivers'!C51</f>
        <v>YKY21</v>
      </c>
      <c r="D51" s="50">
        <f>EXP(Coeffs!$D$12+(Coeffs!$D$5*'Forecast drivers'!D51)+(Coeffs!$D$6*'Forecast drivers'!F51)+(Coeffs!$D$8*'Forecast drivers'!I51)+(Coeffs!$D$9*'Forecast drivers'!J51))</f>
        <v>125.549092131805</v>
      </c>
      <c r="E51" s="50">
        <f>EXP(Coeffs!$E$12+(Coeffs!$E$5*'Forecast drivers'!D51)+(Coeffs!$E$7*'Forecast drivers'!G51)+(Coeffs!$E$8*'Forecast drivers'!I51)+(Coeffs!$E$9*'Forecast drivers'!J51))</f>
        <v>120.51863336303087</v>
      </c>
      <c r="F51" s="50">
        <f>EXP(Coeffs!$F$12+(Coeffs!$F$8*'Forecast drivers'!I51)+(Coeffs!$F$9*'Forecast drivers'!J51)+(Coeffs!$F$10*'Forecast drivers'!E51)+(Coeffs!$F$11*'Forecast drivers'!H51))</f>
        <v>147.80485330864443</v>
      </c>
      <c r="G51" s="50">
        <f>EXP(Coeffs!$G$12+(Coeffs!$G$5*'Forecast drivers'!D51)+(Coeffs!$G$6*'Forecast drivers'!F51)+(Coeffs!$G$8*'Forecast drivers'!I51)+(Coeffs!$G$9*'Forecast drivers'!J51)+(Coeffs!$G$11*'Forecast drivers'!H51))</f>
        <v>298.64522703761531</v>
      </c>
      <c r="H51" s="50">
        <f>EXP(Coeffs!$H$12+(Coeffs!$H$5*'Forecast drivers'!D51)+(Coeffs!$H$7*'Forecast drivers'!G51)+(Coeffs!$H$8*'Forecast drivers'!I51)+(Coeffs!$H$9*'Forecast drivers'!J51)+(Coeffs!$H$11*'Forecast drivers'!H51))</f>
        <v>289.50690623809419</v>
      </c>
      <c r="J51" s="50">
        <f t="shared" si="9"/>
        <v>123.03386274741794</v>
      </c>
      <c r="K51" s="50">
        <f t="shared" si="10"/>
        <v>147.80485330864443</v>
      </c>
      <c r="L51" s="51">
        <f t="shared" si="11"/>
        <v>270.83871605606237</v>
      </c>
      <c r="M51" s="51">
        <f t="shared" si="12"/>
        <v>294.07606663785475</v>
      </c>
      <c r="N51" s="66">
        <f t="shared" si="5"/>
        <v>282.45739134695856</v>
      </c>
      <c r="P51" s="51">
        <f>Controls!$F$5*N51</f>
        <v>270.69191432852216</v>
      </c>
      <c r="Q51" s="105">
        <f>-(INDEX(Controls!$G$12:$G$16,MATCH($B51,Controls!$C$12:$C$16,0),0))*$P51</f>
        <v>-2.9776110576137436</v>
      </c>
      <c r="R51" s="66">
        <f t="shared" si="6"/>
        <v>267.71430327090843</v>
      </c>
    </row>
    <row r="52" spans="1:18" x14ac:dyDescent="0.2">
      <c r="A52" s="36" t="str">
        <f>'Forecast drivers'!A52</f>
        <v>YKY</v>
      </c>
      <c r="B52" s="57">
        <f>'Forecast drivers'!B52</f>
        <v>2022</v>
      </c>
      <c r="C52" s="36" t="str">
        <f>'Forecast drivers'!C52</f>
        <v>YKY22</v>
      </c>
      <c r="D52" s="50">
        <f>EXP(Coeffs!$D$12+(Coeffs!$D$5*'Forecast drivers'!D52)+(Coeffs!$D$6*'Forecast drivers'!F52)+(Coeffs!$D$8*'Forecast drivers'!I52)+(Coeffs!$D$9*'Forecast drivers'!J52))</f>
        <v>126.23601531584376</v>
      </c>
      <c r="E52" s="50">
        <f>EXP(Coeffs!$E$12+(Coeffs!$E$5*'Forecast drivers'!D52)+(Coeffs!$E$7*'Forecast drivers'!G52)+(Coeffs!$E$8*'Forecast drivers'!I52)+(Coeffs!$E$9*'Forecast drivers'!J52))</f>
        <v>120.9588429788265</v>
      </c>
      <c r="F52" s="50">
        <f>EXP(Coeffs!$F$12+(Coeffs!$F$8*'Forecast drivers'!I52)+(Coeffs!$F$9*'Forecast drivers'!J52)+(Coeffs!$F$10*'Forecast drivers'!E52)+(Coeffs!$F$11*'Forecast drivers'!H52))</f>
        <v>148.08250532824206</v>
      </c>
      <c r="G52" s="50">
        <f>EXP(Coeffs!$G$12+(Coeffs!$G$5*'Forecast drivers'!D52)+(Coeffs!$G$6*'Forecast drivers'!F52)+(Coeffs!$G$8*'Forecast drivers'!I52)+(Coeffs!$G$9*'Forecast drivers'!J52)+(Coeffs!$G$11*'Forecast drivers'!H52))</f>
        <v>299.91386393736792</v>
      </c>
      <c r="H52" s="50">
        <f>EXP(Coeffs!$H$12+(Coeffs!$H$5*'Forecast drivers'!D52)+(Coeffs!$H$7*'Forecast drivers'!G52)+(Coeffs!$H$8*'Forecast drivers'!I52)+(Coeffs!$H$9*'Forecast drivers'!J52)+(Coeffs!$H$11*'Forecast drivers'!H52))</f>
        <v>290.36959379804892</v>
      </c>
      <c r="J52" s="50">
        <f t="shared" si="9"/>
        <v>123.59742914733513</v>
      </c>
      <c r="K52" s="50">
        <f t="shared" si="10"/>
        <v>148.08250532824206</v>
      </c>
      <c r="L52" s="51">
        <f t="shared" si="11"/>
        <v>271.67993447557717</v>
      </c>
      <c r="M52" s="51">
        <f t="shared" si="12"/>
        <v>295.14172886770842</v>
      </c>
      <c r="N52" s="66">
        <f t="shared" si="5"/>
        <v>283.41083167164277</v>
      </c>
      <c r="P52" s="51">
        <f>Controls!$F$5*N52</f>
        <v>271.6056400605911</v>
      </c>
      <c r="Q52" s="105">
        <f>-(INDEX(Controls!$G$12:$G$16,MATCH($B52,Controls!$C$12:$C$16,0),0))*$P52</f>
        <v>-6.0356476939904073</v>
      </c>
      <c r="R52" s="66">
        <f t="shared" si="6"/>
        <v>265.56999236660067</v>
      </c>
    </row>
    <row r="53" spans="1:18" x14ac:dyDescent="0.2">
      <c r="A53" s="36" t="str">
        <f>'Forecast drivers'!A53</f>
        <v>YKY</v>
      </c>
      <c r="B53" s="57">
        <f>'Forecast drivers'!B53</f>
        <v>2023</v>
      </c>
      <c r="C53" s="36" t="str">
        <f>'Forecast drivers'!C53</f>
        <v>YKY23</v>
      </c>
      <c r="D53" s="50">
        <f>EXP(Coeffs!$D$12+(Coeffs!$D$5*'Forecast drivers'!D53)+(Coeffs!$D$6*'Forecast drivers'!F53)+(Coeffs!$D$8*'Forecast drivers'!I53)+(Coeffs!$D$9*'Forecast drivers'!J53))</f>
        <v>127.03544457503295</v>
      </c>
      <c r="E53" s="50">
        <f>EXP(Coeffs!$E$12+(Coeffs!$E$5*'Forecast drivers'!D53)+(Coeffs!$E$7*'Forecast drivers'!G53)+(Coeffs!$E$8*'Forecast drivers'!I53)+(Coeffs!$E$9*'Forecast drivers'!J53))</f>
        <v>121.50727304987289</v>
      </c>
      <c r="F53" s="50">
        <f>EXP(Coeffs!$F$12+(Coeffs!$F$8*'Forecast drivers'!I53)+(Coeffs!$F$9*'Forecast drivers'!J53)+(Coeffs!$F$10*'Forecast drivers'!E53)+(Coeffs!$F$11*'Forecast drivers'!H53))</f>
        <v>148.34957734649785</v>
      </c>
      <c r="G53" s="50">
        <f>EXP(Coeffs!$G$12+(Coeffs!$G$5*'Forecast drivers'!D53)+(Coeffs!$G$6*'Forecast drivers'!F53)+(Coeffs!$G$8*'Forecast drivers'!I53)+(Coeffs!$G$9*'Forecast drivers'!J53)+(Coeffs!$G$11*'Forecast drivers'!H53))</f>
        <v>301.44646992906178</v>
      </c>
      <c r="H53" s="50">
        <f>EXP(Coeffs!$H$12+(Coeffs!$H$5*'Forecast drivers'!D53)+(Coeffs!$H$7*'Forecast drivers'!G53)+(Coeffs!$H$8*'Forecast drivers'!I53)+(Coeffs!$H$9*'Forecast drivers'!J53)+(Coeffs!$H$11*'Forecast drivers'!H53))</f>
        <v>291.48559026426767</v>
      </c>
      <c r="J53" s="50">
        <f t="shared" si="9"/>
        <v>124.27135881245292</v>
      </c>
      <c r="K53" s="50">
        <f t="shared" si="10"/>
        <v>148.34957734649785</v>
      </c>
      <c r="L53" s="51">
        <f t="shared" si="11"/>
        <v>272.62093615895077</v>
      </c>
      <c r="M53" s="51">
        <f t="shared" si="12"/>
        <v>296.46603009666472</v>
      </c>
      <c r="N53" s="66">
        <f t="shared" si="5"/>
        <v>284.54348312780775</v>
      </c>
      <c r="P53" s="51">
        <f>Controls!$F$5*N53</f>
        <v>272.6911120656755</v>
      </c>
      <c r="Q53" s="105">
        <f>-(INDEX(Controls!$G$12:$G$16,MATCH($B53,Controls!$C$12:$C$16,0),0))*$P53</f>
        <v>-9.0981537668100483</v>
      </c>
      <c r="R53" s="66">
        <f t="shared" si="6"/>
        <v>263.59295829886543</v>
      </c>
    </row>
    <row r="54" spans="1:18" x14ac:dyDescent="0.2">
      <c r="A54" s="36" t="str">
        <f>'Forecast drivers'!A54</f>
        <v>YKY</v>
      </c>
      <c r="B54" s="57">
        <f>'Forecast drivers'!B54</f>
        <v>2024</v>
      </c>
      <c r="C54" s="36" t="str">
        <f>'Forecast drivers'!C54</f>
        <v>YKY24</v>
      </c>
      <c r="D54" s="50">
        <f>EXP(Coeffs!$D$12+(Coeffs!$D$5*'Forecast drivers'!D54)+(Coeffs!$D$6*'Forecast drivers'!F54)+(Coeffs!$D$8*'Forecast drivers'!I54)+(Coeffs!$D$9*'Forecast drivers'!J54))</f>
        <v>127.80840557160894</v>
      </c>
      <c r="E54" s="50">
        <f>EXP(Coeffs!$E$12+(Coeffs!$E$5*'Forecast drivers'!D54)+(Coeffs!$E$7*'Forecast drivers'!G54)+(Coeffs!$E$8*'Forecast drivers'!I54)+(Coeffs!$E$9*'Forecast drivers'!J54))</f>
        <v>122.03066004878072</v>
      </c>
      <c r="F54" s="50">
        <f>EXP(Coeffs!$F$12+(Coeffs!$F$8*'Forecast drivers'!I54)+(Coeffs!$F$9*'Forecast drivers'!J54)+(Coeffs!$F$10*'Forecast drivers'!E54)+(Coeffs!$F$11*'Forecast drivers'!H54))</f>
        <v>148.6221715376814</v>
      </c>
      <c r="G54" s="50">
        <f>EXP(Coeffs!$G$12+(Coeffs!$G$5*'Forecast drivers'!D54)+(Coeffs!$G$6*'Forecast drivers'!F54)+(Coeffs!$G$8*'Forecast drivers'!I54)+(Coeffs!$G$9*'Forecast drivers'!J54)+(Coeffs!$G$11*'Forecast drivers'!H54))</f>
        <v>302.91670559692955</v>
      </c>
      <c r="H54" s="50">
        <f>EXP(Coeffs!$H$12+(Coeffs!$H$5*'Forecast drivers'!D54)+(Coeffs!$H$7*'Forecast drivers'!G54)+(Coeffs!$H$8*'Forecast drivers'!I54)+(Coeffs!$H$9*'Forecast drivers'!J54)+(Coeffs!$H$11*'Forecast drivers'!H54))</f>
        <v>292.54273134193124</v>
      </c>
      <c r="J54" s="50">
        <f t="shared" si="9"/>
        <v>124.91953281019482</v>
      </c>
      <c r="K54" s="50">
        <f t="shared" si="10"/>
        <v>148.6221715376814</v>
      </c>
      <c r="L54" s="51">
        <f t="shared" si="11"/>
        <v>273.54170434787625</v>
      </c>
      <c r="M54" s="51">
        <f t="shared" si="12"/>
        <v>297.7297184694304</v>
      </c>
      <c r="N54" s="66">
        <f t="shared" si="5"/>
        <v>285.63571140865332</v>
      </c>
      <c r="P54" s="51">
        <f>Controls!$F$5*N54</f>
        <v>273.73784468193287</v>
      </c>
      <c r="Q54" s="105">
        <f>-(INDEX(Controls!$G$12:$G$16,MATCH($B54,Controls!$C$12:$C$16,0),0))*$P54</f>
        <v>-12.103221970407098</v>
      </c>
      <c r="R54" s="66">
        <f t="shared" si="6"/>
        <v>261.63462271152576</v>
      </c>
    </row>
    <row r="55" spans="1:18" x14ac:dyDescent="0.2">
      <c r="A55" s="36" t="str">
        <f>'Forecast drivers'!A55</f>
        <v>YKY</v>
      </c>
      <c r="B55" s="57">
        <f>'Forecast drivers'!B55</f>
        <v>2025</v>
      </c>
      <c r="C55" s="36" t="str">
        <f>'Forecast drivers'!C55</f>
        <v>YKY25</v>
      </c>
      <c r="D55" s="50">
        <f>EXP(Coeffs!$D$12+(Coeffs!$D$5*'Forecast drivers'!D55)+(Coeffs!$D$6*'Forecast drivers'!F55)+(Coeffs!$D$8*'Forecast drivers'!I55)+(Coeffs!$D$9*'Forecast drivers'!J55))</f>
        <v>128.57828853740585</v>
      </c>
      <c r="E55" s="50">
        <f>EXP(Coeffs!$E$12+(Coeffs!$E$5*'Forecast drivers'!D55)+(Coeffs!$E$7*'Forecast drivers'!G55)+(Coeffs!$E$8*'Forecast drivers'!I55)+(Coeffs!$E$9*'Forecast drivers'!J55))</f>
        <v>122.55141620002544</v>
      </c>
      <c r="F55" s="50">
        <f>EXP(Coeffs!$F$12+(Coeffs!$F$8*'Forecast drivers'!I55)+(Coeffs!$F$9*'Forecast drivers'!J55)+(Coeffs!$F$10*'Forecast drivers'!E55)+(Coeffs!$F$11*'Forecast drivers'!H55))</f>
        <v>148.89402853551746</v>
      </c>
      <c r="G55" s="50">
        <f>EXP(Coeffs!$G$12+(Coeffs!$G$5*'Forecast drivers'!D55)+(Coeffs!$G$6*'Forecast drivers'!F55)+(Coeffs!$G$8*'Forecast drivers'!I55)+(Coeffs!$G$9*'Forecast drivers'!J55)+(Coeffs!$G$11*'Forecast drivers'!H55))</f>
        <v>304.37993002899833</v>
      </c>
      <c r="H55" s="50">
        <f>EXP(Coeffs!$H$12+(Coeffs!$H$5*'Forecast drivers'!D55)+(Coeffs!$H$7*'Forecast drivers'!G55)+(Coeffs!$H$8*'Forecast drivers'!I55)+(Coeffs!$H$9*'Forecast drivers'!J55)+(Coeffs!$H$11*'Forecast drivers'!H55))</f>
        <v>293.59393887763099</v>
      </c>
      <c r="J55" s="50">
        <f t="shared" si="9"/>
        <v>125.56485236871565</v>
      </c>
      <c r="K55" s="50">
        <f t="shared" si="10"/>
        <v>148.89402853551746</v>
      </c>
      <c r="L55" s="51">
        <f t="shared" si="11"/>
        <v>274.45888090423313</v>
      </c>
      <c r="M55" s="51">
        <f t="shared" si="12"/>
        <v>298.98693445331469</v>
      </c>
      <c r="N55" s="66">
        <f t="shared" si="5"/>
        <v>286.72290767877394</v>
      </c>
      <c r="P55" s="51">
        <f>Controls!$F$5*N55</f>
        <v>274.77975489078375</v>
      </c>
      <c r="Q55" s="105">
        <f>-(INDEX(Controls!$G$12:$G$16,MATCH($B55,Controls!$C$12:$C$16,0),0))*$P55</f>
        <v>-15.047273011705792</v>
      </c>
      <c r="R55" s="66">
        <f t="shared" si="6"/>
        <v>259.73248187907797</v>
      </c>
    </row>
    <row r="56" spans="1:18" x14ac:dyDescent="0.2">
      <c r="A56" s="36" t="str">
        <f>'Forecast drivers'!A56</f>
        <v>AFW</v>
      </c>
      <c r="B56" s="57">
        <f>'Forecast drivers'!B56</f>
        <v>2021</v>
      </c>
      <c r="C56" s="36" t="str">
        <f>'Forecast drivers'!C56</f>
        <v>AFW21</v>
      </c>
      <c r="D56" s="50">
        <f>EXP(Coeffs!$D$12+(Coeffs!$D$5*'Forecast drivers'!D56)+(Coeffs!$D$6*'Forecast drivers'!F56)+(Coeffs!$D$8*'Forecast drivers'!I56)+(Coeffs!$D$9*'Forecast drivers'!J56))</f>
        <v>71.888121795809084</v>
      </c>
      <c r="E56" s="50">
        <f>EXP(Coeffs!$E$12+(Coeffs!$E$5*'Forecast drivers'!D56)+(Coeffs!$E$7*'Forecast drivers'!G56)+(Coeffs!$E$8*'Forecast drivers'!I56)+(Coeffs!$E$9*'Forecast drivers'!J56))</f>
        <v>70.625953450758757</v>
      </c>
      <c r="F56" s="50">
        <f>EXP(Coeffs!$F$12+(Coeffs!$F$8*'Forecast drivers'!I56)+(Coeffs!$F$9*'Forecast drivers'!J56)+(Coeffs!$F$10*'Forecast drivers'!E56)+(Coeffs!$F$11*'Forecast drivers'!H56))</f>
        <v>126.87750629888788</v>
      </c>
      <c r="G56" s="50">
        <f>EXP(Coeffs!$G$12+(Coeffs!$G$5*'Forecast drivers'!D56)+(Coeffs!$G$6*'Forecast drivers'!F56)+(Coeffs!$G$8*'Forecast drivers'!I56)+(Coeffs!$G$9*'Forecast drivers'!J56)+(Coeffs!$G$11*'Forecast drivers'!H56))</f>
        <v>206.53530577314697</v>
      </c>
      <c r="H56" s="50">
        <f>EXP(Coeffs!$H$12+(Coeffs!$H$5*'Forecast drivers'!D56)+(Coeffs!$H$7*'Forecast drivers'!G56)+(Coeffs!$H$8*'Forecast drivers'!I56)+(Coeffs!$H$9*'Forecast drivers'!J56)+(Coeffs!$H$11*'Forecast drivers'!H56))</f>
        <v>209.70087652628737</v>
      </c>
      <c r="J56" s="50">
        <f t="shared" si="9"/>
        <v>71.257037623283921</v>
      </c>
      <c r="K56" s="50">
        <f t="shared" si="10"/>
        <v>126.87750629888788</v>
      </c>
      <c r="L56" s="51">
        <f t="shared" si="11"/>
        <v>198.13454392217182</v>
      </c>
      <c r="M56" s="51">
        <f t="shared" si="12"/>
        <v>208.11809114971717</v>
      </c>
      <c r="N56" s="66">
        <f t="shared" si="5"/>
        <v>203.12631753594451</v>
      </c>
      <c r="P56" s="51">
        <f>Controls!$F$5*N56</f>
        <v>194.66529617830852</v>
      </c>
      <c r="Q56" s="105">
        <f>-(INDEX(Controls!$G$12:$G$16,MATCH($B56,Controls!$C$12:$C$16,0),0))*$P56</f>
        <v>-2.1413182579613936</v>
      </c>
      <c r="R56" s="66">
        <f t="shared" si="6"/>
        <v>192.52397792034714</v>
      </c>
    </row>
    <row r="57" spans="1:18" x14ac:dyDescent="0.2">
      <c r="A57" s="36" t="str">
        <f>'Forecast drivers'!A57</f>
        <v>AFW</v>
      </c>
      <c r="B57" s="57">
        <f>'Forecast drivers'!B57</f>
        <v>2022</v>
      </c>
      <c r="C57" s="36" t="str">
        <f>'Forecast drivers'!C57</f>
        <v>AFW22</v>
      </c>
      <c r="D57" s="50">
        <f>EXP(Coeffs!$D$12+(Coeffs!$D$5*'Forecast drivers'!D57)+(Coeffs!$D$6*'Forecast drivers'!F57)+(Coeffs!$D$8*'Forecast drivers'!I57)+(Coeffs!$D$9*'Forecast drivers'!J57))</f>
        <v>72.384825926321128</v>
      </c>
      <c r="E57" s="50">
        <f>EXP(Coeffs!$E$12+(Coeffs!$E$5*'Forecast drivers'!D57)+(Coeffs!$E$7*'Forecast drivers'!G57)+(Coeffs!$E$8*'Forecast drivers'!I57)+(Coeffs!$E$9*'Forecast drivers'!J57))</f>
        <v>71.07693990900799</v>
      </c>
      <c r="F57" s="50">
        <f>EXP(Coeffs!$F$12+(Coeffs!$F$8*'Forecast drivers'!I57)+(Coeffs!$F$9*'Forecast drivers'!J57)+(Coeffs!$F$10*'Forecast drivers'!E57)+(Coeffs!$F$11*'Forecast drivers'!H57))</f>
        <v>127.3638054838833</v>
      </c>
      <c r="G57" s="50">
        <f>EXP(Coeffs!$G$12+(Coeffs!$G$5*'Forecast drivers'!D57)+(Coeffs!$G$6*'Forecast drivers'!F57)+(Coeffs!$G$8*'Forecast drivers'!I57)+(Coeffs!$G$9*'Forecast drivers'!J57)+(Coeffs!$G$11*'Forecast drivers'!H57))</f>
        <v>207.91472467374376</v>
      </c>
      <c r="H57" s="50">
        <f>EXP(Coeffs!$H$12+(Coeffs!$H$5*'Forecast drivers'!D57)+(Coeffs!$H$7*'Forecast drivers'!G57)+(Coeffs!$H$8*'Forecast drivers'!I57)+(Coeffs!$H$9*'Forecast drivers'!J57)+(Coeffs!$H$11*'Forecast drivers'!H57))</f>
        <v>210.98632998570341</v>
      </c>
      <c r="J57" s="50">
        <f t="shared" si="9"/>
        <v>71.730882917664559</v>
      </c>
      <c r="K57" s="50">
        <f t="shared" si="10"/>
        <v>127.3638054838833</v>
      </c>
      <c r="L57" s="51">
        <f t="shared" si="11"/>
        <v>199.09468840154784</v>
      </c>
      <c r="M57" s="51">
        <f t="shared" si="12"/>
        <v>209.45052732972357</v>
      </c>
      <c r="N57" s="66">
        <f t="shared" si="5"/>
        <v>204.27260786563571</v>
      </c>
      <c r="P57" s="51">
        <f>Controls!$F$5*N57</f>
        <v>195.76383894343388</v>
      </c>
      <c r="Q57" s="105">
        <f>-(INDEX(Controls!$G$12:$G$16,MATCH($B57,Controls!$C$12:$C$16,0),0))*$P57</f>
        <v>-4.3502836053848428</v>
      </c>
      <c r="R57" s="66">
        <f t="shared" si="6"/>
        <v>191.41355533804904</v>
      </c>
    </row>
    <row r="58" spans="1:18" x14ac:dyDescent="0.2">
      <c r="A58" s="36" t="str">
        <f>'Forecast drivers'!A58</f>
        <v>AFW</v>
      </c>
      <c r="B58" s="57">
        <f>'Forecast drivers'!B58</f>
        <v>2023</v>
      </c>
      <c r="C58" s="36" t="str">
        <f>'Forecast drivers'!C58</f>
        <v>AFW23</v>
      </c>
      <c r="D58" s="50">
        <f>EXP(Coeffs!$D$12+(Coeffs!$D$5*'Forecast drivers'!D58)+(Coeffs!$D$6*'Forecast drivers'!F58)+(Coeffs!$D$8*'Forecast drivers'!I58)+(Coeffs!$D$9*'Forecast drivers'!J58))</f>
        <v>73.076273160968157</v>
      </c>
      <c r="E58" s="50">
        <f>EXP(Coeffs!$E$12+(Coeffs!$E$5*'Forecast drivers'!D58)+(Coeffs!$E$7*'Forecast drivers'!G58)+(Coeffs!$E$8*'Forecast drivers'!I58)+(Coeffs!$E$9*'Forecast drivers'!J58))</f>
        <v>71.721594518329624</v>
      </c>
      <c r="F58" s="50">
        <f>EXP(Coeffs!$F$12+(Coeffs!$F$8*'Forecast drivers'!I58)+(Coeffs!$F$9*'Forecast drivers'!J58)+(Coeffs!$F$10*'Forecast drivers'!E58)+(Coeffs!$F$11*'Forecast drivers'!H58))</f>
        <v>127.81055558885376</v>
      </c>
      <c r="G58" s="50">
        <f>EXP(Coeffs!$G$12+(Coeffs!$G$5*'Forecast drivers'!D58)+(Coeffs!$G$6*'Forecast drivers'!F58)+(Coeffs!$G$8*'Forecast drivers'!I58)+(Coeffs!$G$9*'Forecast drivers'!J58)+(Coeffs!$G$11*'Forecast drivers'!H58))</f>
        <v>209.83438164931508</v>
      </c>
      <c r="H58" s="50">
        <f>EXP(Coeffs!$H$12+(Coeffs!$H$5*'Forecast drivers'!D58)+(Coeffs!$H$7*'Forecast drivers'!G58)+(Coeffs!$H$8*'Forecast drivers'!I58)+(Coeffs!$H$9*'Forecast drivers'!J58)+(Coeffs!$H$11*'Forecast drivers'!H58))</f>
        <v>212.81633292993163</v>
      </c>
      <c r="J58" s="50">
        <f t="shared" si="9"/>
        <v>72.39893383964889</v>
      </c>
      <c r="K58" s="50">
        <f t="shared" si="10"/>
        <v>127.81055558885376</v>
      </c>
      <c r="L58" s="51">
        <f t="shared" si="11"/>
        <v>200.20948942850265</v>
      </c>
      <c r="M58" s="51">
        <f t="shared" si="12"/>
        <v>211.32535728962335</v>
      </c>
      <c r="N58" s="66">
        <f t="shared" si="5"/>
        <v>205.767423359063</v>
      </c>
      <c r="P58" s="51">
        <f>Controls!$F$5*N58</f>
        <v>197.1963894090251</v>
      </c>
      <c r="Q58" s="105">
        <f>-(INDEX(Controls!$G$12:$G$16,MATCH($B58,Controls!$C$12:$C$16,0),0))*$P58</f>
        <v>-6.5793236145920382</v>
      </c>
      <c r="R58" s="66">
        <f t="shared" si="6"/>
        <v>190.61706579443307</v>
      </c>
    </row>
    <row r="59" spans="1:18" x14ac:dyDescent="0.2">
      <c r="A59" s="36" t="str">
        <f>'Forecast drivers'!A59</f>
        <v>AFW</v>
      </c>
      <c r="B59" s="57">
        <f>'Forecast drivers'!B59</f>
        <v>2024</v>
      </c>
      <c r="C59" s="36" t="str">
        <f>'Forecast drivers'!C59</f>
        <v>AFW24</v>
      </c>
      <c r="D59" s="50">
        <f>EXP(Coeffs!$D$12+(Coeffs!$D$5*'Forecast drivers'!D59)+(Coeffs!$D$6*'Forecast drivers'!F59)+(Coeffs!$D$8*'Forecast drivers'!I59)+(Coeffs!$D$9*'Forecast drivers'!J59))</f>
        <v>73.747335034210593</v>
      </c>
      <c r="E59" s="50">
        <f>EXP(Coeffs!$E$12+(Coeffs!$E$5*'Forecast drivers'!D59)+(Coeffs!$E$7*'Forecast drivers'!G59)+(Coeffs!$E$8*'Forecast drivers'!I59)+(Coeffs!$E$9*'Forecast drivers'!J59))</f>
        <v>72.350360920471473</v>
      </c>
      <c r="F59" s="50">
        <f>EXP(Coeffs!$F$12+(Coeffs!$F$8*'Forecast drivers'!I59)+(Coeffs!$F$9*'Forecast drivers'!J59)+(Coeffs!$F$10*'Forecast drivers'!E59)+(Coeffs!$F$11*'Forecast drivers'!H59))</f>
        <v>128.2179471395294</v>
      </c>
      <c r="G59" s="50">
        <f>EXP(Coeffs!$G$12+(Coeffs!$G$5*'Forecast drivers'!D59)+(Coeffs!$G$6*'Forecast drivers'!F59)+(Coeffs!$G$8*'Forecast drivers'!I59)+(Coeffs!$G$9*'Forecast drivers'!J59)+(Coeffs!$G$11*'Forecast drivers'!H59))</f>
        <v>211.64793089556784</v>
      </c>
      <c r="H59" s="50">
        <f>EXP(Coeffs!$H$12+(Coeffs!$H$5*'Forecast drivers'!D59)+(Coeffs!$H$7*'Forecast drivers'!G59)+(Coeffs!$H$8*'Forecast drivers'!I59)+(Coeffs!$H$9*'Forecast drivers'!J59)+(Coeffs!$H$11*'Forecast drivers'!H59))</f>
        <v>214.54551767716472</v>
      </c>
      <c r="J59" s="50">
        <f t="shared" si="9"/>
        <v>73.04884797734104</v>
      </c>
      <c r="K59" s="50">
        <f t="shared" si="10"/>
        <v>128.2179471395294</v>
      </c>
      <c r="L59" s="51">
        <f t="shared" si="11"/>
        <v>201.26679511687044</v>
      </c>
      <c r="M59" s="51">
        <f t="shared" si="12"/>
        <v>213.09672428636628</v>
      </c>
      <c r="N59" s="66">
        <f t="shared" si="5"/>
        <v>207.18175970161838</v>
      </c>
      <c r="P59" s="51">
        <f>Controls!$F$5*N59</f>
        <v>198.55181300139427</v>
      </c>
      <c r="Q59" s="105">
        <f>-(INDEX(Controls!$G$12:$G$16,MATCH($B59,Controls!$C$12:$C$16,0),0))*$P59</f>
        <v>-8.7788981760082017</v>
      </c>
      <c r="R59" s="66">
        <f t="shared" si="6"/>
        <v>189.77291482538607</v>
      </c>
    </row>
    <row r="60" spans="1:18" x14ac:dyDescent="0.2">
      <c r="A60" s="36" t="str">
        <f>'Forecast drivers'!A60</f>
        <v>AFW</v>
      </c>
      <c r="B60" s="57">
        <f>'Forecast drivers'!B60</f>
        <v>2025</v>
      </c>
      <c r="C60" s="36" t="str">
        <f>'Forecast drivers'!C60</f>
        <v>AFW25</v>
      </c>
      <c r="D60" s="50">
        <f>EXP(Coeffs!$D$12+(Coeffs!$D$5*'Forecast drivers'!D60)+(Coeffs!$D$6*'Forecast drivers'!F60)+(Coeffs!$D$8*'Forecast drivers'!I60)+(Coeffs!$D$9*'Forecast drivers'!J60))</f>
        <v>74.411193728660706</v>
      </c>
      <c r="E60" s="50">
        <f>EXP(Coeffs!$E$12+(Coeffs!$E$5*'Forecast drivers'!D60)+(Coeffs!$E$7*'Forecast drivers'!G60)+(Coeffs!$E$8*'Forecast drivers'!I60)+(Coeffs!$E$9*'Forecast drivers'!J60))</f>
        <v>72.97222094734903</v>
      </c>
      <c r="F60" s="50">
        <f>EXP(Coeffs!$F$12+(Coeffs!$F$8*'Forecast drivers'!I60)+(Coeffs!$F$9*'Forecast drivers'!J60)+(Coeffs!$F$10*'Forecast drivers'!E60)+(Coeffs!$F$11*'Forecast drivers'!H60))</f>
        <v>128.56188831148529</v>
      </c>
      <c r="G60" s="50">
        <f>EXP(Coeffs!$G$12+(Coeffs!$G$5*'Forecast drivers'!D60)+(Coeffs!$G$6*'Forecast drivers'!F60)+(Coeffs!$G$8*'Forecast drivers'!I60)+(Coeffs!$G$9*'Forecast drivers'!J60)+(Coeffs!$G$11*'Forecast drivers'!H60))</f>
        <v>213.42987496189576</v>
      </c>
      <c r="H60" s="50">
        <f>EXP(Coeffs!$H$12+(Coeffs!$H$5*'Forecast drivers'!D60)+(Coeffs!$H$7*'Forecast drivers'!G60)+(Coeffs!$H$8*'Forecast drivers'!I60)+(Coeffs!$H$9*'Forecast drivers'!J60)+(Coeffs!$H$11*'Forecast drivers'!H60))</f>
        <v>216.24238681018298</v>
      </c>
      <c r="J60" s="50">
        <f t="shared" si="9"/>
        <v>73.691707338004875</v>
      </c>
      <c r="K60" s="50">
        <f t="shared" si="10"/>
        <v>128.56188831148529</v>
      </c>
      <c r="L60" s="51">
        <f t="shared" si="11"/>
        <v>202.25359564949017</v>
      </c>
      <c r="M60" s="51">
        <f t="shared" si="12"/>
        <v>214.83613088603937</v>
      </c>
      <c r="N60" s="66">
        <f t="shared" si="5"/>
        <v>208.54486326776475</v>
      </c>
      <c r="P60" s="51">
        <f>Controls!$F$5*N60</f>
        <v>199.85813786684966</v>
      </c>
      <c r="Q60" s="105">
        <f>-(INDEX(Controls!$G$12:$G$16,MATCH($B60,Controls!$C$12:$C$16,0),0))*$P60</f>
        <v>-10.944474294654411</v>
      </c>
      <c r="R60" s="66">
        <f t="shared" si="6"/>
        <v>188.91366357219525</v>
      </c>
    </row>
    <row r="61" spans="1:18" x14ac:dyDescent="0.2">
      <c r="A61" s="36" t="str">
        <f>'Forecast drivers'!A61</f>
        <v>BRL</v>
      </c>
      <c r="B61" s="57">
        <f>'Forecast drivers'!B61</f>
        <v>2021</v>
      </c>
      <c r="C61" s="36" t="str">
        <f>'Forecast drivers'!C61</f>
        <v>BRL21</v>
      </c>
      <c r="D61" s="50">
        <f>EXP(Coeffs!$D$12+(Coeffs!$D$5*'Forecast drivers'!D61)+(Coeffs!$D$6*'Forecast drivers'!F61)+(Coeffs!$D$8*'Forecast drivers'!I61)+(Coeffs!$D$9*'Forecast drivers'!J61))</f>
        <v>27.18873803704502</v>
      </c>
      <c r="E61" s="50">
        <f>EXP(Coeffs!$E$12+(Coeffs!$E$5*'Forecast drivers'!D61)+(Coeffs!$E$7*'Forecast drivers'!G61)+(Coeffs!$E$8*'Forecast drivers'!I61)+(Coeffs!$E$9*'Forecast drivers'!J61))</f>
        <v>27.273672173384032</v>
      </c>
      <c r="F61" s="50">
        <f>EXP(Coeffs!$F$12+(Coeffs!$F$8*'Forecast drivers'!I61)+(Coeffs!$F$9*'Forecast drivers'!J61)+(Coeffs!$F$10*'Forecast drivers'!E61)+(Coeffs!$F$11*'Forecast drivers'!H61))</f>
        <v>39.840539064843902</v>
      </c>
      <c r="G61" s="50">
        <f>EXP(Coeffs!$G$12+(Coeffs!$G$5*'Forecast drivers'!D61)+(Coeffs!$G$6*'Forecast drivers'!F61)+(Coeffs!$G$8*'Forecast drivers'!I61)+(Coeffs!$G$9*'Forecast drivers'!J61)+(Coeffs!$G$11*'Forecast drivers'!H61))</f>
        <v>70.007425827872822</v>
      </c>
      <c r="H61" s="50">
        <f>EXP(Coeffs!$H$12+(Coeffs!$H$5*'Forecast drivers'!D61)+(Coeffs!$H$7*'Forecast drivers'!G61)+(Coeffs!$H$8*'Forecast drivers'!I61)+(Coeffs!$H$9*'Forecast drivers'!J61)+(Coeffs!$H$11*'Forecast drivers'!H61))</f>
        <v>74.492065751660945</v>
      </c>
      <c r="J61" s="50">
        <f t="shared" si="9"/>
        <v>27.231205105214528</v>
      </c>
      <c r="K61" s="50">
        <f t="shared" si="10"/>
        <v>39.840539064843902</v>
      </c>
      <c r="L61" s="51">
        <f t="shared" si="11"/>
        <v>67.071744170058423</v>
      </c>
      <c r="M61" s="51">
        <f t="shared" si="12"/>
        <v>72.249745789766877</v>
      </c>
      <c r="N61" s="66">
        <f t="shared" si="5"/>
        <v>69.66074497991265</v>
      </c>
      <c r="P61" s="51">
        <f>Controls!$F$5*N61</f>
        <v>66.759097088030899</v>
      </c>
      <c r="Q61" s="105">
        <f>-(INDEX(Controls!$G$12:$G$16,MATCH($B61,Controls!$C$12:$C$16,0),0))*$P61</f>
        <v>-0.73435006796833979</v>
      </c>
      <c r="R61" s="66">
        <f t="shared" si="6"/>
        <v>66.024747020062563</v>
      </c>
    </row>
    <row r="62" spans="1:18" x14ac:dyDescent="0.2">
      <c r="A62" s="36" t="str">
        <f>'Forecast drivers'!A62</f>
        <v>BRL</v>
      </c>
      <c r="B62" s="57">
        <f>'Forecast drivers'!B62</f>
        <v>2022</v>
      </c>
      <c r="C62" s="36" t="str">
        <f>'Forecast drivers'!C62</f>
        <v>BRL22</v>
      </c>
      <c r="D62" s="50">
        <f>EXP(Coeffs!$D$12+(Coeffs!$D$5*'Forecast drivers'!D62)+(Coeffs!$D$6*'Forecast drivers'!F62)+(Coeffs!$D$8*'Forecast drivers'!I62)+(Coeffs!$D$9*'Forecast drivers'!J62))</f>
        <v>27.38616462414252</v>
      </c>
      <c r="E62" s="50">
        <f>EXP(Coeffs!$E$12+(Coeffs!$E$5*'Forecast drivers'!D62)+(Coeffs!$E$7*'Forecast drivers'!G62)+(Coeffs!$E$8*'Forecast drivers'!I62)+(Coeffs!$E$9*'Forecast drivers'!J62))</f>
        <v>27.465656979557682</v>
      </c>
      <c r="F62" s="50">
        <f>EXP(Coeffs!$F$12+(Coeffs!$F$8*'Forecast drivers'!I62)+(Coeffs!$F$9*'Forecast drivers'!J62)+(Coeffs!$F$10*'Forecast drivers'!E62)+(Coeffs!$F$11*'Forecast drivers'!H62))</f>
        <v>40.251875876741877</v>
      </c>
      <c r="G62" s="50">
        <f>EXP(Coeffs!$G$12+(Coeffs!$G$5*'Forecast drivers'!D62)+(Coeffs!$G$6*'Forecast drivers'!F62)+(Coeffs!$G$8*'Forecast drivers'!I62)+(Coeffs!$G$9*'Forecast drivers'!J62)+(Coeffs!$G$11*'Forecast drivers'!H62))</f>
        <v>70.706192060683378</v>
      </c>
      <c r="H62" s="50">
        <f>EXP(Coeffs!$H$12+(Coeffs!$H$5*'Forecast drivers'!D62)+(Coeffs!$H$7*'Forecast drivers'!G62)+(Coeffs!$H$8*'Forecast drivers'!I62)+(Coeffs!$H$9*'Forecast drivers'!J62)+(Coeffs!$H$11*'Forecast drivers'!H62))</f>
        <v>75.223855699519333</v>
      </c>
      <c r="J62" s="50">
        <f t="shared" si="9"/>
        <v>27.425910801850101</v>
      </c>
      <c r="K62" s="50">
        <f t="shared" si="10"/>
        <v>40.251875876741877</v>
      </c>
      <c r="L62" s="51">
        <f t="shared" si="11"/>
        <v>67.677786678591985</v>
      </c>
      <c r="M62" s="51">
        <f t="shared" si="12"/>
        <v>72.965023880101356</v>
      </c>
      <c r="N62" s="66">
        <f t="shared" si="5"/>
        <v>70.321405279346664</v>
      </c>
      <c r="P62" s="51">
        <f>Controls!$F$5*N62</f>
        <v>67.392238250745152</v>
      </c>
      <c r="Q62" s="105">
        <f>-(INDEX(Controls!$G$12:$G$16,MATCH($B62,Controls!$C$12:$C$16,0),0))*$P62</f>
        <v>-1.4975970576318705</v>
      </c>
      <c r="R62" s="66">
        <f t="shared" si="6"/>
        <v>65.894641193113287</v>
      </c>
    </row>
    <row r="63" spans="1:18" x14ac:dyDescent="0.2">
      <c r="A63" s="36" t="str">
        <f>'Forecast drivers'!A63</f>
        <v>BRL</v>
      </c>
      <c r="B63" s="57">
        <f>'Forecast drivers'!B63</f>
        <v>2023</v>
      </c>
      <c r="C63" s="36" t="str">
        <f>'Forecast drivers'!C63</f>
        <v>BRL23</v>
      </c>
      <c r="D63" s="50">
        <f>EXP(Coeffs!$D$12+(Coeffs!$D$5*'Forecast drivers'!D63)+(Coeffs!$D$6*'Forecast drivers'!F63)+(Coeffs!$D$8*'Forecast drivers'!I63)+(Coeffs!$D$9*'Forecast drivers'!J63))</f>
        <v>27.599123152485344</v>
      </c>
      <c r="E63" s="50">
        <f>EXP(Coeffs!$E$12+(Coeffs!$E$5*'Forecast drivers'!D63)+(Coeffs!$E$7*'Forecast drivers'!G63)+(Coeffs!$E$8*'Forecast drivers'!I63)+(Coeffs!$E$9*'Forecast drivers'!J63))</f>
        <v>27.67329523904737</v>
      </c>
      <c r="F63" s="50">
        <f>EXP(Coeffs!$F$12+(Coeffs!$F$8*'Forecast drivers'!I63)+(Coeffs!$F$9*'Forecast drivers'!J63)+(Coeffs!$F$10*'Forecast drivers'!E63)+(Coeffs!$F$11*'Forecast drivers'!H63))</f>
        <v>40.661168389840903</v>
      </c>
      <c r="G63" s="50">
        <f>EXP(Coeffs!$G$12+(Coeffs!$G$5*'Forecast drivers'!D63)+(Coeffs!$G$6*'Forecast drivers'!F63)+(Coeffs!$G$8*'Forecast drivers'!I63)+(Coeffs!$G$9*'Forecast drivers'!J63)+(Coeffs!$G$11*'Forecast drivers'!H63))</f>
        <v>71.445063757983391</v>
      </c>
      <c r="H63" s="50">
        <f>EXP(Coeffs!$H$12+(Coeffs!$H$5*'Forecast drivers'!D63)+(Coeffs!$H$7*'Forecast drivers'!G63)+(Coeffs!$H$8*'Forecast drivers'!I63)+(Coeffs!$H$9*'Forecast drivers'!J63)+(Coeffs!$H$11*'Forecast drivers'!H63))</f>
        <v>75.99780962605567</v>
      </c>
      <c r="J63" s="50">
        <f t="shared" si="9"/>
        <v>27.636209195766355</v>
      </c>
      <c r="K63" s="50">
        <f t="shared" si="10"/>
        <v>40.661168389840903</v>
      </c>
      <c r="L63" s="51">
        <f t="shared" si="11"/>
        <v>68.297377585607251</v>
      </c>
      <c r="M63" s="51">
        <f t="shared" si="12"/>
        <v>73.721436692019523</v>
      </c>
      <c r="N63" s="66">
        <f t="shared" si="5"/>
        <v>71.009407138813387</v>
      </c>
      <c r="P63" s="51">
        <f>Controls!$F$5*N63</f>
        <v>68.05158208845647</v>
      </c>
      <c r="Q63" s="105">
        <f>-(INDEX(Controls!$G$12:$G$16,MATCH($B63,Controls!$C$12:$C$16,0),0))*$P63</f>
        <v>-2.2704948218714129</v>
      </c>
      <c r="R63" s="66">
        <f t="shared" si="6"/>
        <v>65.781087266585061</v>
      </c>
    </row>
    <row r="64" spans="1:18" x14ac:dyDescent="0.2">
      <c r="A64" s="36" t="str">
        <f>'Forecast drivers'!A64</f>
        <v>BRL</v>
      </c>
      <c r="B64" s="57">
        <f>'Forecast drivers'!B64</f>
        <v>2024</v>
      </c>
      <c r="C64" s="36" t="str">
        <f>'Forecast drivers'!C64</f>
        <v>BRL24</v>
      </c>
      <c r="D64" s="50">
        <f>EXP(Coeffs!$D$12+(Coeffs!$D$5*'Forecast drivers'!D64)+(Coeffs!$D$6*'Forecast drivers'!F64)+(Coeffs!$D$8*'Forecast drivers'!I64)+(Coeffs!$D$9*'Forecast drivers'!J64))</f>
        <v>27.812651541097466</v>
      </c>
      <c r="E64" s="50">
        <f>EXP(Coeffs!$E$12+(Coeffs!$E$5*'Forecast drivers'!D64)+(Coeffs!$E$7*'Forecast drivers'!G64)+(Coeffs!$E$8*'Forecast drivers'!I64)+(Coeffs!$E$9*'Forecast drivers'!J64))</f>
        <v>27.881408481431677</v>
      </c>
      <c r="F64" s="50">
        <f>EXP(Coeffs!$F$12+(Coeffs!$F$8*'Forecast drivers'!I64)+(Coeffs!$F$9*'Forecast drivers'!J64)+(Coeffs!$F$10*'Forecast drivers'!E64)+(Coeffs!$F$11*'Forecast drivers'!H64))</f>
        <v>41.071324083684225</v>
      </c>
      <c r="G64" s="50">
        <f>EXP(Coeffs!$G$12+(Coeffs!$G$5*'Forecast drivers'!D64)+(Coeffs!$G$6*'Forecast drivers'!F64)+(Coeffs!$G$8*'Forecast drivers'!I64)+(Coeffs!$G$9*'Forecast drivers'!J64)+(Coeffs!$G$11*'Forecast drivers'!H64))</f>
        <v>72.186608314814052</v>
      </c>
      <c r="H64" s="50">
        <f>EXP(Coeffs!$H$12+(Coeffs!$H$5*'Forecast drivers'!D64)+(Coeffs!$H$7*'Forecast drivers'!G64)+(Coeffs!$H$8*'Forecast drivers'!I64)+(Coeffs!$H$9*'Forecast drivers'!J64)+(Coeffs!$H$11*'Forecast drivers'!H64))</f>
        <v>76.774341509811535</v>
      </c>
      <c r="J64" s="50">
        <f t="shared" si="9"/>
        <v>27.847030011264572</v>
      </c>
      <c r="K64" s="50">
        <f t="shared" si="10"/>
        <v>41.071324083684225</v>
      </c>
      <c r="L64" s="51">
        <f t="shared" si="11"/>
        <v>68.918354094948796</v>
      </c>
      <c r="M64" s="51">
        <f t="shared" si="12"/>
        <v>74.480474912312786</v>
      </c>
      <c r="N64" s="66">
        <f t="shared" si="5"/>
        <v>71.699414503630791</v>
      </c>
      <c r="P64" s="51">
        <f>Controls!$F$5*N64</f>
        <v>68.712847894221028</v>
      </c>
      <c r="Q64" s="105">
        <f>-(INDEX(Controls!$G$12:$G$16,MATCH($B64,Controls!$C$12:$C$16,0),0))*$P64</f>
        <v>-3.0381142631151397</v>
      </c>
      <c r="R64" s="66">
        <f t="shared" si="6"/>
        <v>65.674733631105894</v>
      </c>
    </row>
    <row r="65" spans="1:18" x14ac:dyDescent="0.2">
      <c r="A65" s="36" t="str">
        <f>'Forecast drivers'!A65</f>
        <v>BRL</v>
      </c>
      <c r="B65" s="57">
        <f>'Forecast drivers'!B65</f>
        <v>2025</v>
      </c>
      <c r="C65" s="36" t="str">
        <f>'Forecast drivers'!C65</f>
        <v>BRL25</v>
      </c>
      <c r="D65" s="50">
        <f>EXP(Coeffs!$D$12+(Coeffs!$D$5*'Forecast drivers'!D65)+(Coeffs!$D$6*'Forecast drivers'!F65)+(Coeffs!$D$8*'Forecast drivers'!I65)+(Coeffs!$D$9*'Forecast drivers'!J65))</f>
        <v>28.02963251508368</v>
      </c>
      <c r="E65" s="50">
        <f>EXP(Coeffs!$E$12+(Coeffs!$E$5*'Forecast drivers'!D65)+(Coeffs!$E$7*'Forecast drivers'!G65)+(Coeffs!$E$8*'Forecast drivers'!I65)+(Coeffs!$E$9*'Forecast drivers'!J65))</f>
        <v>28.092677253029379</v>
      </c>
      <c r="F65" s="50">
        <f>EXP(Coeffs!$F$12+(Coeffs!$F$8*'Forecast drivers'!I65)+(Coeffs!$F$9*'Forecast drivers'!J65)+(Coeffs!$F$10*'Forecast drivers'!E65)+(Coeffs!$F$11*'Forecast drivers'!H65))</f>
        <v>41.485839733453972</v>
      </c>
      <c r="G65" s="50">
        <f>EXP(Coeffs!$G$12+(Coeffs!$G$5*'Forecast drivers'!D65)+(Coeffs!$G$6*'Forecast drivers'!F65)+(Coeffs!$G$8*'Forecast drivers'!I65)+(Coeffs!$G$9*'Forecast drivers'!J65)+(Coeffs!$G$11*'Forecast drivers'!H65))</f>
        <v>72.940732380019881</v>
      </c>
      <c r="H65" s="50">
        <f>EXP(Coeffs!$H$12+(Coeffs!$H$5*'Forecast drivers'!D65)+(Coeffs!$H$7*'Forecast drivers'!G65)+(Coeffs!$H$8*'Forecast drivers'!I65)+(Coeffs!$H$9*'Forecast drivers'!J65)+(Coeffs!$H$11*'Forecast drivers'!H65))</f>
        <v>77.563560899589845</v>
      </c>
      <c r="J65" s="50">
        <f t="shared" si="9"/>
        <v>28.061154884056528</v>
      </c>
      <c r="K65" s="50">
        <f t="shared" si="10"/>
        <v>41.485839733453972</v>
      </c>
      <c r="L65" s="51">
        <f t="shared" si="11"/>
        <v>69.546994617510506</v>
      </c>
      <c r="M65" s="51">
        <f t="shared" si="12"/>
        <v>75.252146639804863</v>
      </c>
      <c r="N65" s="66">
        <f t="shared" si="5"/>
        <v>72.399570628657685</v>
      </c>
      <c r="P65" s="51">
        <f>Controls!$F$5*N65</f>
        <v>69.383839723850883</v>
      </c>
      <c r="Q65" s="105">
        <f>-(INDEX(Controls!$G$12:$G$16,MATCH($B65,Controls!$C$12:$C$16,0),0))*$P65</f>
        <v>-3.7995433082040329</v>
      </c>
      <c r="R65" s="66">
        <f t="shared" si="6"/>
        <v>65.584296415646847</v>
      </c>
    </row>
    <row r="66" spans="1:18" x14ac:dyDescent="0.2">
      <c r="A66" s="36" t="str">
        <f>'Forecast drivers'!A66</f>
        <v>DVW</v>
      </c>
      <c r="B66" s="57">
        <f>'Forecast drivers'!B66</f>
        <v>2021</v>
      </c>
      <c r="C66" s="36" t="str">
        <f>'Forecast drivers'!C66</f>
        <v>DVW21</v>
      </c>
      <c r="D66" s="50">
        <f>EXP(Coeffs!$D$12+(Coeffs!$D$5*'Forecast drivers'!D66)+(Coeffs!$D$6*'Forecast drivers'!F66)+(Coeffs!$D$8*'Forecast drivers'!I66)+(Coeffs!$D$9*'Forecast drivers'!J66))</f>
        <v>10.076771819320243</v>
      </c>
      <c r="E66" s="50">
        <f>EXP(Coeffs!$E$12+(Coeffs!$E$5*'Forecast drivers'!D66)+(Coeffs!$E$7*'Forecast drivers'!G66)+(Coeffs!$E$8*'Forecast drivers'!I66)+(Coeffs!$E$9*'Forecast drivers'!J66))</f>
        <v>8.8287659932151445</v>
      </c>
      <c r="F66" s="50">
        <f>EXP(Coeffs!$F$12+(Coeffs!$F$8*'Forecast drivers'!I66)+(Coeffs!$F$9*'Forecast drivers'!J66)+(Coeffs!$F$10*'Forecast drivers'!E66)+(Coeffs!$F$11*'Forecast drivers'!H66))</f>
        <v>8.4004299896779422</v>
      </c>
      <c r="G66" s="50">
        <f>EXP(Coeffs!$G$12+(Coeffs!$G$5*'Forecast drivers'!D66)+(Coeffs!$G$6*'Forecast drivers'!F66)+(Coeffs!$G$8*'Forecast drivers'!I66)+(Coeffs!$G$9*'Forecast drivers'!J66)+(Coeffs!$G$11*'Forecast drivers'!H66))</f>
        <v>20.619826015285302</v>
      </c>
      <c r="H66" s="50">
        <f>EXP(Coeffs!$H$12+(Coeffs!$H$5*'Forecast drivers'!D66)+(Coeffs!$H$7*'Forecast drivers'!G66)+(Coeffs!$H$8*'Forecast drivers'!I66)+(Coeffs!$H$9*'Forecast drivers'!J66)+(Coeffs!$H$11*'Forecast drivers'!H66))</f>
        <v>19.765028433863318</v>
      </c>
      <c r="J66" s="50">
        <f t="shared" si="9"/>
        <v>9.4527689062676927</v>
      </c>
      <c r="K66" s="50">
        <f t="shared" si="10"/>
        <v>8.4004299896779422</v>
      </c>
      <c r="L66" s="51">
        <f t="shared" si="11"/>
        <v>17.853198895945635</v>
      </c>
      <c r="M66" s="51">
        <f t="shared" si="12"/>
        <v>20.19242722457431</v>
      </c>
      <c r="N66" s="66">
        <f t="shared" si="5"/>
        <v>19.022813060259971</v>
      </c>
      <c r="P66" s="51">
        <f>Controls!$F$5*N66</f>
        <v>18.23043701791531</v>
      </c>
      <c r="Q66" s="105">
        <f>-(INDEX(Controls!$G$12:$G$16,MATCH($B66,Controls!$C$12:$C$16,0),0))*$P66</f>
        <v>-0.2005348071970684</v>
      </c>
      <c r="R66" s="66">
        <f t="shared" si="6"/>
        <v>18.029902210718241</v>
      </c>
    </row>
    <row r="67" spans="1:18" x14ac:dyDescent="0.2">
      <c r="A67" s="36" t="str">
        <f>'Forecast drivers'!A67</f>
        <v>DVW</v>
      </c>
      <c r="B67" s="57">
        <f>'Forecast drivers'!B67</f>
        <v>2022</v>
      </c>
      <c r="C67" s="36" t="str">
        <f>'Forecast drivers'!C67</f>
        <v>DVW22</v>
      </c>
      <c r="D67" s="50">
        <f>EXP(Coeffs!$D$12+(Coeffs!$D$5*'Forecast drivers'!D67)+(Coeffs!$D$6*'Forecast drivers'!F67)+(Coeffs!$D$8*'Forecast drivers'!I67)+(Coeffs!$D$9*'Forecast drivers'!J67))</f>
        <v>10.119677273321029</v>
      </c>
      <c r="E67" s="50">
        <f>EXP(Coeffs!$E$12+(Coeffs!$E$5*'Forecast drivers'!D67)+(Coeffs!$E$7*'Forecast drivers'!G67)+(Coeffs!$E$8*'Forecast drivers'!I67)+(Coeffs!$E$9*'Forecast drivers'!J67))</f>
        <v>8.8698791094094656</v>
      </c>
      <c r="F67" s="50">
        <f>EXP(Coeffs!$F$12+(Coeffs!$F$8*'Forecast drivers'!I67)+(Coeffs!$F$9*'Forecast drivers'!J67)+(Coeffs!$F$10*'Forecast drivers'!E67)+(Coeffs!$F$11*'Forecast drivers'!H67))</f>
        <v>8.4583322695430407</v>
      </c>
      <c r="G67" s="50">
        <f>EXP(Coeffs!$G$12+(Coeffs!$G$5*'Forecast drivers'!D67)+(Coeffs!$G$6*'Forecast drivers'!F67)+(Coeffs!$G$8*'Forecast drivers'!I67)+(Coeffs!$G$9*'Forecast drivers'!J67)+(Coeffs!$G$11*'Forecast drivers'!H67))</f>
        <v>20.756382776634116</v>
      </c>
      <c r="H67" s="50">
        <f>EXP(Coeffs!$H$12+(Coeffs!$H$5*'Forecast drivers'!D67)+(Coeffs!$H$7*'Forecast drivers'!G67)+(Coeffs!$H$8*'Forecast drivers'!I67)+(Coeffs!$H$9*'Forecast drivers'!J67)+(Coeffs!$H$11*'Forecast drivers'!H67))</f>
        <v>19.902979557421197</v>
      </c>
      <c r="J67" s="50">
        <f t="shared" si="9"/>
        <v>9.4947781913652474</v>
      </c>
      <c r="K67" s="50">
        <f t="shared" si="10"/>
        <v>8.4583322695430407</v>
      </c>
      <c r="L67" s="51">
        <f t="shared" si="11"/>
        <v>17.953110460908288</v>
      </c>
      <c r="M67" s="51">
        <f t="shared" si="12"/>
        <v>20.329681167027658</v>
      </c>
      <c r="N67" s="66">
        <f t="shared" si="5"/>
        <v>19.141395813967975</v>
      </c>
      <c r="P67" s="51">
        <f>Controls!$F$5*N67</f>
        <v>18.344080326927315</v>
      </c>
      <c r="Q67" s="105">
        <f>-(INDEX(Controls!$G$12:$G$16,MATCH($B67,Controls!$C$12:$C$16,0),0))*$P67</f>
        <v>-0.40764398743300784</v>
      </c>
      <c r="R67" s="66">
        <f t="shared" si="6"/>
        <v>17.936436339494307</v>
      </c>
    </row>
    <row r="68" spans="1:18" x14ac:dyDescent="0.2">
      <c r="A68" s="36" t="str">
        <f>'Forecast drivers'!A68</f>
        <v>DVW</v>
      </c>
      <c r="B68" s="57">
        <f>'Forecast drivers'!B68</f>
        <v>2023</v>
      </c>
      <c r="C68" s="36" t="str">
        <f>'Forecast drivers'!C68</f>
        <v>DVW23</v>
      </c>
      <c r="D68" s="50">
        <f>EXP(Coeffs!$D$12+(Coeffs!$D$5*'Forecast drivers'!D68)+(Coeffs!$D$6*'Forecast drivers'!F68)+(Coeffs!$D$8*'Forecast drivers'!I68)+(Coeffs!$D$9*'Forecast drivers'!J68))</f>
        <v>10.163577944396566</v>
      </c>
      <c r="E68" s="50">
        <f>EXP(Coeffs!$E$12+(Coeffs!$E$5*'Forecast drivers'!D68)+(Coeffs!$E$7*'Forecast drivers'!G68)+(Coeffs!$E$8*'Forecast drivers'!I68)+(Coeffs!$E$9*'Forecast drivers'!J68))</f>
        <v>8.9117275561600557</v>
      </c>
      <c r="F68" s="50">
        <f>EXP(Coeffs!$F$12+(Coeffs!$F$8*'Forecast drivers'!I68)+(Coeffs!$F$9*'Forecast drivers'!J68)+(Coeffs!$F$10*'Forecast drivers'!E68)+(Coeffs!$F$11*'Forecast drivers'!H68))</f>
        <v>8.5163286358532932</v>
      </c>
      <c r="G68" s="50">
        <f>EXP(Coeffs!$G$12+(Coeffs!$G$5*'Forecast drivers'!D68)+(Coeffs!$G$6*'Forecast drivers'!F68)+(Coeffs!$G$8*'Forecast drivers'!I68)+(Coeffs!$G$9*'Forecast drivers'!J68)+(Coeffs!$G$11*'Forecast drivers'!H68))</f>
        <v>20.894781607608738</v>
      </c>
      <c r="H68" s="50">
        <f>EXP(Coeffs!$H$12+(Coeffs!$H$5*'Forecast drivers'!D68)+(Coeffs!$H$7*'Forecast drivers'!G68)+(Coeffs!$H$8*'Forecast drivers'!I68)+(Coeffs!$H$9*'Forecast drivers'!J68)+(Coeffs!$H$11*'Forecast drivers'!H68))</f>
        <v>20.042501502460066</v>
      </c>
      <c r="J68" s="50">
        <f t="shared" si="9"/>
        <v>9.5376527502783119</v>
      </c>
      <c r="K68" s="50">
        <f t="shared" si="10"/>
        <v>8.5163286358532932</v>
      </c>
      <c r="L68" s="51">
        <f t="shared" si="11"/>
        <v>18.053981386131603</v>
      </c>
      <c r="M68" s="51">
        <f t="shared" si="12"/>
        <v>20.468641555034402</v>
      </c>
      <c r="N68" s="66">
        <f t="shared" si="5"/>
        <v>19.261311470583003</v>
      </c>
      <c r="P68" s="51">
        <f>Controls!$F$5*N68</f>
        <v>18.459001018123569</v>
      </c>
      <c r="Q68" s="105">
        <f>-(INDEX(Controls!$G$12:$G$16,MATCH($B68,Controls!$C$12:$C$16,0),0))*$P68</f>
        <v>-0.61587203327750473</v>
      </c>
      <c r="R68" s="66">
        <f t="shared" si="6"/>
        <v>17.843128984846064</v>
      </c>
    </row>
    <row r="69" spans="1:18" x14ac:dyDescent="0.2">
      <c r="A69" s="36" t="str">
        <f>'Forecast drivers'!A69</f>
        <v>DVW</v>
      </c>
      <c r="B69" s="57">
        <f>'Forecast drivers'!B69</f>
        <v>2024</v>
      </c>
      <c r="C69" s="36" t="str">
        <f>'Forecast drivers'!C69</f>
        <v>DVW24</v>
      </c>
      <c r="D69" s="50">
        <f>EXP(Coeffs!$D$12+(Coeffs!$D$5*'Forecast drivers'!D69)+(Coeffs!$D$6*'Forecast drivers'!F69)+(Coeffs!$D$8*'Forecast drivers'!I69)+(Coeffs!$D$9*'Forecast drivers'!J69))</f>
        <v>10.206840548137345</v>
      </c>
      <c r="E69" s="50">
        <f>EXP(Coeffs!$E$12+(Coeffs!$E$5*'Forecast drivers'!D69)+(Coeffs!$E$7*'Forecast drivers'!G69)+(Coeffs!$E$8*'Forecast drivers'!I69)+(Coeffs!$E$9*'Forecast drivers'!J69))</f>
        <v>8.9529933733087326</v>
      </c>
      <c r="F69" s="50">
        <f>EXP(Coeffs!$F$12+(Coeffs!$F$8*'Forecast drivers'!I69)+(Coeffs!$F$9*'Forecast drivers'!J69)+(Coeffs!$F$10*'Forecast drivers'!E69)+(Coeffs!$F$11*'Forecast drivers'!H69))</f>
        <v>8.5742038952338451</v>
      </c>
      <c r="G69" s="50">
        <f>EXP(Coeffs!$G$12+(Coeffs!$G$5*'Forecast drivers'!D69)+(Coeffs!$G$6*'Forecast drivers'!F69)+(Coeffs!$G$8*'Forecast drivers'!I69)+(Coeffs!$G$9*'Forecast drivers'!J69)+(Coeffs!$G$11*'Forecast drivers'!H69))</f>
        <v>21.031671985540623</v>
      </c>
      <c r="H69" s="50">
        <f>EXP(Coeffs!$H$12+(Coeffs!$H$5*'Forecast drivers'!D69)+(Coeffs!$H$7*'Forecast drivers'!G69)+(Coeffs!$H$8*'Forecast drivers'!I69)+(Coeffs!$H$9*'Forecast drivers'!J69)+(Coeffs!$H$11*'Forecast drivers'!H69))</f>
        <v>20.180565383952391</v>
      </c>
      <c r="J69" s="50">
        <f t="shared" si="9"/>
        <v>9.5799169607230397</v>
      </c>
      <c r="K69" s="50">
        <f t="shared" si="10"/>
        <v>8.5742038952338451</v>
      </c>
      <c r="L69" s="51">
        <f t="shared" si="11"/>
        <v>18.154120855956883</v>
      </c>
      <c r="M69" s="51">
        <f t="shared" si="12"/>
        <v>20.606118684746505</v>
      </c>
      <c r="N69" s="66">
        <f t="shared" si="5"/>
        <v>19.380119770351694</v>
      </c>
      <c r="P69" s="51">
        <f>Controls!$F$5*N69</f>
        <v>18.572860478303173</v>
      </c>
      <c r="Q69" s="105">
        <f>-(INDEX(Controls!$G$12:$G$16,MATCH($B69,Controls!$C$12:$C$16,0),0))*$P69</f>
        <v>-0.82119245607233804</v>
      </c>
      <c r="R69" s="66">
        <f t="shared" si="6"/>
        <v>17.751668022230835</v>
      </c>
    </row>
    <row r="70" spans="1:18" x14ac:dyDescent="0.2">
      <c r="A70" s="36" t="str">
        <f>'Forecast drivers'!A70</f>
        <v>DVW</v>
      </c>
      <c r="B70" s="57">
        <f>'Forecast drivers'!B70</f>
        <v>2025</v>
      </c>
      <c r="C70" s="36" t="str">
        <f>'Forecast drivers'!C70</f>
        <v>DVW25</v>
      </c>
      <c r="D70" s="50">
        <f>EXP(Coeffs!$D$12+(Coeffs!$D$5*'Forecast drivers'!D70)+(Coeffs!$D$6*'Forecast drivers'!F70)+(Coeffs!$D$8*'Forecast drivers'!I70)+(Coeffs!$D$9*'Forecast drivers'!J70))</f>
        <v>10.248842252600797</v>
      </c>
      <c r="E70" s="50">
        <f>EXP(Coeffs!$E$12+(Coeffs!$E$5*'Forecast drivers'!D70)+(Coeffs!$E$7*'Forecast drivers'!G70)+(Coeffs!$E$8*'Forecast drivers'!I70)+(Coeffs!$E$9*'Forecast drivers'!J70))</f>
        <v>8.9930969798743128</v>
      </c>
      <c r="F70" s="50">
        <f>EXP(Coeffs!$F$12+(Coeffs!$F$8*'Forecast drivers'!I70)+(Coeffs!$F$9*'Forecast drivers'!J70)+(Coeffs!$F$10*'Forecast drivers'!E70)+(Coeffs!$F$11*'Forecast drivers'!H70))</f>
        <v>8.6320247389595846</v>
      </c>
      <c r="G70" s="50">
        <f>EXP(Coeffs!$G$12+(Coeffs!$G$5*'Forecast drivers'!D70)+(Coeffs!$G$6*'Forecast drivers'!F70)+(Coeffs!$G$8*'Forecast drivers'!I70)+(Coeffs!$G$9*'Forecast drivers'!J70)+(Coeffs!$G$11*'Forecast drivers'!H70))</f>
        <v>21.165716977756158</v>
      </c>
      <c r="H70" s="50">
        <f>EXP(Coeffs!$H$12+(Coeffs!$H$5*'Forecast drivers'!D70)+(Coeffs!$H$7*'Forecast drivers'!G70)+(Coeffs!$H$8*'Forecast drivers'!I70)+(Coeffs!$H$9*'Forecast drivers'!J70)+(Coeffs!$H$11*'Forecast drivers'!H70))</f>
        <v>20.315860161301721</v>
      </c>
      <c r="J70" s="50">
        <f t="shared" ref="J70:J95" si="13">D$4*D70+E$4*E70</f>
        <v>9.6209696162375558</v>
      </c>
      <c r="K70" s="50">
        <f t="shared" ref="K70:K95" si="14">F$4*F70</f>
        <v>8.6320247389595846</v>
      </c>
      <c r="L70" s="51">
        <f t="shared" ref="L70:L95" si="15">J70+K70</f>
        <v>18.252994355197139</v>
      </c>
      <c r="M70" s="51">
        <f t="shared" ref="M70:M95" si="16">G70*$G$4+H70*$H$4</f>
        <v>20.740788569528938</v>
      </c>
      <c r="N70" s="66">
        <f t="shared" si="5"/>
        <v>19.496891462363038</v>
      </c>
      <c r="P70" s="51">
        <f>Controls!$F$5*N70</f>
        <v>18.684768163562168</v>
      </c>
      <c r="Q70" s="105">
        <f>-(INDEX(Controls!$G$12:$G$16,MATCH($B70,Controls!$C$12:$C$16,0),0))*$P70</f>
        <v>-1.023200591431122</v>
      </c>
      <c r="R70" s="66">
        <f t="shared" si="6"/>
        <v>17.661567572131048</v>
      </c>
    </row>
    <row r="71" spans="1:18" x14ac:dyDescent="0.2">
      <c r="A71" s="36" t="str">
        <f>'Forecast drivers'!A71</f>
        <v>PRT</v>
      </c>
      <c r="B71" s="57">
        <f>'Forecast drivers'!B71</f>
        <v>2021</v>
      </c>
      <c r="C71" s="36" t="str">
        <f>'Forecast drivers'!C71</f>
        <v>PRT21</v>
      </c>
      <c r="D71" s="50">
        <f>EXP(Coeffs!$D$12+(Coeffs!$D$5*'Forecast drivers'!D71)+(Coeffs!$D$6*'Forecast drivers'!F71)+(Coeffs!$D$8*'Forecast drivers'!I71)+(Coeffs!$D$9*'Forecast drivers'!J71))</f>
        <v>11.125833052671128</v>
      </c>
      <c r="E71" s="50">
        <f>EXP(Coeffs!$E$12+(Coeffs!$E$5*'Forecast drivers'!D71)+(Coeffs!$E$7*'Forecast drivers'!G71)+(Coeffs!$E$8*'Forecast drivers'!I71)+(Coeffs!$E$9*'Forecast drivers'!J71))</f>
        <v>12.044187945292034</v>
      </c>
      <c r="F71" s="50">
        <f>EXP(Coeffs!$F$12+(Coeffs!$F$8*'Forecast drivers'!I71)+(Coeffs!$F$9*'Forecast drivers'!J71)+(Coeffs!$F$10*'Forecast drivers'!E71)+(Coeffs!$F$11*'Forecast drivers'!H71))</f>
        <v>21.330998539496292</v>
      </c>
      <c r="G71" s="50">
        <f>EXP(Coeffs!$G$12+(Coeffs!$G$5*'Forecast drivers'!D71)+(Coeffs!$G$6*'Forecast drivers'!F71)+(Coeffs!$G$8*'Forecast drivers'!I71)+(Coeffs!$G$9*'Forecast drivers'!J71)+(Coeffs!$G$11*'Forecast drivers'!H71))</f>
        <v>32.723637978464296</v>
      </c>
      <c r="H71" s="50">
        <f>EXP(Coeffs!$H$12+(Coeffs!$H$5*'Forecast drivers'!D71)+(Coeffs!$H$7*'Forecast drivers'!G71)+(Coeffs!$H$8*'Forecast drivers'!I71)+(Coeffs!$H$9*'Forecast drivers'!J71)+(Coeffs!$H$11*'Forecast drivers'!H71))</f>
        <v>32.055546092513381</v>
      </c>
      <c r="J71" s="50">
        <f t="shared" si="13"/>
        <v>11.585010498981582</v>
      </c>
      <c r="K71" s="50">
        <f t="shared" si="14"/>
        <v>21.330998539496292</v>
      </c>
      <c r="L71" s="51">
        <f t="shared" si="15"/>
        <v>32.916009038477874</v>
      </c>
      <c r="M71" s="51">
        <f t="shared" si="16"/>
        <v>32.389592035488839</v>
      </c>
      <c r="N71" s="66">
        <f t="shared" ref="N71:N95" si="17">$L$4*L71+$M$4*M71</f>
        <v>32.652800536983356</v>
      </c>
      <c r="P71" s="51">
        <f>Controls!$F$5*N71</f>
        <v>31.292681148804345</v>
      </c>
      <c r="Q71" s="105">
        <f>-(INDEX(Controls!$G$12:$G$16,MATCH($B71,Controls!$C$12:$C$16,0),0))*$P71</f>
        <v>-0.34421949263684776</v>
      </c>
      <c r="R71" s="66">
        <f t="shared" ref="R71:R105" si="18">P71+Q71</f>
        <v>30.948461656167495</v>
      </c>
    </row>
    <row r="72" spans="1:18" x14ac:dyDescent="0.2">
      <c r="A72" s="36" t="str">
        <f>'Forecast drivers'!A72</f>
        <v>PRT</v>
      </c>
      <c r="B72" s="57">
        <f>'Forecast drivers'!B72</f>
        <v>2022</v>
      </c>
      <c r="C72" s="36" t="str">
        <f>'Forecast drivers'!C72</f>
        <v>PRT22</v>
      </c>
      <c r="D72" s="50">
        <f>EXP(Coeffs!$D$12+(Coeffs!$D$5*'Forecast drivers'!D72)+(Coeffs!$D$6*'Forecast drivers'!F72)+(Coeffs!$D$8*'Forecast drivers'!I72)+(Coeffs!$D$9*'Forecast drivers'!J72))</f>
        <v>11.19004486981337</v>
      </c>
      <c r="E72" s="50">
        <f>EXP(Coeffs!$E$12+(Coeffs!$E$5*'Forecast drivers'!D72)+(Coeffs!$E$7*'Forecast drivers'!G72)+(Coeffs!$E$8*'Forecast drivers'!I72)+(Coeffs!$E$9*'Forecast drivers'!J72))</f>
        <v>12.109683450551509</v>
      </c>
      <c r="F72" s="50">
        <f>EXP(Coeffs!$F$12+(Coeffs!$F$8*'Forecast drivers'!I72)+(Coeffs!$F$9*'Forecast drivers'!J72)+(Coeffs!$F$10*'Forecast drivers'!E72)+(Coeffs!$F$11*'Forecast drivers'!H72))</f>
        <v>21.434486007023974</v>
      </c>
      <c r="G72" s="50">
        <f>EXP(Coeffs!$G$12+(Coeffs!$G$5*'Forecast drivers'!D72)+(Coeffs!$G$6*'Forecast drivers'!F72)+(Coeffs!$G$8*'Forecast drivers'!I72)+(Coeffs!$G$9*'Forecast drivers'!J72)+(Coeffs!$G$11*'Forecast drivers'!H72))</f>
        <v>32.919780169042021</v>
      </c>
      <c r="H72" s="50">
        <f>EXP(Coeffs!$H$12+(Coeffs!$H$5*'Forecast drivers'!D72)+(Coeffs!$H$7*'Forecast drivers'!G72)+(Coeffs!$H$8*'Forecast drivers'!I72)+(Coeffs!$H$9*'Forecast drivers'!J72)+(Coeffs!$H$11*'Forecast drivers'!H72))</f>
        <v>32.2369558157719</v>
      </c>
      <c r="J72" s="50">
        <f t="shared" si="13"/>
        <v>11.649864160182439</v>
      </c>
      <c r="K72" s="50">
        <f t="shared" si="14"/>
        <v>21.434486007023974</v>
      </c>
      <c r="L72" s="51">
        <f t="shared" si="15"/>
        <v>33.084350167206409</v>
      </c>
      <c r="M72" s="51">
        <f t="shared" si="16"/>
        <v>32.57836799240696</v>
      </c>
      <c r="N72" s="66">
        <f t="shared" si="17"/>
        <v>32.831359079806688</v>
      </c>
      <c r="P72" s="51">
        <f>Controls!$F$5*N72</f>
        <v>31.463802016083005</v>
      </c>
      <c r="Q72" s="105">
        <f>-(INDEX(Controls!$G$12:$G$16,MATCH($B72,Controls!$C$12:$C$16,0),0))*$P72</f>
        <v>-0.6991917547815919</v>
      </c>
      <c r="R72" s="66">
        <f t="shared" si="18"/>
        <v>30.764610261301414</v>
      </c>
    </row>
    <row r="73" spans="1:18" x14ac:dyDescent="0.2">
      <c r="A73" s="36" t="str">
        <f>'Forecast drivers'!A73</f>
        <v>PRT</v>
      </c>
      <c r="B73" s="57">
        <f>'Forecast drivers'!B73</f>
        <v>2023</v>
      </c>
      <c r="C73" s="36" t="str">
        <f>'Forecast drivers'!C73</f>
        <v>PRT23</v>
      </c>
      <c r="D73" s="50">
        <f>EXP(Coeffs!$D$12+(Coeffs!$D$5*'Forecast drivers'!D73)+(Coeffs!$D$6*'Forecast drivers'!F73)+(Coeffs!$D$8*'Forecast drivers'!I73)+(Coeffs!$D$9*'Forecast drivers'!J73))</f>
        <v>11.263867947995537</v>
      </c>
      <c r="E73" s="50">
        <f>EXP(Coeffs!$E$12+(Coeffs!$E$5*'Forecast drivers'!D73)+(Coeffs!$E$7*'Forecast drivers'!G73)+(Coeffs!$E$8*'Forecast drivers'!I73)+(Coeffs!$E$9*'Forecast drivers'!J73))</f>
        <v>12.186280091246147</v>
      </c>
      <c r="F73" s="50">
        <f>EXP(Coeffs!$F$12+(Coeffs!$F$8*'Forecast drivers'!I73)+(Coeffs!$F$9*'Forecast drivers'!J73)+(Coeffs!$F$10*'Forecast drivers'!E73)+(Coeffs!$F$11*'Forecast drivers'!H73))</f>
        <v>21.529893708186798</v>
      </c>
      <c r="G73" s="50">
        <f>EXP(Coeffs!$G$12+(Coeffs!$G$5*'Forecast drivers'!D73)+(Coeffs!$G$6*'Forecast drivers'!F73)+(Coeffs!$G$8*'Forecast drivers'!I73)+(Coeffs!$G$9*'Forecast drivers'!J73)+(Coeffs!$G$11*'Forecast drivers'!H73))</f>
        <v>33.138865859575105</v>
      </c>
      <c r="H73" s="50">
        <f>EXP(Coeffs!$H$12+(Coeffs!$H$5*'Forecast drivers'!D73)+(Coeffs!$H$7*'Forecast drivers'!G73)+(Coeffs!$H$8*'Forecast drivers'!I73)+(Coeffs!$H$9*'Forecast drivers'!J73)+(Coeffs!$H$11*'Forecast drivers'!H73))</f>
        <v>32.441507901419541</v>
      </c>
      <c r="J73" s="50">
        <f t="shared" si="13"/>
        <v>11.725074019620841</v>
      </c>
      <c r="K73" s="50">
        <f t="shared" si="14"/>
        <v>21.529893708186798</v>
      </c>
      <c r="L73" s="51">
        <f t="shared" si="15"/>
        <v>33.254967727807639</v>
      </c>
      <c r="M73" s="51">
        <f t="shared" si="16"/>
        <v>32.790186880497323</v>
      </c>
      <c r="N73" s="66">
        <f t="shared" si="17"/>
        <v>33.022577304152477</v>
      </c>
      <c r="P73" s="51">
        <f>Controls!$F$5*N73</f>
        <v>31.647055238651649</v>
      </c>
      <c r="Q73" s="105">
        <f>-(INDEX(Controls!$G$12:$G$16,MATCH($B73,Controls!$C$12:$C$16,0),0))*$P73</f>
        <v>-1.0558825062059176</v>
      </c>
      <c r="R73" s="66">
        <f t="shared" si="18"/>
        <v>30.591172732445731</v>
      </c>
    </row>
    <row r="74" spans="1:18" x14ac:dyDescent="0.2">
      <c r="A74" s="36" t="str">
        <f>'Forecast drivers'!A74</f>
        <v>PRT</v>
      </c>
      <c r="B74" s="57">
        <f>'Forecast drivers'!B74</f>
        <v>2024</v>
      </c>
      <c r="C74" s="36" t="str">
        <f>'Forecast drivers'!C74</f>
        <v>PRT24</v>
      </c>
      <c r="D74" s="50">
        <f>EXP(Coeffs!$D$12+(Coeffs!$D$5*'Forecast drivers'!D74)+(Coeffs!$D$6*'Forecast drivers'!F74)+(Coeffs!$D$8*'Forecast drivers'!I74)+(Coeffs!$D$9*'Forecast drivers'!J74))</f>
        <v>11.336420013775141</v>
      </c>
      <c r="E74" s="50">
        <f>EXP(Coeffs!$E$12+(Coeffs!$E$5*'Forecast drivers'!D74)+(Coeffs!$E$7*'Forecast drivers'!G74)+(Coeffs!$E$8*'Forecast drivers'!I74)+(Coeffs!$E$9*'Forecast drivers'!J74))</f>
        <v>12.260336176026946</v>
      </c>
      <c r="F74" s="50">
        <f>EXP(Coeffs!$F$12+(Coeffs!$F$8*'Forecast drivers'!I74)+(Coeffs!$F$9*'Forecast drivers'!J74)+(Coeffs!$F$10*'Forecast drivers'!E74)+(Coeffs!$F$11*'Forecast drivers'!H74))</f>
        <v>21.642961007555019</v>
      </c>
      <c r="G74" s="50">
        <f>EXP(Coeffs!$G$12+(Coeffs!$G$5*'Forecast drivers'!D74)+(Coeffs!$G$6*'Forecast drivers'!F74)+(Coeffs!$G$8*'Forecast drivers'!I74)+(Coeffs!$G$9*'Forecast drivers'!J74)+(Coeffs!$G$11*'Forecast drivers'!H74))</f>
        <v>33.363218023225713</v>
      </c>
      <c r="H74" s="50">
        <f>EXP(Coeffs!$H$12+(Coeffs!$H$5*'Forecast drivers'!D74)+(Coeffs!$H$7*'Forecast drivers'!G74)+(Coeffs!$H$8*'Forecast drivers'!I74)+(Coeffs!$H$9*'Forecast drivers'!J74)+(Coeffs!$H$11*'Forecast drivers'!H74))</f>
        <v>32.649463657509315</v>
      </c>
      <c r="J74" s="50">
        <f t="shared" si="13"/>
        <v>11.798378094901043</v>
      </c>
      <c r="K74" s="50">
        <f t="shared" si="14"/>
        <v>21.642961007555019</v>
      </c>
      <c r="L74" s="51">
        <f t="shared" si="15"/>
        <v>33.441339102456062</v>
      </c>
      <c r="M74" s="51">
        <f t="shared" si="16"/>
        <v>33.006340840367514</v>
      </c>
      <c r="N74" s="66">
        <f t="shared" si="17"/>
        <v>33.223839971411792</v>
      </c>
      <c r="P74" s="51">
        <f>Controls!$F$5*N74</f>
        <v>31.839934513021095</v>
      </c>
      <c r="Q74" s="105">
        <f>-(INDEX(Controls!$G$12:$G$16,MATCH($B74,Controls!$C$12:$C$16,0),0))*$P74</f>
        <v>-1.4077914414139279</v>
      </c>
      <c r="R74" s="66">
        <f t="shared" si="18"/>
        <v>30.432143071607168</v>
      </c>
    </row>
    <row r="75" spans="1:18" x14ac:dyDescent="0.2">
      <c r="A75" s="36" t="str">
        <f>'Forecast drivers'!A75</f>
        <v>PRT</v>
      </c>
      <c r="B75" s="57">
        <f>'Forecast drivers'!B75</f>
        <v>2025</v>
      </c>
      <c r="C75" s="36" t="str">
        <f>'Forecast drivers'!C75</f>
        <v>PRT25</v>
      </c>
      <c r="D75" s="50">
        <f>EXP(Coeffs!$D$12+(Coeffs!$D$5*'Forecast drivers'!D75)+(Coeffs!$D$6*'Forecast drivers'!F75)+(Coeffs!$D$8*'Forecast drivers'!I75)+(Coeffs!$D$9*'Forecast drivers'!J75))</f>
        <v>11.412699261645081</v>
      </c>
      <c r="E75" s="50">
        <f>EXP(Coeffs!$E$12+(Coeffs!$E$5*'Forecast drivers'!D75)+(Coeffs!$E$7*'Forecast drivers'!G75)+(Coeffs!$E$8*'Forecast drivers'!I75)+(Coeffs!$E$9*'Forecast drivers'!J75))</f>
        <v>12.33860871332668</v>
      </c>
      <c r="F75" s="50">
        <f>EXP(Coeffs!$F$12+(Coeffs!$F$8*'Forecast drivers'!I75)+(Coeffs!$F$9*'Forecast drivers'!J75)+(Coeffs!$F$10*'Forecast drivers'!E75)+(Coeffs!$F$11*'Forecast drivers'!H75))</f>
        <v>21.752593794328668</v>
      </c>
      <c r="G75" s="50">
        <f>EXP(Coeffs!$G$12+(Coeffs!$G$5*'Forecast drivers'!D75)+(Coeffs!$G$6*'Forecast drivers'!F75)+(Coeffs!$G$8*'Forecast drivers'!I75)+(Coeffs!$G$9*'Forecast drivers'!J75)+(Coeffs!$G$11*'Forecast drivers'!H75))</f>
        <v>33.596964551243353</v>
      </c>
      <c r="H75" s="50">
        <f>EXP(Coeffs!$H$12+(Coeffs!$H$5*'Forecast drivers'!D75)+(Coeffs!$H$7*'Forecast drivers'!G75)+(Coeffs!$H$8*'Forecast drivers'!I75)+(Coeffs!$H$9*'Forecast drivers'!J75)+(Coeffs!$H$11*'Forecast drivers'!H75))</f>
        <v>32.866714349768621</v>
      </c>
      <c r="J75" s="50">
        <f t="shared" si="13"/>
        <v>11.87565398748588</v>
      </c>
      <c r="K75" s="50">
        <f t="shared" si="14"/>
        <v>21.752593794328668</v>
      </c>
      <c r="L75" s="51">
        <f t="shared" si="15"/>
        <v>33.628247781814551</v>
      </c>
      <c r="M75" s="51">
        <f t="shared" si="16"/>
        <v>33.231839450505987</v>
      </c>
      <c r="N75" s="66">
        <f t="shared" si="17"/>
        <v>33.430043616160269</v>
      </c>
      <c r="P75" s="51">
        <f>Controls!$F$5*N75</f>
        <v>32.037548953458661</v>
      </c>
      <c r="Q75" s="105">
        <f>-(INDEX(Controls!$G$12:$G$16,MATCH($B75,Controls!$C$12:$C$16,0),0))*$P75</f>
        <v>-1.7544150802528822</v>
      </c>
      <c r="R75" s="66">
        <f t="shared" si="18"/>
        <v>30.283133873205777</v>
      </c>
    </row>
    <row r="76" spans="1:18" x14ac:dyDescent="0.2">
      <c r="A76" s="36" t="str">
        <f>'Forecast drivers'!A76</f>
        <v>SES</v>
      </c>
      <c r="B76" s="57">
        <f>'Forecast drivers'!B76</f>
        <v>2021</v>
      </c>
      <c r="C76" s="36" t="str">
        <f>'Forecast drivers'!C76</f>
        <v>SES21</v>
      </c>
      <c r="D76" s="50">
        <f>EXP(Coeffs!$D$12+(Coeffs!$D$5*'Forecast drivers'!D76)+(Coeffs!$D$6*'Forecast drivers'!F76)+(Coeffs!$D$8*'Forecast drivers'!I76)+(Coeffs!$D$9*'Forecast drivers'!J76))</f>
        <v>14.409474368892198</v>
      </c>
      <c r="E76" s="50">
        <f>EXP(Coeffs!$E$12+(Coeffs!$E$5*'Forecast drivers'!D76)+(Coeffs!$E$7*'Forecast drivers'!G76)+(Coeffs!$E$8*'Forecast drivers'!I76)+(Coeffs!$E$9*'Forecast drivers'!J76))</f>
        <v>13.287356644732862</v>
      </c>
      <c r="F76" s="50">
        <f>EXP(Coeffs!$F$12+(Coeffs!$F$8*'Forecast drivers'!I76)+(Coeffs!$F$9*'Forecast drivers'!J76)+(Coeffs!$F$10*'Forecast drivers'!E76)+(Coeffs!$F$11*'Forecast drivers'!H76))</f>
        <v>19.06487521728447</v>
      </c>
      <c r="G76" s="50">
        <f>EXP(Coeffs!$G$12+(Coeffs!$G$5*'Forecast drivers'!D76)+(Coeffs!$G$6*'Forecast drivers'!F76)+(Coeffs!$G$8*'Forecast drivers'!I76)+(Coeffs!$G$9*'Forecast drivers'!J76)+(Coeffs!$G$11*'Forecast drivers'!H76))</f>
        <v>34.539568592240336</v>
      </c>
      <c r="H76" s="50">
        <f>EXP(Coeffs!$H$12+(Coeffs!$H$5*'Forecast drivers'!D76)+(Coeffs!$H$7*'Forecast drivers'!G76)+(Coeffs!$H$8*'Forecast drivers'!I76)+(Coeffs!$H$9*'Forecast drivers'!J76)+(Coeffs!$H$11*'Forecast drivers'!H76))</f>
        <v>33.870977922167334</v>
      </c>
      <c r="J76" s="50">
        <f t="shared" si="13"/>
        <v>13.848415506812529</v>
      </c>
      <c r="K76" s="50">
        <f t="shared" si="14"/>
        <v>19.06487521728447</v>
      </c>
      <c r="L76" s="51">
        <f t="shared" si="15"/>
        <v>32.913290724096996</v>
      </c>
      <c r="M76" s="51">
        <f t="shared" si="16"/>
        <v>34.205273257203835</v>
      </c>
      <c r="N76" s="66">
        <f t="shared" si="17"/>
        <v>33.559281990650419</v>
      </c>
      <c r="P76" s="51">
        <f>Controls!$F$5*N76</f>
        <v>32.161404034143992</v>
      </c>
      <c r="Q76" s="105">
        <f>-(INDEX(Controls!$G$12:$G$16,MATCH($B76,Controls!$C$12:$C$16,0),0))*$P76</f>
        <v>-0.35377544437558389</v>
      </c>
      <c r="R76" s="66">
        <f t="shared" si="18"/>
        <v>31.807628589768409</v>
      </c>
    </row>
    <row r="77" spans="1:18" x14ac:dyDescent="0.2">
      <c r="A77" s="36" t="str">
        <f>'Forecast drivers'!A77</f>
        <v>SES</v>
      </c>
      <c r="B77" s="57">
        <f>'Forecast drivers'!B77</f>
        <v>2022</v>
      </c>
      <c r="C77" s="36" t="str">
        <f>'Forecast drivers'!C77</f>
        <v>SES22</v>
      </c>
      <c r="D77" s="50">
        <f>EXP(Coeffs!$D$12+(Coeffs!$D$5*'Forecast drivers'!D77)+(Coeffs!$D$6*'Forecast drivers'!F77)+(Coeffs!$D$8*'Forecast drivers'!I77)+(Coeffs!$D$9*'Forecast drivers'!J77))</f>
        <v>14.507676643799973</v>
      </c>
      <c r="E77" s="50">
        <f>EXP(Coeffs!$E$12+(Coeffs!$E$5*'Forecast drivers'!D77)+(Coeffs!$E$7*'Forecast drivers'!G77)+(Coeffs!$E$8*'Forecast drivers'!I77)+(Coeffs!$E$9*'Forecast drivers'!J77))</f>
        <v>13.367157784856834</v>
      </c>
      <c r="F77" s="50">
        <f>EXP(Coeffs!$F$12+(Coeffs!$F$8*'Forecast drivers'!I77)+(Coeffs!$F$9*'Forecast drivers'!J77)+(Coeffs!$F$10*'Forecast drivers'!E77)+(Coeffs!$F$11*'Forecast drivers'!H77))</f>
        <v>19.226617293136911</v>
      </c>
      <c r="G77" s="50">
        <f>EXP(Coeffs!$G$12+(Coeffs!$G$5*'Forecast drivers'!D77)+(Coeffs!$G$6*'Forecast drivers'!F77)+(Coeffs!$G$8*'Forecast drivers'!I77)+(Coeffs!$G$9*'Forecast drivers'!J77)+(Coeffs!$G$11*'Forecast drivers'!H77))</f>
        <v>34.848970451074379</v>
      </c>
      <c r="H77" s="50">
        <f>EXP(Coeffs!$H$12+(Coeffs!$H$5*'Forecast drivers'!D77)+(Coeffs!$H$7*'Forecast drivers'!G77)+(Coeffs!$H$8*'Forecast drivers'!I77)+(Coeffs!$H$9*'Forecast drivers'!J77)+(Coeffs!$H$11*'Forecast drivers'!H77))</f>
        <v>34.154576619073012</v>
      </c>
      <c r="J77" s="50">
        <f t="shared" si="13"/>
        <v>13.937417214328404</v>
      </c>
      <c r="K77" s="50">
        <f t="shared" si="14"/>
        <v>19.226617293136911</v>
      </c>
      <c r="L77" s="51">
        <f t="shared" si="15"/>
        <v>33.164034507465317</v>
      </c>
      <c r="M77" s="51">
        <f t="shared" si="16"/>
        <v>34.501773535073696</v>
      </c>
      <c r="N77" s="66">
        <f t="shared" si="17"/>
        <v>33.832904021269506</v>
      </c>
      <c r="P77" s="51">
        <f>Controls!$F$5*N77</f>
        <v>32.42362861576153</v>
      </c>
      <c r="Q77" s="105">
        <f>-(INDEX(Controls!$G$12:$G$16,MATCH($B77,Controls!$C$12:$C$16,0),0))*$P77</f>
        <v>-0.72052111746230785</v>
      </c>
      <c r="R77" s="66">
        <f t="shared" si="18"/>
        <v>31.703107498299222</v>
      </c>
    </row>
    <row r="78" spans="1:18" x14ac:dyDescent="0.2">
      <c r="A78" s="36" t="str">
        <f>'Forecast drivers'!A78</f>
        <v>SES</v>
      </c>
      <c r="B78" s="57">
        <f>'Forecast drivers'!B78</f>
        <v>2023</v>
      </c>
      <c r="C78" s="36" t="str">
        <f>'Forecast drivers'!C78</f>
        <v>SES23</v>
      </c>
      <c r="D78" s="50">
        <f>EXP(Coeffs!$D$12+(Coeffs!$D$5*'Forecast drivers'!D78)+(Coeffs!$D$6*'Forecast drivers'!F78)+(Coeffs!$D$8*'Forecast drivers'!I78)+(Coeffs!$D$9*'Forecast drivers'!J78))</f>
        <v>14.64364791855845</v>
      </c>
      <c r="E78" s="50">
        <f>EXP(Coeffs!$E$12+(Coeffs!$E$5*'Forecast drivers'!D78)+(Coeffs!$E$7*'Forecast drivers'!G78)+(Coeffs!$E$8*'Forecast drivers'!I78)+(Coeffs!$E$9*'Forecast drivers'!J78))</f>
        <v>13.482286997885284</v>
      </c>
      <c r="F78" s="50">
        <f>EXP(Coeffs!$F$12+(Coeffs!$F$8*'Forecast drivers'!I78)+(Coeffs!$F$9*'Forecast drivers'!J78)+(Coeffs!$F$10*'Forecast drivers'!E78)+(Coeffs!$F$11*'Forecast drivers'!H78))</f>
        <v>19.388687614888436</v>
      </c>
      <c r="G78" s="50">
        <f>EXP(Coeffs!$G$12+(Coeffs!$G$5*'Forecast drivers'!D78)+(Coeffs!$G$6*'Forecast drivers'!F78)+(Coeffs!$G$8*'Forecast drivers'!I78)+(Coeffs!$G$9*'Forecast drivers'!J78)+(Coeffs!$G$11*'Forecast drivers'!H78))</f>
        <v>35.246265997412813</v>
      </c>
      <c r="H78" s="50">
        <f>EXP(Coeffs!$H$12+(Coeffs!$H$5*'Forecast drivers'!D78)+(Coeffs!$H$7*'Forecast drivers'!G78)+(Coeffs!$H$8*'Forecast drivers'!I78)+(Coeffs!$H$9*'Forecast drivers'!J78)+(Coeffs!$H$11*'Forecast drivers'!H78))</f>
        <v>34.523850688785572</v>
      </c>
      <c r="J78" s="50">
        <f t="shared" si="13"/>
        <v>14.062967458221866</v>
      </c>
      <c r="K78" s="50">
        <f t="shared" si="14"/>
        <v>19.388687614888436</v>
      </c>
      <c r="L78" s="51">
        <f t="shared" si="15"/>
        <v>33.451655073110302</v>
      </c>
      <c r="M78" s="51">
        <f t="shared" si="16"/>
        <v>34.885058343099189</v>
      </c>
      <c r="N78" s="66">
        <f t="shared" si="17"/>
        <v>34.168356708104746</v>
      </c>
      <c r="P78" s="51">
        <f>Controls!$F$5*N78</f>
        <v>32.745108360133088</v>
      </c>
      <c r="Q78" s="105">
        <f>-(INDEX(Controls!$G$12:$G$16,MATCH($B78,Controls!$C$12:$C$16,0),0))*$P78</f>
        <v>-1.0925183029052901</v>
      </c>
      <c r="R78" s="66">
        <f t="shared" si="18"/>
        <v>31.652590057227798</v>
      </c>
    </row>
    <row r="79" spans="1:18" x14ac:dyDescent="0.2">
      <c r="A79" s="36" t="str">
        <f>'Forecast drivers'!A79</f>
        <v>SES</v>
      </c>
      <c r="B79" s="57">
        <f>'Forecast drivers'!B79</f>
        <v>2024</v>
      </c>
      <c r="C79" s="36" t="str">
        <f>'Forecast drivers'!C79</f>
        <v>SES24</v>
      </c>
      <c r="D79" s="50">
        <f>EXP(Coeffs!$D$12+(Coeffs!$D$5*'Forecast drivers'!D79)+(Coeffs!$D$6*'Forecast drivers'!F79)+(Coeffs!$D$8*'Forecast drivers'!I79)+(Coeffs!$D$9*'Forecast drivers'!J79))</f>
        <v>14.772934717620778</v>
      </c>
      <c r="E79" s="50">
        <f>EXP(Coeffs!$E$12+(Coeffs!$E$5*'Forecast drivers'!D79)+(Coeffs!$E$7*'Forecast drivers'!G79)+(Coeffs!$E$8*'Forecast drivers'!I79)+(Coeffs!$E$9*'Forecast drivers'!J79))</f>
        <v>13.591489720334495</v>
      </c>
      <c r="F79" s="50">
        <f>EXP(Coeffs!$F$12+(Coeffs!$F$8*'Forecast drivers'!I79)+(Coeffs!$F$9*'Forecast drivers'!J79)+(Coeffs!$F$10*'Forecast drivers'!E79)+(Coeffs!$F$11*'Forecast drivers'!H79))</f>
        <v>19.540510815354661</v>
      </c>
      <c r="G79" s="50">
        <f>EXP(Coeffs!$G$12+(Coeffs!$G$5*'Forecast drivers'!D79)+(Coeffs!$G$6*'Forecast drivers'!F79)+(Coeffs!$G$8*'Forecast drivers'!I79)+(Coeffs!$G$9*'Forecast drivers'!J79)+(Coeffs!$G$11*'Forecast drivers'!H79))</f>
        <v>35.624857523397914</v>
      </c>
      <c r="H79" s="50">
        <f>EXP(Coeffs!$H$12+(Coeffs!$H$5*'Forecast drivers'!D79)+(Coeffs!$H$7*'Forecast drivers'!G79)+(Coeffs!$H$8*'Forecast drivers'!I79)+(Coeffs!$H$9*'Forecast drivers'!J79)+(Coeffs!$H$11*'Forecast drivers'!H79))</f>
        <v>34.875194938202362</v>
      </c>
      <c r="J79" s="50">
        <f t="shared" si="13"/>
        <v>14.182212218977636</v>
      </c>
      <c r="K79" s="50">
        <f t="shared" si="14"/>
        <v>19.540510815354661</v>
      </c>
      <c r="L79" s="51">
        <f t="shared" si="15"/>
        <v>33.722723034332297</v>
      </c>
      <c r="M79" s="51">
        <f t="shared" si="16"/>
        <v>35.250026230800138</v>
      </c>
      <c r="N79" s="66">
        <f t="shared" si="17"/>
        <v>34.486374632566218</v>
      </c>
      <c r="P79" s="51">
        <f>Controls!$F$5*N79</f>
        <v>33.049879569527697</v>
      </c>
      <c r="Q79" s="105">
        <f>-(INDEX(Controls!$G$12:$G$16,MATCH($B79,Controls!$C$12:$C$16,0),0))*$P79</f>
        <v>-1.46128873408061</v>
      </c>
      <c r="R79" s="66">
        <f t="shared" si="18"/>
        <v>31.588590835447086</v>
      </c>
    </row>
    <row r="80" spans="1:18" x14ac:dyDescent="0.2">
      <c r="A80" s="36" t="str">
        <f>'Forecast drivers'!A80</f>
        <v>SES</v>
      </c>
      <c r="B80" s="57">
        <f>'Forecast drivers'!B80</f>
        <v>2025</v>
      </c>
      <c r="C80" s="36" t="str">
        <f>'Forecast drivers'!C80</f>
        <v>SES25</v>
      </c>
      <c r="D80" s="50">
        <f>EXP(Coeffs!$D$12+(Coeffs!$D$5*'Forecast drivers'!D80)+(Coeffs!$D$6*'Forecast drivers'!F80)+(Coeffs!$D$8*'Forecast drivers'!I80)+(Coeffs!$D$9*'Forecast drivers'!J80))</f>
        <v>14.90066228273133</v>
      </c>
      <c r="E80" s="50">
        <f>EXP(Coeffs!$E$12+(Coeffs!$E$5*'Forecast drivers'!D80)+(Coeffs!$E$7*'Forecast drivers'!G80)+(Coeffs!$E$8*'Forecast drivers'!I80)+(Coeffs!$E$9*'Forecast drivers'!J80))</f>
        <v>13.699719924804173</v>
      </c>
      <c r="F80" s="50">
        <f>EXP(Coeffs!$F$12+(Coeffs!$F$8*'Forecast drivers'!I80)+(Coeffs!$F$9*'Forecast drivers'!J80)+(Coeffs!$F$10*'Forecast drivers'!E80)+(Coeffs!$F$11*'Forecast drivers'!H80))</f>
        <v>19.684929816632767</v>
      </c>
      <c r="G80" s="50">
        <f>EXP(Coeffs!$G$12+(Coeffs!$G$5*'Forecast drivers'!D80)+(Coeffs!$G$6*'Forecast drivers'!F80)+(Coeffs!$G$8*'Forecast drivers'!I80)+(Coeffs!$G$9*'Forecast drivers'!J80)+(Coeffs!$G$11*'Forecast drivers'!H80))</f>
        <v>35.995505445217034</v>
      </c>
      <c r="H80" s="50">
        <f>EXP(Coeffs!$H$12+(Coeffs!$H$5*'Forecast drivers'!D80)+(Coeffs!$H$7*'Forecast drivers'!G80)+(Coeffs!$H$8*'Forecast drivers'!I80)+(Coeffs!$H$9*'Forecast drivers'!J80)+(Coeffs!$H$11*'Forecast drivers'!H80))</f>
        <v>35.219355876922414</v>
      </c>
      <c r="J80" s="50">
        <f t="shared" si="13"/>
        <v>14.300191103767752</v>
      </c>
      <c r="K80" s="50">
        <f t="shared" si="14"/>
        <v>19.684929816632767</v>
      </c>
      <c r="L80" s="51">
        <f t="shared" si="15"/>
        <v>33.985120920400519</v>
      </c>
      <c r="M80" s="51">
        <f t="shared" si="16"/>
        <v>35.607430661069728</v>
      </c>
      <c r="N80" s="66">
        <f t="shared" si="17"/>
        <v>34.796275790735123</v>
      </c>
      <c r="P80" s="51">
        <f>Controls!$F$5*N80</f>
        <v>33.346872108322067</v>
      </c>
      <c r="Q80" s="105">
        <f>-(INDEX(Controls!$G$12:$G$16,MATCH($B80,Controls!$C$12:$C$16,0),0))*$P80</f>
        <v>-1.826115205975785</v>
      </c>
      <c r="R80" s="66">
        <f t="shared" si="18"/>
        <v>31.520756902346282</v>
      </c>
    </row>
    <row r="81" spans="1:18" x14ac:dyDescent="0.2">
      <c r="A81" s="36" t="str">
        <f>'Forecast drivers'!A81</f>
        <v>SEW</v>
      </c>
      <c r="B81" s="57">
        <f>'Forecast drivers'!B81</f>
        <v>2021</v>
      </c>
      <c r="C81" s="36" t="str">
        <f>'Forecast drivers'!C81</f>
        <v>SEW21</v>
      </c>
      <c r="D81" s="50">
        <f>EXP(Coeffs!$D$12+(Coeffs!$D$5*'Forecast drivers'!D81)+(Coeffs!$D$6*'Forecast drivers'!F81)+(Coeffs!$D$8*'Forecast drivers'!I81)+(Coeffs!$D$9*'Forecast drivers'!J81))</f>
        <v>58.660031738676068</v>
      </c>
      <c r="E81" s="50">
        <f>EXP(Coeffs!$E$12+(Coeffs!$E$5*'Forecast drivers'!D81)+(Coeffs!$E$7*'Forecast drivers'!G81)+(Coeffs!$E$8*'Forecast drivers'!I81)+(Coeffs!$E$9*'Forecast drivers'!J81))</f>
        <v>56.990278635452356</v>
      </c>
      <c r="F81" s="50">
        <f>EXP(Coeffs!$F$12+(Coeffs!$F$8*'Forecast drivers'!I81)+(Coeffs!$F$9*'Forecast drivers'!J81)+(Coeffs!$F$10*'Forecast drivers'!E81)+(Coeffs!$F$11*'Forecast drivers'!H81))</f>
        <v>60.054446866122312</v>
      </c>
      <c r="G81" s="50">
        <f>EXP(Coeffs!$G$12+(Coeffs!$G$5*'Forecast drivers'!D81)+(Coeffs!$G$6*'Forecast drivers'!F81)+(Coeffs!$G$8*'Forecast drivers'!I81)+(Coeffs!$G$9*'Forecast drivers'!J81)+(Coeffs!$G$11*'Forecast drivers'!H81))</f>
        <v>131.66153940538373</v>
      </c>
      <c r="H81" s="50">
        <f>EXP(Coeffs!$H$12+(Coeffs!$H$5*'Forecast drivers'!D81)+(Coeffs!$H$7*'Forecast drivers'!G81)+(Coeffs!$H$8*'Forecast drivers'!I81)+(Coeffs!$H$9*'Forecast drivers'!J81)+(Coeffs!$H$11*'Forecast drivers'!H81))</f>
        <v>128.47419151236909</v>
      </c>
      <c r="J81" s="50">
        <f t="shared" si="13"/>
        <v>57.825155187064212</v>
      </c>
      <c r="K81" s="50">
        <f t="shared" si="14"/>
        <v>60.054446866122312</v>
      </c>
      <c r="L81" s="51">
        <f t="shared" si="15"/>
        <v>117.87960205318652</v>
      </c>
      <c r="M81" s="51">
        <f t="shared" si="16"/>
        <v>130.06786545887641</v>
      </c>
      <c r="N81" s="66">
        <f t="shared" si="17"/>
        <v>123.97373375603146</v>
      </c>
      <c r="P81" s="51">
        <f>Controls!$F$5*N81</f>
        <v>118.8097332374377</v>
      </c>
      <c r="Q81" s="105">
        <f>-(INDEX(Controls!$G$12:$G$16,MATCH($B81,Controls!$C$12:$C$16,0),0))*$P81</f>
        <v>-1.3069070656118147</v>
      </c>
      <c r="R81" s="66">
        <f t="shared" si="18"/>
        <v>117.50282617182589</v>
      </c>
    </row>
    <row r="82" spans="1:18" x14ac:dyDescent="0.2">
      <c r="A82" s="36" t="str">
        <f>'Forecast drivers'!A82</f>
        <v>SEW</v>
      </c>
      <c r="B82" s="57">
        <f>'Forecast drivers'!B82</f>
        <v>2022</v>
      </c>
      <c r="C82" s="36" t="str">
        <f>'Forecast drivers'!C82</f>
        <v>SEW22</v>
      </c>
      <c r="D82" s="50">
        <f>EXP(Coeffs!$D$12+(Coeffs!$D$5*'Forecast drivers'!D82)+(Coeffs!$D$6*'Forecast drivers'!F82)+(Coeffs!$D$8*'Forecast drivers'!I82)+(Coeffs!$D$9*'Forecast drivers'!J82))</f>
        <v>59.480240325635833</v>
      </c>
      <c r="E82" s="50">
        <f>EXP(Coeffs!$E$12+(Coeffs!$E$5*'Forecast drivers'!D82)+(Coeffs!$E$7*'Forecast drivers'!G82)+(Coeffs!$E$8*'Forecast drivers'!I82)+(Coeffs!$E$9*'Forecast drivers'!J82))</f>
        <v>57.38697597629934</v>
      </c>
      <c r="F82" s="50">
        <f>EXP(Coeffs!$F$12+(Coeffs!$F$8*'Forecast drivers'!I82)+(Coeffs!$F$9*'Forecast drivers'!J82)+(Coeffs!$F$10*'Forecast drivers'!E82)+(Coeffs!$F$11*'Forecast drivers'!H82))</f>
        <v>60.359510171686956</v>
      </c>
      <c r="G82" s="50">
        <f>EXP(Coeffs!$G$12+(Coeffs!$G$5*'Forecast drivers'!D82)+(Coeffs!$G$6*'Forecast drivers'!F82)+(Coeffs!$G$8*'Forecast drivers'!I82)+(Coeffs!$G$9*'Forecast drivers'!J82)+(Coeffs!$G$11*'Forecast drivers'!H82))</f>
        <v>133.21381092258494</v>
      </c>
      <c r="H82" s="50">
        <f>EXP(Coeffs!$H$12+(Coeffs!$H$5*'Forecast drivers'!D82)+(Coeffs!$H$7*'Forecast drivers'!G82)+(Coeffs!$H$8*'Forecast drivers'!I82)+(Coeffs!$H$9*'Forecast drivers'!J82)+(Coeffs!$H$11*'Forecast drivers'!H82))</f>
        <v>129.41602564771028</v>
      </c>
      <c r="J82" s="50">
        <f t="shared" si="13"/>
        <v>58.433608150967586</v>
      </c>
      <c r="K82" s="50">
        <f t="shared" si="14"/>
        <v>60.359510171686956</v>
      </c>
      <c r="L82" s="51">
        <f t="shared" si="15"/>
        <v>118.79311832265455</v>
      </c>
      <c r="M82" s="51">
        <f t="shared" si="16"/>
        <v>131.3149182851476</v>
      </c>
      <c r="N82" s="66">
        <f t="shared" si="17"/>
        <v>125.05401830390107</v>
      </c>
      <c r="P82" s="51">
        <f>Controls!$F$5*N82</f>
        <v>119.84501962483884</v>
      </c>
      <c r="Q82" s="105">
        <f>-(INDEX(Controls!$G$12:$G$16,MATCH($B82,Controls!$C$12:$C$16,0),0))*$P82</f>
        <v>-2.6632080106051075</v>
      </c>
      <c r="R82" s="66">
        <f t="shared" si="18"/>
        <v>117.18181161423374</v>
      </c>
    </row>
    <row r="83" spans="1:18" x14ac:dyDescent="0.2">
      <c r="A83" s="36" t="str">
        <f>'Forecast drivers'!A83</f>
        <v>SEW</v>
      </c>
      <c r="B83" s="57">
        <f>'Forecast drivers'!B83</f>
        <v>2023</v>
      </c>
      <c r="C83" s="36" t="str">
        <f>'Forecast drivers'!C83</f>
        <v>SEW23</v>
      </c>
      <c r="D83" s="50">
        <f>EXP(Coeffs!$D$12+(Coeffs!$D$5*'Forecast drivers'!D83)+(Coeffs!$D$6*'Forecast drivers'!F83)+(Coeffs!$D$8*'Forecast drivers'!I83)+(Coeffs!$D$9*'Forecast drivers'!J83))</f>
        <v>60.392645252342724</v>
      </c>
      <c r="E83" s="50">
        <f>EXP(Coeffs!$E$12+(Coeffs!$E$5*'Forecast drivers'!D83)+(Coeffs!$E$7*'Forecast drivers'!G83)+(Coeffs!$E$8*'Forecast drivers'!I83)+(Coeffs!$E$9*'Forecast drivers'!J83))</f>
        <v>57.862441908904351</v>
      </c>
      <c r="F83" s="50">
        <f>EXP(Coeffs!$F$12+(Coeffs!$F$8*'Forecast drivers'!I83)+(Coeffs!$F$9*'Forecast drivers'!J83)+(Coeffs!$F$10*'Forecast drivers'!E83)+(Coeffs!$F$11*'Forecast drivers'!H83))</f>
        <v>60.679052243816628</v>
      </c>
      <c r="G83" s="50">
        <f>EXP(Coeffs!$G$12+(Coeffs!$G$5*'Forecast drivers'!D83)+(Coeffs!$G$6*'Forecast drivers'!F83)+(Coeffs!$G$8*'Forecast drivers'!I83)+(Coeffs!$G$9*'Forecast drivers'!J83)+(Coeffs!$G$11*'Forecast drivers'!H83))</f>
        <v>134.97012957131733</v>
      </c>
      <c r="H83" s="50">
        <f>EXP(Coeffs!$H$12+(Coeffs!$H$5*'Forecast drivers'!D83)+(Coeffs!$H$7*'Forecast drivers'!G83)+(Coeffs!$H$8*'Forecast drivers'!I83)+(Coeffs!$H$9*'Forecast drivers'!J83)+(Coeffs!$H$11*'Forecast drivers'!H83))</f>
        <v>130.54041236939889</v>
      </c>
      <c r="J83" s="50">
        <f t="shared" si="13"/>
        <v>59.127543580623538</v>
      </c>
      <c r="K83" s="50">
        <f t="shared" si="14"/>
        <v>60.679052243816628</v>
      </c>
      <c r="L83" s="51">
        <f t="shared" si="15"/>
        <v>119.80659582444017</v>
      </c>
      <c r="M83" s="51">
        <f t="shared" si="16"/>
        <v>132.75527097035811</v>
      </c>
      <c r="N83" s="66">
        <f t="shared" si="17"/>
        <v>126.28093339739914</v>
      </c>
      <c r="P83" s="51">
        <f>Controls!$F$5*N83</f>
        <v>121.02082881076166</v>
      </c>
      <c r="Q83" s="105">
        <f>-(INDEX(Controls!$G$12:$G$16,MATCH($B83,Controls!$C$12:$C$16,0),0))*$P83</f>
        <v>-4.0377777668159647</v>
      </c>
      <c r="R83" s="66">
        <f t="shared" si="18"/>
        <v>116.98305104394569</v>
      </c>
    </row>
    <row r="84" spans="1:18" x14ac:dyDescent="0.2">
      <c r="A84" s="36" t="str">
        <f>'Forecast drivers'!A84</f>
        <v>SEW</v>
      </c>
      <c r="B84" s="57">
        <f>'Forecast drivers'!B84</f>
        <v>2024</v>
      </c>
      <c r="C84" s="36" t="str">
        <f>'Forecast drivers'!C84</f>
        <v>SEW24</v>
      </c>
      <c r="D84" s="50">
        <f>EXP(Coeffs!$D$12+(Coeffs!$D$5*'Forecast drivers'!D84)+(Coeffs!$D$6*'Forecast drivers'!F84)+(Coeffs!$D$8*'Forecast drivers'!I84)+(Coeffs!$D$9*'Forecast drivers'!J84))</f>
        <v>61.302929924962463</v>
      </c>
      <c r="E84" s="50">
        <f>EXP(Coeffs!$E$12+(Coeffs!$E$5*'Forecast drivers'!D84)+(Coeffs!$E$7*'Forecast drivers'!G84)+(Coeffs!$E$8*'Forecast drivers'!I84)+(Coeffs!$E$9*'Forecast drivers'!J84))</f>
        <v>58.323482277228749</v>
      </c>
      <c r="F84" s="50">
        <f>EXP(Coeffs!$F$12+(Coeffs!$F$8*'Forecast drivers'!I84)+(Coeffs!$F$9*'Forecast drivers'!J84)+(Coeffs!$F$10*'Forecast drivers'!E84)+(Coeffs!$F$11*'Forecast drivers'!H84))</f>
        <v>60.978164038164373</v>
      </c>
      <c r="G84" s="50">
        <f>EXP(Coeffs!$G$12+(Coeffs!$G$5*'Forecast drivers'!D84)+(Coeffs!$G$6*'Forecast drivers'!F84)+(Coeffs!$G$8*'Forecast drivers'!I84)+(Coeffs!$G$9*'Forecast drivers'!J84)+(Coeffs!$G$11*'Forecast drivers'!H84))</f>
        <v>136.70289598669268</v>
      </c>
      <c r="H84" s="50">
        <f>EXP(Coeffs!$H$12+(Coeffs!$H$5*'Forecast drivers'!D84)+(Coeffs!$H$7*'Forecast drivers'!G84)+(Coeffs!$H$8*'Forecast drivers'!I84)+(Coeffs!$H$9*'Forecast drivers'!J84)+(Coeffs!$H$11*'Forecast drivers'!H84))</f>
        <v>131.62599679999326</v>
      </c>
      <c r="J84" s="50">
        <f t="shared" si="13"/>
        <v>59.813206101095602</v>
      </c>
      <c r="K84" s="50">
        <f t="shared" si="14"/>
        <v>60.978164038164373</v>
      </c>
      <c r="L84" s="51">
        <f t="shared" si="15"/>
        <v>120.79137013925998</v>
      </c>
      <c r="M84" s="51">
        <f t="shared" si="16"/>
        <v>134.16444639334298</v>
      </c>
      <c r="N84" s="66">
        <f t="shared" si="17"/>
        <v>127.47790826630148</v>
      </c>
      <c r="P84" s="51">
        <f>Controls!$F$5*N84</f>
        <v>122.16794490186903</v>
      </c>
      <c r="Q84" s="105">
        <f>-(INDEX(Controls!$G$12:$G$16,MATCH($B84,Controls!$C$12:$C$16,0),0))*$P84</f>
        <v>-5.4016124680672508</v>
      </c>
      <c r="R84" s="66">
        <f t="shared" si="18"/>
        <v>116.76633243380178</v>
      </c>
    </row>
    <row r="85" spans="1:18" x14ac:dyDescent="0.2">
      <c r="A85" s="36" t="str">
        <f>'Forecast drivers'!A85</f>
        <v>SEW</v>
      </c>
      <c r="B85" s="57">
        <f>'Forecast drivers'!B85</f>
        <v>2025</v>
      </c>
      <c r="C85" s="36" t="str">
        <f>'Forecast drivers'!C85</f>
        <v>SEW25</v>
      </c>
      <c r="D85" s="50">
        <f>EXP(Coeffs!$D$12+(Coeffs!$D$5*'Forecast drivers'!D85)+(Coeffs!$D$6*'Forecast drivers'!F85)+(Coeffs!$D$8*'Forecast drivers'!I85)+(Coeffs!$D$9*'Forecast drivers'!J85))</f>
        <v>62.220378186663453</v>
      </c>
      <c r="E85" s="50">
        <f>EXP(Coeffs!$E$12+(Coeffs!$E$5*'Forecast drivers'!D85)+(Coeffs!$E$7*'Forecast drivers'!G85)+(Coeffs!$E$8*'Forecast drivers'!I85)+(Coeffs!$E$9*'Forecast drivers'!J85))</f>
        <v>58.780525515162445</v>
      </c>
      <c r="F85" s="50">
        <f>EXP(Coeffs!$F$12+(Coeffs!$F$8*'Forecast drivers'!I85)+(Coeffs!$F$9*'Forecast drivers'!J85)+(Coeffs!$F$10*'Forecast drivers'!E85)+(Coeffs!$F$11*'Forecast drivers'!H85))</f>
        <v>61.445382497599354</v>
      </c>
      <c r="G85" s="50">
        <f>EXP(Coeffs!$G$12+(Coeffs!$G$5*'Forecast drivers'!D85)+(Coeffs!$G$6*'Forecast drivers'!F85)+(Coeffs!$G$8*'Forecast drivers'!I85)+(Coeffs!$G$9*'Forecast drivers'!J85)+(Coeffs!$G$11*'Forecast drivers'!H85))</f>
        <v>138.4438398698488</v>
      </c>
      <c r="H85" s="50">
        <f>EXP(Coeffs!$H$12+(Coeffs!$H$5*'Forecast drivers'!D85)+(Coeffs!$H$7*'Forecast drivers'!G85)+(Coeffs!$H$8*'Forecast drivers'!I85)+(Coeffs!$H$9*'Forecast drivers'!J85)+(Coeffs!$H$11*'Forecast drivers'!H85))</f>
        <v>132.70527008061191</v>
      </c>
      <c r="J85" s="50">
        <f t="shared" si="13"/>
        <v>60.500451850912953</v>
      </c>
      <c r="K85" s="50">
        <f t="shared" si="14"/>
        <v>61.445382497599354</v>
      </c>
      <c r="L85" s="51">
        <f t="shared" si="15"/>
        <v>121.94583434851231</v>
      </c>
      <c r="M85" s="51">
        <f t="shared" si="16"/>
        <v>135.57455497523034</v>
      </c>
      <c r="N85" s="66">
        <f t="shared" si="17"/>
        <v>128.76019466187131</v>
      </c>
      <c r="P85" s="51">
        <f>Controls!$F$5*N85</f>
        <v>123.39681895426672</v>
      </c>
      <c r="Q85" s="105">
        <f>-(INDEX(Controls!$G$12:$G$16,MATCH($B85,Controls!$C$12:$C$16,0),0))*$P85</f>
        <v>-6.7573596326952723</v>
      </c>
      <c r="R85" s="66">
        <f t="shared" si="18"/>
        <v>116.63945932157145</v>
      </c>
    </row>
    <row r="86" spans="1:18" x14ac:dyDescent="0.2">
      <c r="A86" s="36" t="str">
        <f>'Forecast drivers'!A86</f>
        <v>SSC</v>
      </c>
      <c r="B86" s="57">
        <f>'Forecast drivers'!B86</f>
        <v>2021</v>
      </c>
      <c r="C86" s="36" t="str">
        <f>'Forecast drivers'!C86</f>
        <v>SSC21</v>
      </c>
      <c r="D86" s="50">
        <f>EXP(Coeffs!$D$12+(Coeffs!$D$5*'Forecast drivers'!D86)+(Coeffs!$D$6*'Forecast drivers'!F86)+(Coeffs!$D$8*'Forecast drivers'!I86)+(Coeffs!$D$9*'Forecast drivers'!J86))</f>
        <v>29.462607254041743</v>
      </c>
      <c r="E86" s="50">
        <f>EXP(Coeffs!$E$12+(Coeffs!$E$5*'Forecast drivers'!D86)+(Coeffs!$E$7*'Forecast drivers'!G86)+(Coeffs!$E$8*'Forecast drivers'!I86)+(Coeffs!$E$9*'Forecast drivers'!J86))</f>
        <v>32.155406144199553</v>
      </c>
      <c r="F86" s="50">
        <f>EXP(Coeffs!$F$12+(Coeffs!$F$8*'Forecast drivers'!I86)+(Coeffs!$F$9*'Forecast drivers'!J86)+(Coeffs!$F$10*'Forecast drivers'!E86)+(Coeffs!$F$11*'Forecast drivers'!H86))</f>
        <v>49.978189375864915</v>
      </c>
      <c r="G86" s="50">
        <f>EXP(Coeffs!$G$12+(Coeffs!$G$5*'Forecast drivers'!D86)+(Coeffs!$G$6*'Forecast drivers'!F86)+(Coeffs!$G$8*'Forecast drivers'!I86)+(Coeffs!$G$9*'Forecast drivers'!J86)+(Coeffs!$G$11*'Forecast drivers'!H86))</f>
        <v>81.030819144059691</v>
      </c>
      <c r="H86" s="50">
        <f>EXP(Coeffs!$H$12+(Coeffs!$H$5*'Forecast drivers'!D86)+(Coeffs!$H$7*'Forecast drivers'!G86)+(Coeffs!$H$8*'Forecast drivers'!I86)+(Coeffs!$H$9*'Forecast drivers'!J86)+(Coeffs!$H$11*'Forecast drivers'!H86))</f>
        <v>84.18563631115012</v>
      </c>
      <c r="J86" s="50">
        <f t="shared" si="13"/>
        <v>30.809006699120648</v>
      </c>
      <c r="K86" s="50">
        <f t="shared" si="14"/>
        <v>49.978189375864915</v>
      </c>
      <c r="L86" s="51">
        <f t="shared" si="15"/>
        <v>80.787196074985559</v>
      </c>
      <c r="M86" s="51">
        <f t="shared" si="16"/>
        <v>82.608227727604913</v>
      </c>
      <c r="N86" s="66">
        <f t="shared" si="17"/>
        <v>81.697711901295236</v>
      </c>
      <c r="P86" s="51">
        <f>Controls!$F$5*N86</f>
        <v>78.294676323965234</v>
      </c>
      <c r="Q86" s="105">
        <f>-(INDEX(Controls!$G$12:$G$16,MATCH($B86,Controls!$C$12:$C$16,0),0))*$P86</f>
        <v>-0.86124143956361754</v>
      </c>
      <c r="R86" s="66">
        <f t="shared" si="18"/>
        <v>77.43343488440162</v>
      </c>
    </row>
    <row r="87" spans="1:18" x14ac:dyDescent="0.2">
      <c r="A87" s="36" t="str">
        <f>'Forecast drivers'!A87</f>
        <v>SSC</v>
      </c>
      <c r="B87" s="57">
        <f>'Forecast drivers'!B87</f>
        <v>2022</v>
      </c>
      <c r="C87" s="36" t="str">
        <f>'Forecast drivers'!C87</f>
        <v>SSC22</v>
      </c>
      <c r="D87" s="50">
        <f>EXP(Coeffs!$D$12+(Coeffs!$D$5*'Forecast drivers'!D87)+(Coeffs!$D$6*'Forecast drivers'!F87)+(Coeffs!$D$8*'Forecast drivers'!I87)+(Coeffs!$D$9*'Forecast drivers'!J87))</f>
        <v>29.590236147078006</v>
      </c>
      <c r="E87" s="50">
        <f>EXP(Coeffs!$E$12+(Coeffs!$E$5*'Forecast drivers'!D87)+(Coeffs!$E$7*'Forecast drivers'!G87)+(Coeffs!$E$8*'Forecast drivers'!I87)+(Coeffs!$E$9*'Forecast drivers'!J87))</f>
        <v>32.284223170302369</v>
      </c>
      <c r="F87" s="50">
        <f>EXP(Coeffs!$F$12+(Coeffs!$F$8*'Forecast drivers'!I87)+(Coeffs!$F$9*'Forecast drivers'!J87)+(Coeffs!$F$10*'Forecast drivers'!E87)+(Coeffs!$F$11*'Forecast drivers'!H87))</f>
        <v>50.480221314713631</v>
      </c>
      <c r="G87" s="50">
        <f>EXP(Coeffs!$G$12+(Coeffs!$G$5*'Forecast drivers'!D87)+(Coeffs!$G$6*'Forecast drivers'!F87)+(Coeffs!$G$8*'Forecast drivers'!I87)+(Coeffs!$G$9*'Forecast drivers'!J87)+(Coeffs!$G$11*'Forecast drivers'!H87))</f>
        <v>81.507300724989932</v>
      </c>
      <c r="H87" s="50">
        <f>EXP(Coeffs!$H$12+(Coeffs!$H$5*'Forecast drivers'!D87)+(Coeffs!$H$7*'Forecast drivers'!G87)+(Coeffs!$H$8*'Forecast drivers'!I87)+(Coeffs!$H$9*'Forecast drivers'!J87)+(Coeffs!$H$11*'Forecast drivers'!H87))</f>
        <v>84.66273152808084</v>
      </c>
      <c r="J87" s="50">
        <f t="shared" si="13"/>
        <v>30.937229658690185</v>
      </c>
      <c r="K87" s="50">
        <f t="shared" si="14"/>
        <v>50.480221314713631</v>
      </c>
      <c r="L87" s="51">
        <f t="shared" si="15"/>
        <v>81.417450973403817</v>
      </c>
      <c r="M87" s="51">
        <f t="shared" si="16"/>
        <v>83.085016126535379</v>
      </c>
      <c r="N87" s="66">
        <f t="shared" si="17"/>
        <v>82.251233549969598</v>
      </c>
      <c r="P87" s="51">
        <f>Controls!$F$5*N87</f>
        <v>78.825141588079674</v>
      </c>
      <c r="Q87" s="105">
        <f>-(INDEX(Controls!$G$12:$G$16,MATCH($B87,Controls!$C$12:$C$16,0),0))*$P87</f>
        <v>-1.7516601788844497</v>
      </c>
      <c r="R87" s="66">
        <f t="shared" si="18"/>
        <v>77.073481409195225</v>
      </c>
    </row>
    <row r="88" spans="1:18" x14ac:dyDescent="0.2">
      <c r="A88" s="36" t="str">
        <f>'Forecast drivers'!A88</f>
        <v>SSC</v>
      </c>
      <c r="B88" s="57">
        <f>'Forecast drivers'!B88</f>
        <v>2023</v>
      </c>
      <c r="C88" s="36" t="str">
        <f>'Forecast drivers'!C88</f>
        <v>SSC23</v>
      </c>
      <c r="D88" s="50">
        <f>EXP(Coeffs!$D$12+(Coeffs!$D$5*'Forecast drivers'!D88)+(Coeffs!$D$6*'Forecast drivers'!F88)+(Coeffs!$D$8*'Forecast drivers'!I88)+(Coeffs!$D$9*'Forecast drivers'!J88))</f>
        <v>29.762333771207842</v>
      </c>
      <c r="E88" s="50">
        <f>EXP(Coeffs!$E$12+(Coeffs!$E$5*'Forecast drivers'!D88)+(Coeffs!$E$7*'Forecast drivers'!G88)+(Coeffs!$E$8*'Forecast drivers'!I88)+(Coeffs!$E$9*'Forecast drivers'!J88))</f>
        <v>32.461770560678985</v>
      </c>
      <c r="F88" s="50">
        <f>EXP(Coeffs!$F$12+(Coeffs!$F$8*'Forecast drivers'!I88)+(Coeffs!$F$9*'Forecast drivers'!J88)+(Coeffs!$F$10*'Forecast drivers'!E88)+(Coeffs!$F$11*'Forecast drivers'!H88))</f>
        <v>50.972093610216461</v>
      </c>
      <c r="G88" s="50">
        <f>EXP(Coeffs!$G$12+(Coeffs!$G$5*'Forecast drivers'!D88)+(Coeffs!$G$6*'Forecast drivers'!F88)+(Coeffs!$G$8*'Forecast drivers'!I88)+(Coeffs!$G$9*'Forecast drivers'!J88)+(Coeffs!$G$11*'Forecast drivers'!H88))</f>
        <v>82.106838221057544</v>
      </c>
      <c r="H88" s="50">
        <f>EXP(Coeffs!$H$12+(Coeffs!$H$5*'Forecast drivers'!D88)+(Coeffs!$H$7*'Forecast drivers'!G88)+(Coeffs!$H$8*'Forecast drivers'!I88)+(Coeffs!$H$9*'Forecast drivers'!J88)+(Coeffs!$H$11*'Forecast drivers'!H88))</f>
        <v>85.266308366598579</v>
      </c>
      <c r="J88" s="50">
        <f t="shared" si="13"/>
        <v>31.112052165943414</v>
      </c>
      <c r="K88" s="50">
        <f t="shared" si="14"/>
        <v>50.972093610216461</v>
      </c>
      <c r="L88" s="51">
        <f t="shared" si="15"/>
        <v>82.084145776159872</v>
      </c>
      <c r="M88" s="51">
        <f t="shared" si="16"/>
        <v>83.686573293828062</v>
      </c>
      <c r="N88" s="66">
        <f t="shared" si="17"/>
        <v>82.885359534993967</v>
      </c>
      <c r="P88" s="51">
        <f>Controls!$F$5*N88</f>
        <v>79.432853696419784</v>
      </c>
      <c r="Q88" s="105">
        <f>-(INDEX(Controls!$G$12:$G$16,MATCH($B88,Controls!$C$12:$C$16,0),0))*$P88</f>
        <v>-2.6502232199357429</v>
      </c>
      <c r="R88" s="66">
        <f t="shared" si="18"/>
        <v>76.782630476484044</v>
      </c>
    </row>
    <row r="89" spans="1:18" x14ac:dyDescent="0.2">
      <c r="A89" s="36" t="str">
        <f>'Forecast drivers'!A89</f>
        <v>SSC</v>
      </c>
      <c r="B89" s="57">
        <f>'Forecast drivers'!B89</f>
        <v>2024</v>
      </c>
      <c r="C89" s="36" t="str">
        <f>'Forecast drivers'!C89</f>
        <v>SSC24</v>
      </c>
      <c r="D89" s="50">
        <f>EXP(Coeffs!$D$12+(Coeffs!$D$5*'Forecast drivers'!D89)+(Coeffs!$D$6*'Forecast drivers'!F89)+(Coeffs!$D$8*'Forecast drivers'!I89)+(Coeffs!$D$9*'Forecast drivers'!J89))</f>
        <v>29.926596805541312</v>
      </c>
      <c r="E89" s="50">
        <f>EXP(Coeffs!$E$12+(Coeffs!$E$5*'Forecast drivers'!D89)+(Coeffs!$E$7*'Forecast drivers'!G89)+(Coeffs!$E$8*'Forecast drivers'!I89)+(Coeffs!$E$9*'Forecast drivers'!J89))</f>
        <v>32.631030279693974</v>
      </c>
      <c r="F89" s="50">
        <f>EXP(Coeffs!$F$12+(Coeffs!$F$8*'Forecast drivers'!I89)+(Coeffs!$F$9*'Forecast drivers'!J89)+(Coeffs!$F$10*'Forecast drivers'!E89)+(Coeffs!$F$11*'Forecast drivers'!H89))</f>
        <v>51.453674458170028</v>
      </c>
      <c r="G89" s="50">
        <f>EXP(Coeffs!$G$12+(Coeffs!$G$5*'Forecast drivers'!D89)+(Coeffs!$G$6*'Forecast drivers'!F89)+(Coeffs!$G$8*'Forecast drivers'!I89)+(Coeffs!$G$9*'Forecast drivers'!J89)+(Coeffs!$G$11*'Forecast drivers'!H89))</f>
        <v>82.682019195903223</v>
      </c>
      <c r="H89" s="50">
        <f>EXP(Coeffs!$H$12+(Coeffs!$H$5*'Forecast drivers'!D89)+(Coeffs!$H$7*'Forecast drivers'!G89)+(Coeffs!$H$8*'Forecast drivers'!I89)+(Coeffs!$H$9*'Forecast drivers'!J89)+(Coeffs!$H$11*'Forecast drivers'!H89))</f>
        <v>85.845168682451543</v>
      </c>
      <c r="J89" s="50">
        <f t="shared" si="13"/>
        <v>31.278813542617641</v>
      </c>
      <c r="K89" s="50">
        <f t="shared" si="14"/>
        <v>51.453674458170028</v>
      </c>
      <c r="L89" s="51">
        <f t="shared" si="15"/>
        <v>82.732488000787669</v>
      </c>
      <c r="M89" s="51">
        <f t="shared" si="16"/>
        <v>84.263593939177383</v>
      </c>
      <c r="N89" s="66">
        <f t="shared" si="17"/>
        <v>83.498040969982526</v>
      </c>
      <c r="P89" s="51">
        <f>Controls!$F$5*N89</f>
        <v>80.0200145057713</v>
      </c>
      <c r="Q89" s="105">
        <f>-(INDEX(Controls!$G$12:$G$16,MATCH($B89,Controls!$C$12:$C$16,0),0))*$P89</f>
        <v>-3.538056635040308</v>
      </c>
      <c r="R89" s="66">
        <f t="shared" si="18"/>
        <v>76.481957870730994</v>
      </c>
    </row>
    <row r="90" spans="1:18" x14ac:dyDescent="0.2">
      <c r="A90" s="36" t="str">
        <f>'Forecast drivers'!A90</f>
        <v>SSC</v>
      </c>
      <c r="B90" s="57">
        <f>'Forecast drivers'!B90</f>
        <v>2025</v>
      </c>
      <c r="C90" s="36" t="str">
        <f>'Forecast drivers'!C90</f>
        <v>SSC25</v>
      </c>
      <c r="D90" s="50">
        <f>EXP(Coeffs!$D$12+(Coeffs!$D$5*'Forecast drivers'!D90)+(Coeffs!$D$6*'Forecast drivers'!F90)+(Coeffs!$D$8*'Forecast drivers'!I90)+(Coeffs!$D$9*'Forecast drivers'!J90))</f>
        <v>30.091394791641346</v>
      </c>
      <c r="E90" s="50">
        <f>EXP(Coeffs!$E$12+(Coeffs!$E$5*'Forecast drivers'!D90)+(Coeffs!$E$7*'Forecast drivers'!G90)+(Coeffs!$E$8*'Forecast drivers'!I90)+(Coeffs!$E$9*'Forecast drivers'!J90))</f>
        <v>32.800509567106573</v>
      </c>
      <c r="F90" s="50">
        <f>EXP(Coeffs!$F$12+(Coeffs!$F$8*'Forecast drivers'!I90)+(Coeffs!$F$9*'Forecast drivers'!J90)+(Coeffs!$F$10*'Forecast drivers'!E90)+(Coeffs!$F$11*'Forecast drivers'!H90))</f>
        <v>51.935142155386266</v>
      </c>
      <c r="G90" s="50">
        <f>EXP(Coeffs!$G$12+(Coeffs!$G$5*'Forecast drivers'!D90)+(Coeffs!$G$6*'Forecast drivers'!F90)+(Coeffs!$G$8*'Forecast drivers'!I90)+(Coeffs!$G$9*'Forecast drivers'!J90)+(Coeffs!$G$11*'Forecast drivers'!H90))</f>
        <v>83.261944653756856</v>
      </c>
      <c r="H90" s="50">
        <f>EXP(Coeffs!$H$12+(Coeffs!$H$5*'Forecast drivers'!D90)+(Coeffs!$H$7*'Forecast drivers'!G90)+(Coeffs!$H$8*'Forecast drivers'!I90)+(Coeffs!$H$9*'Forecast drivers'!J90)+(Coeffs!$H$11*'Forecast drivers'!H90))</f>
        <v>86.42831391047315</v>
      </c>
      <c r="J90" s="50">
        <f t="shared" si="13"/>
        <v>31.445952179373961</v>
      </c>
      <c r="K90" s="50">
        <f t="shared" si="14"/>
        <v>51.935142155386266</v>
      </c>
      <c r="L90" s="51">
        <f t="shared" si="15"/>
        <v>83.381094334760235</v>
      </c>
      <c r="M90" s="51">
        <f t="shared" si="16"/>
        <v>84.84512928211501</v>
      </c>
      <c r="N90" s="66">
        <f t="shared" si="17"/>
        <v>84.113111808437623</v>
      </c>
      <c r="P90" s="51">
        <f>Controls!$F$5*N90</f>
        <v>80.609465190404109</v>
      </c>
      <c r="Q90" s="105">
        <f>-(INDEX(Controls!$G$12:$G$16,MATCH($B90,Controls!$C$12:$C$16,0),0))*$P90</f>
        <v>-4.4142721887561027</v>
      </c>
      <c r="R90" s="66">
        <f t="shared" si="18"/>
        <v>76.195193001648008</v>
      </c>
    </row>
    <row r="91" spans="1:18" s="38" customFormat="1" x14ac:dyDescent="0.2">
      <c r="A91" s="37" t="str">
        <f t="shared" ref="A91:A105" si="19">LEFT(C91,3)</f>
        <v>SVH</v>
      </c>
      <c r="B91" s="58">
        <v>2021</v>
      </c>
      <c r="C91" s="37" t="s">
        <v>94</v>
      </c>
      <c r="D91" s="52">
        <f>D26+D66</f>
        <v>187.14548282023972</v>
      </c>
      <c r="E91" s="52">
        <f t="shared" ref="E91:H91" si="20">E26+E66</f>
        <v>174.85803234430477</v>
      </c>
      <c r="F91" s="52">
        <f t="shared" si="20"/>
        <v>298.78778935898396</v>
      </c>
      <c r="G91" s="52">
        <f t="shared" si="20"/>
        <v>494.32447469335278</v>
      </c>
      <c r="H91" s="52">
        <f t="shared" si="20"/>
        <v>463.01826758026249</v>
      </c>
      <c r="J91" s="117">
        <f>D$4*D91+E$4*E91</f>
        <v>181.00175758227226</v>
      </c>
      <c r="K91" s="53">
        <f t="shared" si="14"/>
        <v>298.78778935898396</v>
      </c>
      <c r="L91" s="53">
        <f t="shared" si="15"/>
        <v>479.78954694125622</v>
      </c>
      <c r="M91" s="53">
        <f t="shared" si="16"/>
        <v>478.67137113680764</v>
      </c>
      <c r="N91" s="67">
        <f t="shared" si="17"/>
        <v>479.23045903903193</v>
      </c>
      <c r="P91" s="53">
        <f>Controls!$F$5*N91</f>
        <v>459.2685988608626</v>
      </c>
      <c r="Q91" s="106">
        <f>-(INDEX(Controls!$G$12:$G$16,MATCH($B91,Controls!$C$12:$C$16,0),0))*$P91</f>
        <v>-5.0519545874694884</v>
      </c>
      <c r="R91" s="67">
        <f t="shared" si="18"/>
        <v>454.21664427339311</v>
      </c>
    </row>
    <row r="92" spans="1:18" s="38" customFormat="1" x14ac:dyDescent="0.2">
      <c r="A92" s="37" t="str">
        <f t="shared" si="19"/>
        <v>SVH</v>
      </c>
      <c r="B92" s="58">
        <v>2022</v>
      </c>
      <c r="C92" s="37" t="s">
        <v>95</v>
      </c>
      <c r="D92" s="52">
        <f t="shared" ref="D92:H92" si="21">D27+D67</f>
        <v>189.55258890884392</v>
      </c>
      <c r="E92" s="52">
        <f t="shared" si="21"/>
        <v>175.71910135201483</v>
      </c>
      <c r="F92" s="52">
        <f t="shared" si="21"/>
        <v>300.05998302370449</v>
      </c>
      <c r="G92" s="52">
        <f t="shared" si="21"/>
        <v>499.63169143332539</v>
      </c>
      <c r="H92" s="52">
        <f t="shared" si="21"/>
        <v>465.62890830338824</v>
      </c>
      <c r="J92" s="53">
        <f t="shared" si="13"/>
        <v>182.63584513042937</v>
      </c>
      <c r="K92" s="53">
        <f t="shared" si="14"/>
        <v>300.05998302370449</v>
      </c>
      <c r="L92" s="53">
        <f t="shared" si="15"/>
        <v>482.69582815413389</v>
      </c>
      <c r="M92" s="118">
        <f t="shared" si="16"/>
        <v>482.63029986835681</v>
      </c>
      <c r="N92" s="67">
        <f t="shared" si="17"/>
        <v>482.66306401124535</v>
      </c>
      <c r="P92" s="53">
        <f>Controls!$F$5*N92</f>
        <v>462.55822214397466</v>
      </c>
      <c r="Q92" s="106">
        <f>-(INDEX(Controls!$G$12:$G$16,MATCH($B92,Controls!$C$12:$C$16,0),0))*$P92</f>
        <v>-10.279015068305528</v>
      </c>
      <c r="R92" s="67">
        <f t="shared" si="18"/>
        <v>452.27920707566915</v>
      </c>
    </row>
    <row r="93" spans="1:18" s="38" customFormat="1" x14ac:dyDescent="0.2">
      <c r="A93" s="37" t="str">
        <f t="shared" si="19"/>
        <v>SVH</v>
      </c>
      <c r="B93" s="58">
        <v>2023</v>
      </c>
      <c r="C93" s="37" t="s">
        <v>96</v>
      </c>
      <c r="D93" s="52">
        <f t="shared" ref="D93:H93" si="22">D28+D68</f>
        <v>192.1935468167033</v>
      </c>
      <c r="E93" s="52">
        <f t="shared" si="22"/>
        <v>176.79194355444341</v>
      </c>
      <c r="F93" s="52">
        <f t="shared" si="22"/>
        <v>301.32961361365204</v>
      </c>
      <c r="G93" s="52">
        <f t="shared" si="22"/>
        <v>505.56373109742293</v>
      </c>
      <c r="H93" s="52">
        <f t="shared" si="22"/>
        <v>468.80801957557441</v>
      </c>
      <c r="J93" s="53">
        <f t="shared" si="13"/>
        <v>184.49274518557337</v>
      </c>
      <c r="K93" s="53">
        <f t="shared" si="14"/>
        <v>301.32961361365204</v>
      </c>
      <c r="L93" s="53">
        <f t="shared" si="15"/>
        <v>485.82235879922541</v>
      </c>
      <c r="M93" s="53">
        <f t="shared" si="16"/>
        <v>487.18587533649867</v>
      </c>
      <c r="N93" s="67">
        <f t="shared" si="17"/>
        <v>486.50411706786201</v>
      </c>
      <c r="P93" s="53">
        <f>Controls!$F$5*N93</f>
        <v>466.23928001955284</v>
      </c>
      <c r="Q93" s="106">
        <f>-(INDEX(Controls!$G$12:$G$16,MATCH($B93,Controls!$C$12:$C$16,0),0))*$P93</f>
        <v>-15.555756950094755</v>
      </c>
      <c r="R93" s="67">
        <f t="shared" si="18"/>
        <v>450.68352306945809</v>
      </c>
    </row>
    <row r="94" spans="1:18" s="38" customFormat="1" x14ac:dyDescent="0.2">
      <c r="A94" s="37" t="str">
        <f t="shared" si="19"/>
        <v>SVH</v>
      </c>
      <c r="B94" s="58">
        <v>2024</v>
      </c>
      <c r="C94" s="37" t="s">
        <v>97</v>
      </c>
      <c r="D94" s="52">
        <f t="shared" ref="D94:H94" si="23">D29+D69</f>
        <v>194.80848763057031</v>
      </c>
      <c r="E94" s="52">
        <f t="shared" si="23"/>
        <v>177.83413709949937</v>
      </c>
      <c r="F94" s="52">
        <f t="shared" si="23"/>
        <v>302.59315542818729</v>
      </c>
      <c r="G94" s="52">
        <f t="shared" si="23"/>
        <v>511.41091609491434</v>
      </c>
      <c r="H94" s="52">
        <f t="shared" si="23"/>
        <v>471.90134787192238</v>
      </c>
      <c r="J94" s="53">
        <f t="shared" si="13"/>
        <v>186.32131236503483</v>
      </c>
      <c r="K94" s="53">
        <f t="shared" si="14"/>
        <v>302.59315542818729</v>
      </c>
      <c r="L94" s="53">
        <f t="shared" si="15"/>
        <v>488.91446779322212</v>
      </c>
      <c r="M94" s="53">
        <f t="shared" si="16"/>
        <v>491.65613198341839</v>
      </c>
      <c r="N94" s="67">
        <f t="shared" si="17"/>
        <v>490.28529988832025</v>
      </c>
      <c r="P94" s="53">
        <f>Controls!$F$5*N94</f>
        <v>469.86296149311954</v>
      </c>
      <c r="Q94" s="106">
        <f>-(INDEX(Controls!$G$12:$G$16,MATCH($B94,Controls!$C$12:$C$16,0),0))*$P94</f>
        <v>-20.774824632786373</v>
      </c>
      <c r="R94" s="67">
        <f t="shared" si="18"/>
        <v>449.08813686033318</v>
      </c>
    </row>
    <row r="95" spans="1:18" s="38" customFormat="1" x14ac:dyDescent="0.2">
      <c r="A95" s="37" t="str">
        <f t="shared" si="19"/>
        <v>SVH</v>
      </c>
      <c r="B95" s="58">
        <v>2025</v>
      </c>
      <c r="C95" s="37" t="s">
        <v>98</v>
      </c>
      <c r="D95" s="52">
        <f t="shared" ref="D95:H95" si="24">D30+D70</f>
        <v>197.44522195600041</v>
      </c>
      <c r="E95" s="52">
        <f t="shared" si="24"/>
        <v>178.88758595958302</v>
      </c>
      <c r="F95" s="52">
        <f t="shared" si="24"/>
        <v>303.89488327325392</v>
      </c>
      <c r="G95" s="52">
        <f t="shared" si="24"/>
        <v>517.33060453083806</v>
      </c>
      <c r="H95" s="52">
        <f t="shared" si="24"/>
        <v>475.04949043920408</v>
      </c>
      <c r="J95" s="53">
        <f t="shared" si="13"/>
        <v>188.16640395779172</v>
      </c>
      <c r="K95" s="53">
        <f t="shared" si="14"/>
        <v>303.89488327325392</v>
      </c>
      <c r="L95" s="53">
        <f t="shared" si="15"/>
        <v>492.06128723104564</v>
      </c>
      <c r="M95" s="53">
        <f t="shared" si="16"/>
        <v>496.19004748502107</v>
      </c>
      <c r="N95" s="67">
        <f t="shared" si="17"/>
        <v>494.12566735803335</v>
      </c>
      <c r="P95" s="53">
        <f>Controls!$F$5*N95</f>
        <v>473.54336233922339</v>
      </c>
      <c r="Q95" s="106">
        <f>-(INDEX(Controls!$G$12:$G$16,MATCH($B95,Controls!$C$12:$C$16,0),0))*$P95</f>
        <v>-25.931809491683943</v>
      </c>
      <c r="R95" s="67">
        <f t="shared" si="18"/>
        <v>447.61155284753943</v>
      </c>
    </row>
    <row r="96" spans="1:18" s="38" customFormat="1" x14ac:dyDescent="0.2">
      <c r="A96" s="39" t="str">
        <f t="shared" si="19"/>
        <v>SVE</v>
      </c>
      <c r="B96" s="59">
        <v>2021</v>
      </c>
      <c r="C96" s="39" t="s">
        <v>78</v>
      </c>
      <c r="D96" s="54">
        <f>EXP(Coeffs!$D$12+(Coeffs!$D$5*'Forecast drivers'!D96)+(Coeffs!$D$6*'Forecast drivers'!F96)+(Coeffs!$D$8*'Forecast drivers'!I96)+(Coeffs!$D$9*'Forecast drivers'!J96))</f>
        <v>175.37271365584823</v>
      </c>
      <c r="E96" s="54">
        <f>EXP(Coeffs!$E$12+(Coeffs!$E$5*'Forecast drivers'!D96)+(Coeffs!$E$7*'Forecast drivers'!G96)+(Coeffs!$E$8*'Forecast drivers'!I96)+(Coeffs!$E$9*'Forecast drivers'!J96))</f>
        <v>170.06881960446341</v>
      </c>
      <c r="F96" s="54">
        <f>EXP(Coeffs!$F$12+(Coeffs!$F$8*'Forecast drivers'!I96)+(Coeffs!$F$9*'Forecast drivers'!J96)+(Coeffs!$F$10*'Forecast drivers'!E96)+(Coeffs!$F$11*'Forecast drivers'!H96))</f>
        <v>277.70523701548757</v>
      </c>
      <c r="G96" s="54">
        <f>EXP(Coeffs!$G$12+(Coeffs!$G$5*'Forecast drivers'!D96)+(Coeffs!$G$6*'Forecast drivers'!F96)+(Coeffs!$G$8*'Forecast drivers'!I96)+(Coeffs!$G$9*'Forecast drivers'!J96)+(Coeffs!$G$11*'Forecast drivers'!H96))</f>
        <v>464.04187479893892</v>
      </c>
      <c r="H96" s="54">
        <f>EXP(Coeffs!$H$12+(Coeffs!$H$5*'Forecast drivers'!D96)+(Coeffs!$H$7*'Forecast drivers'!G96)+(Coeffs!$H$8*'Forecast drivers'!I96)+(Coeffs!$H$9*'Forecast drivers'!J96)+(Coeffs!$H$11*'Forecast drivers'!H96))</f>
        <v>447.80521437461402</v>
      </c>
      <c r="J96" s="113">
        <f>J91*((D96*D$4+E96*E$4)/(D96*D$4+E96*E$4+D101*D$4+E101*E$4))</f>
        <v>173.20041609051603</v>
      </c>
      <c r="K96" s="113">
        <f>K91*((F96*F$4)/(F96*F$4+F101*F$4))</f>
        <v>283.64528676648354</v>
      </c>
      <c r="L96" s="114">
        <f>J96+K96</f>
        <v>456.84570285699954</v>
      </c>
      <c r="M96" s="113">
        <f>M91*((G96*G$4+H96*H$4)/(G96*G$4+H96*H$4+G101*G$4+H101*H$4))</f>
        <v>459.08585904861729</v>
      </c>
      <c r="N96" s="115">
        <f>N91*((L96*L$4+M96*M$4)/(L96*L$4+M96*M$4+L101*L$4+M101*M$4))</f>
        <v>457.96578095280836</v>
      </c>
      <c r="P96" s="55">
        <f>Controls!$F$5*N96</f>
        <v>438.88967943768847</v>
      </c>
      <c r="Q96" s="107">
        <f>-(INDEX(Controls!$G$12:$G$16,MATCH($B96,Controls!$C$12:$C$16,0),0))*$P96</f>
        <v>-4.827786473814573</v>
      </c>
      <c r="R96" s="115">
        <f>P96+Q96</f>
        <v>434.0618929638739</v>
      </c>
    </row>
    <row r="97" spans="1:18" s="38" customFormat="1" x14ac:dyDescent="0.2">
      <c r="A97" s="39" t="str">
        <f t="shared" si="19"/>
        <v>SVE</v>
      </c>
      <c r="B97" s="59">
        <v>2022</v>
      </c>
      <c r="C97" s="39" t="s">
        <v>79</v>
      </c>
      <c r="D97" s="54">
        <f>EXP(Coeffs!$D$12+(Coeffs!$D$5*'Forecast drivers'!D97)+(Coeffs!$D$6*'Forecast drivers'!F97)+(Coeffs!$D$8*'Forecast drivers'!I97)+(Coeffs!$D$9*'Forecast drivers'!J97))</f>
        <v>177.36685317788681</v>
      </c>
      <c r="E97" s="54">
        <f>EXP(Coeffs!$E$12+(Coeffs!$E$5*'Forecast drivers'!D97)+(Coeffs!$E$7*'Forecast drivers'!G97)+(Coeffs!$E$8*'Forecast drivers'!I97)+(Coeffs!$E$9*'Forecast drivers'!J97))</f>
        <v>171.70858725312536</v>
      </c>
      <c r="F97" s="54">
        <f>EXP(Coeffs!$F$12+(Coeffs!$F$8*'Forecast drivers'!I97)+(Coeffs!$F$9*'Forecast drivers'!J97)+(Coeffs!$F$10*'Forecast drivers'!E97)+(Coeffs!$F$11*'Forecast drivers'!H97))</f>
        <v>279.21577581576037</v>
      </c>
      <c r="G97" s="54">
        <f>EXP(Coeffs!$G$12+(Coeffs!$G$5*'Forecast drivers'!D97)+(Coeffs!$G$6*'Forecast drivers'!F97)+(Coeffs!$G$8*'Forecast drivers'!I97)+(Coeffs!$G$9*'Forecast drivers'!J97)+(Coeffs!$G$11*'Forecast drivers'!H97))</f>
        <v>468.71132185550164</v>
      </c>
      <c r="H97" s="54">
        <f>EXP(Coeffs!$H$12+(Coeffs!$H$5*'Forecast drivers'!D97)+(Coeffs!$H$7*'Forecast drivers'!G97)+(Coeffs!$H$8*'Forecast drivers'!I97)+(Coeffs!$H$9*'Forecast drivers'!J97)+(Coeffs!$H$11*'Forecast drivers'!H97))</f>
        <v>452.97202510087811</v>
      </c>
      <c r="J97" s="113">
        <f t="shared" ref="J97:J100" si="25">J92*((D97*D$4+E97*E$4)/(D97*D$4+E97*E$4+D102*D$4+E102*E$4))</f>
        <v>174.82415436692534</v>
      </c>
      <c r="K97" s="113">
        <f t="shared" ref="K97:K100" si="26">K92*((F97*F$4)/(F97*F$4+F102*F$4))</f>
        <v>284.90941889162673</v>
      </c>
      <c r="L97" s="114">
        <f t="shared" ref="L97:L105" si="27">J97+K97</f>
        <v>459.73357325855204</v>
      </c>
      <c r="M97" s="113">
        <f t="shared" ref="M97:M100" si="28">M92*((G97*G$4+H97*H$4)/(G97*G$4+H97*H$4+G102*G$4+H102*H$4))</f>
        <v>463.05616933195762</v>
      </c>
      <c r="N97" s="115">
        <f t="shared" ref="N97:N100" si="29">N92*((L97*L$4+M97*M$4)/(L97*L$4+M97*M$4+L102*L$4+M102*M$4))</f>
        <v>461.39487129525486</v>
      </c>
      <c r="P97" s="55">
        <f>Controls!$F$5*N97</f>
        <v>442.1759344893826</v>
      </c>
      <c r="Q97" s="107">
        <f>-(INDEX(Controls!$G$12:$G$16,MATCH($B97,Controls!$C$12:$C$16,0),0))*$P97</f>
        <v>-9.8260778338164201</v>
      </c>
      <c r="R97" s="115">
        <f t="shared" si="18"/>
        <v>432.34985665556616</v>
      </c>
    </row>
    <row r="98" spans="1:18" s="38" customFormat="1" x14ac:dyDescent="0.2">
      <c r="A98" s="39" t="str">
        <f t="shared" si="19"/>
        <v>SVE</v>
      </c>
      <c r="B98" s="59">
        <v>2023</v>
      </c>
      <c r="C98" s="39" t="s">
        <v>80</v>
      </c>
      <c r="D98" s="54">
        <f>EXP(Coeffs!$D$12+(Coeffs!$D$5*'Forecast drivers'!D98)+(Coeffs!$D$6*'Forecast drivers'!F98)+(Coeffs!$D$8*'Forecast drivers'!I98)+(Coeffs!$D$9*'Forecast drivers'!J98))</f>
        <v>179.10089766856538</v>
      </c>
      <c r="E98" s="54">
        <f>EXP(Coeffs!$E$12+(Coeffs!$E$5*'Forecast drivers'!D98)+(Coeffs!$E$7*'Forecast drivers'!G98)+(Coeffs!$E$8*'Forecast drivers'!I98)+(Coeffs!$E$9*'Forecast drivers'!J98))</f>
        <v>173.03046680848729</v>
      </c>
      <c r="F98" s="54">
        <f>EXP(Coeffs!$F$12+(Coeffs!$F$8*'Forecast drivers'!I98)+(Coeffs!$F$9*'Forecast drivers'!J98)+(Coeffs!$F$10*'Forecast drivers'!E98)+(Coeffs!$F$11*'Forecast drivers'!H98))</f>
        <v>280.72721651521886</v>
      </c>
      <c r="G98" s="54">
        <f>EXP(Coeffs!$G$12+(Coeffs!$G$5*'Forecast drivers'!D98)+(Coeffs!$G$6*'Forecast drivers'!F98)+(Coeffs!$G$8*'Forecast drivers'!I98)+(Coeffs!$G$9*'Forecast drivers'!J98)+(Coeffs!$G$11*'Forecast drivers'!H98))</f>
        <v>473.02939384084272</v>
      </c>
      <c r="H98" s="54">
        <f>EXP(Coeffs!$H$12+(Coeffs!$H$5*'Forecast drivers'!D98)+(Coeffs!$H$7*'Forecast drivers'!G98)+(Coeffs!$H$8*'Forecast drivers'!I98)+(Coeffs!$H$9*'Forecast drivers'!J98)+(Coeffs!$H$11*'Forecast drivers'!H98))</f>
        <v>457.11279836500745</v>
      </c>
      <c r="J98" s="113">
        <f t="shared" si="25"/>
        <v>176.64625598731786</v>
      </c>
      <c r="K98" s="113">
        <f t="shared" si="26"/>
        <v>286.17055743218111</v>
      </c>
      <c r="L98" s="114">
        <f t="shared" si="27"/>
        <v>462.816813419499</v>
      </c>
      <c r="M98" s="113">
        <f t="shared" si="28"/>
        <v>467.56392557210881</v>
      </c>
      <c r="N98" s="115">
        <f t="shared" si="29"/>
        <v>465.19036949580391</v>
      </c>
      <c r="P98" s="55">
        <f>Controls!$F$5*N98</f>
        <v>445.81333505035803</v>
      </c>
      <c r="Q98" s="107">
        <f>-(INDEX(Controls!$G$12:$G$16,MATCH($B98,Controls!$C$12:$C$16,0),0))*$P98</f>
        <v>-14.874259167661066</v>
      </c>
      <c r="R98" s="115">
        <f t="shared" si="18"/>
        <v>430.93907588269695</v>
      </c>
    </row>
    <row r="99" spans="1:18" s="38" customFormat="1" x14ac:dyDescent="0.2">
      <c r="A99" s="39" t="str">
        <f t="shared" si="19"/>
        <v>SVE</v>
      </c>
      <c r="B99" s="59">
        <v>2024</v>
      </c>
      <c r="C99" s="39" t="s">
        <v>81</v>
      </c>
      <c r="D99" s="54">
        <f>EXP(Coeffs!$D$12+(Coeffs!$D$5*'Forecast drivers'!D99)+(Coeffs!$D$6*'Forecast drivers'!F99)+(Coeffs!$D$8*'Forecast drivers'!I99)+(Coeffs!$D$9*'Forecast drivers'!J99))</f>
        <v>180.09946144891225</v>
      </c>
      <c r="E99" s="54">
        <f>EXP(Coeffs!$E$12+(Coeffs!$E$5*'Forecast drivers'!D99)+(Coeffs!$E$7*'Forecast drivers'!G99)+(Coeffs!$E$8*'Forecast drivers'!I99)+(Coeffs!$E$9*'Forecast drivers'!J99))</f>
        <v>173.97120753040835</v>
      </c>
      <c r="F99" s="54">
        <f>EXP(Coeffs!$F$12+(Coeffs!$F$8*'Forecast drivers'!I99)+(Coeffs!$F$9*'Forecast drivers'!J99)+(Coeffs!$F$10*'Forecast drivers'!E99)+(Coeffs!$F$11*'Forecast drivers'!H99))</f>
        <v>282.23638420124252</v>
      </c>
      <c r="G99" s="54">
        <f>EXP(Coeffs!$G$12+(Coeffs!$G$5*'Forecast drivers'!D99)+(Coeffs!$G$6*'Forecast drivers'!F99)+(Coeffs!$G$8*'Forecast drivers'!I99)+(Coeffs!$G$9*'Forecast drivers'!J99)+(Coeffs!$G$11*'Forecast drivers'!H99))</f>
        <v>476.16521193508828</v>
      </c>
      <c r="H99" s="54">
        <f>EXP(Coeffs!$H$12+(Coeffs!$H$5*'Forecast drivers'!D99)+(Coeffs!$H$7*'Forecast drivers'!G99)+(Coeffs!$H$8*'Forecast drivers'!I99)+(Coeffs!$H$9*'Forecast drivers'!J99)+(Coeffs!$H$11*'Forecast drivers'!H99))</f>
        <v>460.04409218649238</v>
      </c>
      <c r="J99" s="113">
        <f t="shared" si="25"/>
        <v>178.41690711577647</v>
      </c>
      <c r="K99" s="113">
        <f t="shared" si="26"/>
        <v>287.42557001958249</v>
      </c>
      <c r="L99" s="114">
        <f t="shared" si="27"/>
        <v>465.84247713535899</v>
      </c>
      <c r="M99" s="113">
        <f t="shared" si="28"/>
        <v>471.93999016251064</v>
      </c>
      <c r="N99" s="115">
        <f t="shared" si="29"/>
        <v>468.89123364893481</v>
      </c>
      <c r="P99" s="55">
        <f>Controls!$F$5*N99</f>
        <v>449.36004344946747</v>
      </c>
      <c r="Q99" s="107">
        <f>-(INDEX(Controls!$G$12:$G$16,MATCH($B99,Controls!$C$12:$C$16,0),0))*$P99</f>
        <v>-19.868295364201959</v>
      </c>
      <c r="R99" s="115">
        <f t="shared" si="18"/>
        <v>429.4917480852655</v>
      </c>
    </row>
    <row r="100" spans="1:18" s="38" customFormat="1" x14ac:dyDescent="0.2">
      <c r="A100" s="39" t="str">
        <f t="shared" si="19"/>
        <v>SVE</v>
      </c>
      <c r="B100" s="59">
        <v>2025</v>
      </c>
      <c r="C100" s="39" t="s">
        <v>82</v>
      </c>
      <c r="D100" s="54">
        <f>EXP(Coeffs!$D$12+(Coeffs!$D$5*'Forecast drivers'!D100)+(Coeffs!$D$6*'Forecast drivers'!F100)+(Coeffs!$D$8*'Forecast drivers'!I100)+(Coeffs!$D$9*'Forecast drivers'!J100))</f>
        <v>181.22288800482252</v>
      </c>
      <c r="E100" s="54">
        <f>EXP(Coeffs!$E$12+(Coeffs!$E$5*'Forecast drivers'!D100)+(Coeffs!$E$7*'Forecast drivers'!G100)+(Coeffs!$E$8*'Forecast drivers'!I100)+(Coeffs!$E$9*'Forecast drivers'!J100))</f>
        <v>174.9561413452671</v>
      </c>
      <c r="F100" s="54">
        <f>EXP(Coeffs!$F$12+(Coeffs!$F$8*'Forecast drivers'!I100)+(Coeffs!$F$9*'Forecast drivers'!J100)+(Coeffs!$F$10*'Forecast drivers'!E100)+(Coeffs!$F$11*'Forecast drivers'!H100))</f>
        <v>283.9815895509671</v>
      </c>
      <c r="G100" s="54">
        <f>EXP(Coeffs!$G$12+(Coeffs!$G$5*'Forecast drivers'!D100)+(Coeffs!$G$6*'Forecast drivers'!F100)+(Coeffs!$G$8*'Forecast drivers'!I100)+(Coeffs!$G$9*'Forecast drivers'!J100)+(Coeffs!$G$11*'Forecast drivers'!H100))</f>
        <v>479.71690615097208</v>
      </c>
      <c r="H100" s="54">
        <f>EXP(Coeffs!$H$12+(Coeffs!$H$5*'Forecast drivers'!D100)+(Coeffs!$H$7*'Forecast drivers'!G100)+(Coeffs!$H$8*'Forecast drivers'!I100)+(Coeffs!$H$9*'Forecast drivers'!J100)+(Coeffs!$H$11*'Forecast drivers'!H100))</f>
        <v>463.31011335871005</v>
      </c>
      <c r="J100" s="113">
        <f t="shared" si="25"/>
        <v>180.20662876159662</v>
      </c>
      <c r="K100" s="113">
        <f t="shared" si="26"/>
        <v>288.72852063526261</v>
      </c>
      <c r="L100" s="114">
        <f t="shared" si="27"/>
        <v>468.93514939685923</v>
      </c>
      <c r="M100" s="113">
        <f t="shared" si="28"/>
        <v>476.3915045159456</v>
      </c>
      <c r="N100" s="115">
        <f t="shared" si="29"/>
        <v>472.66332695640244</v>
      </c>
      <c r="P100" s="55">
        <f>Controls!$F$5*N100</f>
        <v>452.97501402451599</v>
      </c>
      <c r="Q100" s="107">
        <f>-(INDEX(Controls!$G$12:$G$16,MATCH($B100,Controls!$C$12:$C$16,0),0))*$P100</f>
        <v>-24.805461764158398</v>
      </c>
      <c r="R100" s="115">
        <f t="shared" si="18"/>
        <v>428.16955226035759</v>
      </c>
    </row>
    <row r="101" spans="1:18" s="38" customFormat="1" x14ac:dyDescent="0.2">
      <c r="A101" s="39" t="str">
        <f t="shared" si="19"/>
        <v>HDD</v>
      </c>
      <c r="B101" s="59">
        <v>2021</v>
      </c>
      <c r="C101" s="39" t="s">
        <v>83</v>
      </c>
      <c r="D101" s="54">
        <f>EXP(Coeffs!$D$12+(Coeffs!$D$5*'Forecast drivers'!D101)+(Coeffs!$D$6*'Forecast drivers'!F101)+(Coeffs!$D$8*'Forecast drivers'!I101)+(Coeffs!$D$9*'Forecast drivers'!J101))</f>
        <v>8.172460951009171</v>
      </c>
      <c r="E101" s="54">
        <f>EXP(Coeffs!$E$12+(Coeffs!$E$5*'Forecast drivers'!D101)+(Coeffs!$E$7*'Forecast drivers'!G101)+(Coeffs!$E$8*'Forecast drivers'!I101)+(Coeffs!$E$9*'Forecast drivers'!J101))</f>
        <v>7.3870130227206587</v>
      </c>
      <c r="F101" s="54">
        <f>EXP(Coeffs!$F$12+(Coeffs!$F$8*'Forecast drivers'!I101)+(Coeffs!$F$9*'Forecast drivers'!J101)+(Coeffs!$F$10*'Forecast drivers'!E101)+(Coeffs!$F$11*'Forecast drivers'!H101))</f>
        <v>14.825390964172604</v>
      </c>
      <c r="G101" s="54">
        <f>EXP(Coeffs!$G$12+(Coeffs!$G$5*'Forecast drivers'!D101)+(Coeffs!$G$6*'Forecast drivers'!F101)+(Coeffs!$G$8*'Forecast drivers'!I101)+(Coeffs!$G$9*'Forecast drivers'!J101)+(Coeffs!$G$11*'Forecast drivers'!H101))</f>
        <v>19.353261197440329</v>
      </c>
      <c r="H101" s="54">
        <f>EXP(Coeffs!$H$12+(Coeffs!$H$5*'Forecast drivers'!D101)+(Coeffs!$H$7*'Forecast drivers'!G101)+(Coeffs!$H$8*'Forecast drivers'!I101)+(Coeffs!$H$9*'Forecast drivers'!J101)+(Coeffs!$H$11*'Forecast drivers'!H101))</f>
        <v>19.547941781452867</v>
      </c>
      <c r="J101" s="113">
        <f>J91*((D101*D$4+E101*E$4)/(D101*D$4+E101*E$4+D96*D$4+E96*E$4))</f>
        <v>7.8013414917562374</v>
      </c>
      <c r="K101" s="113">
        <f>K91*((F101*F$4)/(F101*F$4+F96*F$4))</f>
        <v>15.142502592500449</v>
      </c>
      <c r="L101" s="114">
        <f t="shared" si="27"/>
        <v>22.943844084256686</v>
      </c>
      <c r="M101" s="113">
        <f>M91*((G101*G$4+H101*H$4)/(G101*G$4+H101*H$4+G96*G$4+H96*H$4))</f>
        <v>19.585512088190359</v>
      </c>
      <c r="N101" s="116">
        <f>N91*((L101*L$4+M101*M$4)/(L101*L$4+M101*M$4+L96*L$4+M96*M$4))</f>
        <v>21.264678086223523</v>
      </c>
      <c r="P101" s="55">
        <f>Controls!$F$5*N101</f>
        <v>20.378919423174096</v>
      </c>
      <c r="Q101" s="107">
        <f>-(INDEX(Controls!$G$12:$G$16,MATCH($B101,Controls!$C$12:$C$16,0),0))*$P101</f>
        <v>-0.22416811365491504</v>
      </c>
      <c r="R101" s="115">
        <f t="shared" si="18"/>
        <v>20.154751309519181</v>
      </c>
    </row>
    <row r="102" spans="1:18" s="38" customFormat="1" x14ac:dyDescent="0.2">
      <c r="A102" s="39" t="str">
        <f t="shared" si="19"/>
        <v>HDD</v>
      </c>
      <c r="B102" s="59">
        <v>2022</v>
      </c>
      <c r="C102" s="39" t="s">
        <v>84</v>
      </c>
      <c r="D102" s="54">
        <f>EXP(Coeffs!$D$12+(Coeffs!$D$5*'Forecast drivers'!D102)+(Coeffs!$D$6*'Forecast drivers'!F102)+(Coeffs!$D$8*'Forecast drivers'!I102)+(Coeffs!$D$9*'Forecast drivers'!J102))</f>
        <v>8.1907545781222293</v>
      </c>
      <c r="E102" s="54">
        <f>EXP(Coeffs!$E$12+(Coeffs!$E$5*'Forecast drivers'!D102)+(Coeffs!$E$7*'Forecast drivers'!G102)+(Coeffs!$E$8*'Forecast drivers'!I102)+(Coeffs!$E$9*'Forecast drivers'!J102))</f>
        <v>7.4070293989008853</v>
      </c>
      <c r="F102" s="54">
        <f>EXP(Coeffs!$F$12+(Coeffs!$F$8*'Forecast drivers'!I102)+(Coeffs!$F$9*'Forecast drivers'!J102)+(Coeffs!$F$10*'Forecast drivers'!E102)+(Coeffs!$F$11*'Forecast drivers'!H102))</f>
        <v>14.84779455393725</v>
      </c>
      <c r="G102" s="54">
        <f>EXP(Coeffs!$G$12+(Coeffs!$G$5*'Forecast drivers'!D102)+(Coeffs!$G$6*'Forecast drivers'!F102)+(Coeffs!$G$8*'Forecast drivers'!I102)+(Coeffs!$G$9*'Forecast drivers'!J102)+(Coeffs!$G$11*'Forecast drivers'!H102))</f>
        <v>19.38102744565964</v>
      </c>
      <c r="H102" s="54">
        <f>EXP(Coeffs!$H$12+(Coeffs!$H$5*'Forecast drivers'!D102)+(Coeffs!$H$7*'Forecast drivers'!G102)+(Coeffs!$H$8*'Forecast drivers'!I102)+(Coeffs!$H$9*'Forecast drivers'!J102)+(Coeffs!$H$11*'Forecast drivers'!H102))</f>
        <v>19.580013009922826</v>
      </c>
      <c r="J102" s="113">
        <f t="shared" ref="J102:J105" si="30">J92*((D102*D$4+E102*E$4)/(D102*D$4+E102*E$4+D97*D$4+E97*E$4))</f>
        <v>7.8116907635040436</v>
      </c>
      <c r="K102" s="113">
        <f t="shared" ref="K102:K105" si="31">K92*((F102*F$4)/(F102*F$4+F97*F$4))</f>
        <v>15.150564132077752</v>
      </c>
      <c r="L102" s="114">
        <f t="shared" si="27"/>
        <v>22.962254895581797</v>
      </c>
      <c r="M102" s="113">
        <f t="shared" ref="M102:M105" si="32">M92*((G102*G$4+H102*H$4)/(G102*G$4+H102*H$4+G97*G$4+H97*H$4))</f>
        <v>19.574130536399149</v>
      </c>
      <c r="N102" s="116">
        <f t="shared" ref="N102:N105" si="33">N92*((L102*L$4+M102*M$4)/(L102*L$4+M102*M$4+L97*L$4+M97*M$4))</f>
        <v>21.268192715990473</v>
      </c>
      <c r="P102" s="55">
        <f>Controls!$F$5*N102</f>
        <v>20.382287654592066</v>
      </c>
      <c r="Q102" s="107">
        <f>-(INDEX(Controls!$G$12:$G$16,MATCH($B102,Controls!$C$12:$C$16,0),0))*$P102</f>
        <v>-0.45293723448910628</v>
      </c>
      <c r="R102" s="115">
        <f t="shared" si="18"/>
        <v>19.92935042010296</v>
      </c>
    </row>
    <row r="103" spans="1:18" s="38" customFormat="1" x14ac:dyDescent="0.2">
      <c r="A103" s="39" t="str">
        <f t="shared" si="19"/>
        <v>HDD</v>
      </c>
      <c r="B103" s="59">
        <v>2023</v>
      </c>
      <c r="C103" s="39" t="s">
        <v>85</v>
      </c>
      <c r="D103" s="54">
        <f>EXP(Coeffs!$D$12+(Coeffs!$D$5*'Forecast drivers'!D103)+(Coeffs!$D$6*'Forecast drivers'!F103)+(Coeffs!$D$8*'Forecast drivers'!I103)+(Coeffs!$D$9*'Forecast drivers'!J103))</f>
        <v>8.211616981669458</v>
      </c>
      <c r="E103" s="54">
        <f>EXP(Coeffs!$E$12+(Coeffs!$E$5*'Forecast drivers'!D103)+(Coeffs!$E$7*'Forecast drivers'!G103)+(Coeffs!$E$8*'Forecast drivers'!I103)+(Coeffs!$E$9*'Forecast drivers'!J103))</f>
        <v>7.4297841467786876</v>
      </c>
      <c r="F103" s="54">
        <f>EXP(Coeffs!$F$12+(Coeffs!$F$8*'Forecast drivers'!I103)+(Coeffs!$F$9*'Forecast drivers'!J103)+(Coeffs!$F$10*'Forecast drivers'!E103)+(Coeffs!$F$11*'Forecast drivers'!H103))</f>
        <v>14.870710966940276</v>
      </c>
      <c r="G103" s="54">
        <f>EXP(Coeffs!$G$12+(Coeffs!$G$5*'Forecast drivers'!D103)+(Coeffs!$G$6*'Forecast drivers'!F103)+(Coeffs!$G$8*'Forecast drivers'!I103)+(Coeffs!$G$9*'Forecast drivers'!J103)+(Coeffs!$G$11*'Forecast drivers'!H103))</f>
        <v>19.414944688686873</v>
      </c>
      <c r="H103" s="54">
        <f>EXP(Coeffs!$H$12+(Coeffs!$H$5*'Forecast drivers'!D103)+(Coeffs!$H$7*'Forecast drivers'!G103)+(Coeffs!$H$8*'Forecast drivers'!I103)+(Coeffs!$H$9*'Forecast drivers'!J103)+(Coeffs!$H$11*'Forecast drivers'!H103))</f>
        <v>19.619724948990072</v>
      </c>
      <c r="J103" s="113">
        <f t="shared" si="30"/>
        <v>7.8464891982555258</v>
      </c>
      <c r="K103" s="113">
        <f t="shared" si="31"/>
        <v>15.159056181470898</v>
      </c>
      <c r="L103" s="114">
        <f t="shared" si="27"/>
        <v>23.005545379726424</v>
      </c>
      <c r="M103" s="113">
        <f t="shared" si="32"/>
        <v>19.621949764389846</v>
      </c>
      <c r="N103" s="116">
        <f t="shared" si="33"/>
        <v>21.313747572058134</v>
      </c>
      <c r="P103" s="55">
        <f>Controls!$F$5*N103</f>
        <v>20.425944969194845</v>
      </c>
      <c r="Q103" s="107">
        <f>-(INDEX(Controls!$G$12:$G$16,MATCH($B103,Controls!$C$12:$C$16,0),0))*$P103</f>
        <v>-0.68149778243369041</v>
      </c>
      <c r="R103" s="115">
        <f t="shared" si="18"/>
        <v>19.744447186761153</v>
      </c>
    </row>
    <row r="104" spans="1:18" s="38" customFormat="1" x14ac:dyDescent="0.2">
      <c r="A104" s="39" t="str">
        <f t="shared" si="19"/>
        <v>HDD</v>
      </c>
      <c r="B104" s="59">
        <v>2024</v>
      </c>
      <c r="C104" s="39" t="s">
        <v>86</v>
      </c>
      <c r="D104" s="54">
        <f>EXP(Coeffs!$D$12+(Coeffs!$D$5*'Forecast drivers'!D104)+(Coeffs!$D$6*'Forecast drivers'!F104)+(Coeffs!$D$8*'Forecast drivers'!I104)+(Coeffs!$D$9*'Forecast drivers'!J104))</f>
        <v>8.2331942456078142</v>
      </c>
      <c r="E104" s="54">
        <f>EXP(Coeffs!$E$12+(Coeffs!$E$5*'Forecast drivers'!D104)+(Coeffs!$E$7*'Forecast drivers'!G104)+(Coeffs!$E$8*'Forecast drivers'!I104)+(Coeffs!$E$9*'Forecast drivers'!J104))</f>
        <v>7.4532006131061888</v>
      </c>
      <c r="F104" s="54">
        <f>EXP(Coeffs!$F$12+(Coeffs!$F$8*'Forecast drivers'!I104)+(Coeffs!$F$9*'Forecast drivers'!J104)+(Coeffs!$F$10*'Forecast drivers'!E104)+(Coeffs!$F$11*'Forecast drivers'!H104))</f>
        <v>14.893749580096431</v>
      </c>
      <c r="G104" s="54">
        <f>EXP(Coeffs!$G$12+(Coeffs!$G$5*'Forecast drivers'!D104)+(Coeffs!$G$6*'Forecast drivers'!F104)+(Coeffs!$G$8*'Forecast drivers'!I104)+(Coeffs!$G$9*'Forecast drivers'!J104)+(Coeffs!$G$11*'Forecast drivers'!H104))</f>
        <v>19.45058807944028</v>
      </c>
      <c r="H104" s="54">
        <f>EXP(Coeffs!$H$12+(Coeffs!$H$5*'Forecast drivers'!D104)+(Coeffs!$H$7*'Forecast drivers'!G104)+(Coeffs!$H$8*'Forecast drivers'!I104)+(Coeffs!$H$9*'Forecast drivers'!J104)+(Coeffs!$H$11*'Forecast drivers'!H104))</f>
        <v>19.661239269113786</v>
      </c>
      <c r="J104" s="113">
        <f t="shared" si="30"/>
        <v>7.9044052492583852</v>
      </c>
      <c r="K104" s="113">
        <f t="shared" si="31"/>
        <v>15.167585408604765</v>
      </c>
      <c r="L104" s="114">
        <f t="shared" si="27"/>
        <v>23.07199065786315</v>
      </c>
      <c r="M104" s="113">
        <f t="shared" si="32"/>
        <v>19.71614182090773</v>
      </c>
      <c r="N104" s="116">
        <f t="shared" si="33"/>
        <v>21.394066239385438</v>
      </c>
      <c r="P104" s="55">
        <f>Controls!$F$5*N104</f>
        <v>20.502918043652073</v>
      </c>
      <c r="Q104" s="107">
        <f>-(INDEX(Controls!$G$12:$G$16,MATCH($B104,Controls!$C$12:$C$16,0),0))*$P104</f>
        <v>-0.90652926858441174</v>
      </c>
      <c r="R104" s="115">
        <f t="shared" si="18"/>
        <v>19.596388775067663</v>
      </c>
    </row>
    <row r="105" spans="1:18" s="38" customFormat="1" x14ac:dyDescent="0.2">
      <c r="A105" s="39" t="str">
        <f t="shared" si="19"/>
        <v>HDD</v>
      </c>
      <c r="B105" s="59">
        <v>2025</v>
      </c>
      <c r="C105" s="39" t="s">
        <v>87</v>
      </c>
      <c r="D105" s="54">
        <f>EXP(Coeffs!$D$12+(Coeffs!$D$5*'Forecast drivers'!D105)+(Coeffs!$D$6*'Forecast drivers'!F105)+(Coeffs!$D$8*'Forecast drivers'!I105)+(Coeffs!$D$9*'Forecast drivers'!J105))</f>
        <v>8.2555862661986072</v>
      </c>
      <c r="E105" s="54">
        <f>EXP(Coeffs!$E$12+(Coeffs!$E$5*'Forecast drivers'!D105)+(Coeffs!$E$7*'Forecast drivers'!G105)+(Coeffs!$E$8*'Forecast drivers'!I105)+(Coeffs!$E$9*'Forecast drivers'!J105))</f>
        <v>7.4769371304649184</v>
      </c>
      <c r="F105" s="54">
        <f>EXP(Coeffs!$F$12+(Coeffs!$F$8*'Forecast drivers'!I105)+(Coeffs!$F$9*'Forecast drivers'!J105)+(Coeffs!$F$10*'Forecast drivers'!E105)+(Coeffs!$F$11*'Forecast drivers'!H105))</f>
        <v>14.917015333874717</v>
      </c>
      <c r="G105" s="54">
        <f>EXP(Coeffs!$G$12+(Coeffs!$G$5*'Forecast drivers'!D105)+(Coeffs!$G$6*'Forecast drivers'!F105)+(Coeffs!$G$8*'Forecast drivers'!I105)+(Coeffs!$G$9*'Forecast drivers'!J105)+(Coeffs!$G$11*'Forecast drivers'!H105))</f>
        <v>19.48817518271332</v>
      </c>
      <c r="H105" s="54">
        <f>EXP(Coeffs!$H$12+(Coeffs!$H$5*'Forecast drivers'!D105)+(Coeffs!$H$7*'Forecast drivers'!G105)+(Coeffs!$H$8*'Forecast drivers'!I105)+(Coeffs!$H$9*'Forecast drivers'!J105)+(Coeffs!$H$11*'Forecast drivers'!H105))</f>
        <v>19.703457727979508</v>
      </c>
      <c r="J105" s="113">
        <f t="shared" si="30"/>
        <v>7.9597751961950651</v>
      </c>
      <c r="K105" s="113">
        <f t="shared" si="31"/>
        <v>15.166362637991325</v>
      </c>
      <c r="L105" s="114">
        <f t="shared" si="27"/>
        <v>23.126137834186391</v>
      </c>
      <c r="M105" s="113">
        <f t="shared" si="32"/>
        <v>19.798542969075463</v>
      </c>
      <c r="N105" s="116">
        <f t="shared" si="33"/>
        <v>21.462340401630925</v>
      </c>
      <c r="P105" s="55">
        <f>Controls!$F$5*N105</f>
        <v>20.568348314707382</v>
      </c>
      <c r="Q105" s="107">
        <f>-(INDEX(Controls!$G$12:$G$16,MATCH($B105,Controls!$C$12:$C$16,0),0))*$P105</f>
        <v>-1.1263477275255458</v>
      </c>
      <c r="R105" s="115">
        <f t="shared" si="18"/>
        <v>19.442000587181838</v>
      </c>
    </row>
    <row r="107" spans="1:18" x14ac:dyDescent="0.2">
      <c r="K107" s="112"/>
    </row>
  </sheetData>
  <conditionalFormatting sqref="W6:W21">
    <cfRule type="colorScale" priority="1">
      <colorScale>
        <cfvo type="min"/>
        <cfvo type="percentile" val="50"/>
        <cfvo type="max"/>
        <color theme="7"/>
        <color rgb="FFFFC000"/>
        <color theme="9"/>
      </colorScale>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K110"/>
  <sheetViews>
    <sheetView showGridLines="0" zoomScale="70" zoomScaleNormal="70" workbookViewId="0">
      <pane xSplit="2" ySplit="2" topLeftCell="C3" activePane="bottomRight" state="frozen"/>
      <selection pane="topRight" activeCell="C1" sqref="C1"/>
      <selection pane="bottomLeft" activeCell="A6" sqref="A6"/>
      <selection pane="bottomRight"/>
    </sheetView>
  </sheetViews>
  <sheetFormatPr defaultColWidth="9" defaultRowHeight="12.75" x14ac:dyDescent="0.2"/>
  <cols>
    <col min="1" max="1" width="1.625" style="5" customWidth="1"/>
    <col min="2" max="2" width="21" style="5" bestFit="1" customWidth="1"/>
    <col min="3" max="3" width="9" style="5"/>
    <col min="4" max="4" width="10.875" style="5" customWidth="1"/>
    <col min="5" max="5" width="10.625" style="5" bestFit="1" customWidth="1"/>
    <col min="6" max="6" width="9" style="5"/>
    <col min="7" max="7" width="10.625" style="5" customWidth="1"/>
    <col min="8" max="11" width="9" style="5"/>
    <col min="12" max="12" width="10.125" style="5" bestFit="1" customWidth="1"/>
    <col min="13" max="13" width="8.375" style="5" bestFit="1" customWidth="1"/>
    <col min="14" max="14" width="10.625" style="5" customWidth="1"/>
    <col min="15" max="15" width="10.375" style="5" customWidth="1"/>
    <col min="16" max="16" width="10.125" style="5" customWidth="1"/>
    <col min="17" max="17" width="11.5" style="5" customWidth="1"/>
    <col min="18" max="23" width="9" style="5"/>
    <col min="24" max="24" width="15.625" style="5" customWidth="1"/>
    <col min="25" max="25" width="49.125" style="5" customWidth="1"/>
    <col min="26" max="26" width="15.625" style="5" customWidth="1"/>
    <col min="27" max="37" width="17.625" style="5" customWidth="1"/>
    <col min="38" max="16384" width="9" style="5"/>
  </cols>
  <sheetData>
    <row r="1" spans="1:37" ht="23.25" customHeight="1" x14ac:dyDescent="0.2">
      <c r="A1" s="213" t="s">
        <v>150</v>
      </c>
    </row>
    <row r="3" spans="1:37" ht="32.1" customHeight="1" x14ac:dyDescent="0.2">
      <c r="C3" s="159"/>
      <c r="D3" s="159"/>
      <c r="E3" s="159"/>
      <c r="F3" s="160"/>
      <c r="G3" s="159"/>
      <c r="H3" s="159"/>
      <c r="I3" s="159"/>
      <c r="J3" s="160"/>
      <c r="K3" s="159"/>
      <c r="L3" s="159"/>
      <c r="M3" s="159"/>
      <c r="N3" s="159"/>
      <c r="O3" s="159"/>
      <c r="P3" s="159"/>
      <c r="Q3" s="159"/>
      <c r="R3" s="159"/>
      <c r="S3" s="159"/>
      <c r="T3" s="159"/>
      <c r="U3" s="159"/>
      <c r="V3" s="159"/>
      <c r="W3" s="159"/>
      <c r="X3" s="243" t="s">
        <v>419</v>
      </c>
      <c r="Y3" s="244"/>
      <c r="Z3" s="244"/>
      <c r="AA3" s="244"/>
      <c r="AB3" s="244"/>
      <c r="AC3" s="244"/>
      <c r="AD3" s="244"/>
      <c r="AE3" s="244"/>
      <c r="AF3" s="244"/>
      <c r="AG3" s="244"/>
      <c r="AH3" s="244"/>
      <c r="AI3" s="244"/>
      <c r="AJ3" s="244"/>
      <c r="AK3" s="245"/>
    </row>
    <row r="4" spans="1:37" s="19" customFormat="1" ht="36" customHeight="1" x14ac:dyDescent="0.2">
      <c r="B4" s="201" t="s">
        <v>272</v>
      </c>
      <c r="C4" s="196" t="s">
        <v>359</v>
      </c>
      <c r="D4" s="196"/>
      <c r="E4" s="196"/>
      <c r="F4" s="179" t="s">
        <v>277</v>
      </c>
      <c r="G4" s="180"/>
      <c r="H4" s="180"/>
      <c r="I4" s="179" t="s">
        <v>278</v>
      </c>
      <c r="J4" s="180"/>
      <c r="K4" s="180"/>
      <c r="X4" s="246"/>
      <c r="Y4" s="247"/>
      <c r="Z4" s="247"/>
      <c r="AA4" s="247"/>
      <c r="AB4" s="247"/>
      <c r="AC4" s="247"/>
      <c r="AD4" s="247"/>
      <c r="AE4" s="247"/>
      <c r="AF4" s="247"/>
      <c r="AG4" s="247"/>
      <c r="AH4" s="247"/>
      <c r="AI4" s="247"/>
      <c r="AJ4" s="247"/>
      <c r="AK4" s="248"/>
    </row>
    <row r="5" spans="1:37" s="19" customFormat="1" ht="39.75" customHeight="1" x14ac:dyDescent="0.2">
      <c r="B5" s="35" t="s">
        <v>20</v>
      </c>
      <c r="C5" s="35" t="s">
        <v>123</v>
      </c>
      <c r="D5" s="35" t="s">
        <v>374</v>
      </c>
      <c r="E5" s="35" t="s">
        <v>112</v>
      </c>
      <c r="F5" s="35" t="s">
        <v>123</v>
      </c>
      <c r="G5" s="35" t="s">
        <v>374</v>
      </c>
      <c r="H5" s="35" t="s">
        <v>112</v>
      </c>
      <c r="I5" s="35" t="s">
        <v>123</v>
      </c>
      <c r="J5" s="35" t="s">
        <v>374</v>
      </c>
      <c r="K5" s="35" t="s">
        <v>112</v>
      </c>
      <c r="L5" s="187"/>
      <c r="M5" s="187"/>
      <c r="N5" s="187"/>
      <c r="O5" s="187"/>
      <c r="P5" s="187"/>
      <c r="Q5" s="187"/>
      <c r="R5" s="187"/>
      <c r="S5" s="187"/>
      <c r="T5" s="187"/>
      <c r="U5" s="187"/>
      <c r="V5" s="187"/>
      <c r="W5" s="187"/>
      <c r="X5" s="227" t="s">
        <v>413</v>
      </c>
      <c r="Y5" s="223" t="s">
        <v>414</v>
      </c>
      <c r="Z5" s="228" t="s">
        <v>417</v>
      </c>
      <c r="AA5" s="224" t="s">
        <v>415</v>
      </c>
      <c r="AB5" s="224"/>
      <c r="AC5" s="224"/>
      <c r="AD5" s="225"/>
      <c r="AE5" s="225"/>
      <c r="AF5" s="225"/>
      <c r="AG5" s="225"/>
      <c r="AH5" s="225"/>
      <c r="AI5" s="225"/>
      <c r="AJ5" s="225"/>
      <c r="AK5" s="226"/>
    </row>
    <row r="6" spans="1:37" s="19" customFormat="1" ht="12.95" customHeight="1" x14ac:dyDescent="0.2">
      <c r="B6" s="182" t="s">
        <v>4</v>
      </c>
      <c r="C6" s="68">
        <f>SUMIF('BP costs'!$B$7:$B$96,$B6,'BP costs'!AA$7:AA$96)</f>
        <v>303.60879632300004</v>
      </c>
      <c r="D6" s="68">
        <f>SUMIF('BP costs'!$B$7:$B$96,$B6,'BP costs'!AF$7:AF$96)</f>
        <v>2541.4982122700003</v>
      </c>
      <c r="E6" s="68">
        <f>C6+D6</f>
        <v>2845.1070085930005</v>
      </c>
      <c r="F6" s="68">
        <f>S29+P51</f>
        <v>264.29829775072739</v>
      </c>
      <c r="G6" s="68">
        <f t="shared" ref="G6:H22" si="0">T29+Q51</f>
        <v>1810.4132850776923</v>
      </c>
      <c r="H6" s="68">
        <f t="shared" si="0"/>
        <v>2074.7115828284195</v>
      </c>
      <c r="I6" s="68">
        <f t="shared" ref="I6:I22" si="1">F6+O72</f>
        <v>290.19000978170237</v>
      </c>
      <c r="J6" s="68">
        <f t="shared" ref="J6:K22" si="2">G6+P72</f>
        <v>1906.4204727008907</v>
      </c>
      <c r="K6" s="68">
        <f t="shared" si="2"/>
        <v>2196.6104824825929</v>
      </c>
      <c r="L6" s="199"/>
      <c r="M6" s="200"/>
      <c r="N6" s="32"/>
      <c r="O6" s="32"/>
      <c r="P6" s="32"/>
      <c r="Q6" s="32"/>
      <c r="R6" s="32"/>
      <c r="S6" s="32"/>
      <c r="T6" s="32"/>
      <c r="U6" s="32"/>
      <c r="V6" s="32"/>
      <c r="W6" s="32"/>
      <c r="X6" s="223" t="s">
        <v>4</v>
      </c>
      <c r="Y6" s="233" t="s">
        <v>416</v>
      </c>
      <c r="Z6" s="229">
        <v>9.76400000000001</v>
      </c>
      <c r="AA6" s="234" t="s">
        <v>420</v>
      </c>
      <c r="AB6" s="230"/>
      <c r="AC6" s="230"/>
      <c r="AD6" s="231"/>
      <c r="AE6" s="221"/>
      <c r="AF6" s="221"/>
      <c r="AG6" s="221"/>
      <c r="AH6" s="221"/>
      <c r="AI6" s="221"/>
      <c r="AJ6" s="221"/>
      <c r="AK6" s="222"/>
    </row>
    <row r="7" spans="1:37" s="19" customFormat="1" x14ac:dyDescent="0.2">
      <c r="B7" s="182" t="s">
        <v>90</v>
      </c>
      <c r="C7" s="68">
        <f>SUMIF('BP costs'!$B$7:$B$96,$B7,'BP costs'!AA$7:AA$96)</f>
        <v>17.977052482231922</v>
      </c>
      <c r="D7" s="68">
        <f>SUMIF('BP costs'!$B$7:$B$96,$B7,'BP costs'!AF$7:AF$96)</f>
        <v>101.80901441083277</v>
      </c>
      <c r="E7" s="68">
        <f t="shared" ref="E7:E22" si="3">C7+D7</f>
        <v>119.7860668930647</v>
      </c>
      <c r="F7" s="68">
        <f t="shared" ref="F7:F22" si="4">S30+P52</f>
        <v>18.389445801211167</v>
      </c>
      <c r="G7" s="68">
        <f t="shared" si="0"/>
        <v>102.94052411020593</v>
      </c>
      <c r="H7" s="68">
        <f t="shared" si="0"/>
        <v>121.32996991141709</v>
      </c>
      <c r="I7" s="68">
        <f t="shared" si="1"/>
        <v>25.655839291223046</v>
      </c>
      <c r="J7" s="68">
        <f t="shared" si="2"/>
        <v>112.68891234708765</v>
      </c>
      <c r="K7" s="68">
        <f t="shared" si="2"/>
        <v>138.3447516383107</v>
      </c>
      <c r="L7" s="199"/>
      <c r="M7" s="200"/>
      <c r="N7" s="188"/>
      <c r="O7" s="188"/>
      <c r="P7" s="188"/>
      <c r="Q7" s="188"/>
      <c r="R7" s="188"/>
      <c r="S7" s="188"/>
      <c r="T7" s="188"/>
      <c r="U7" s="188"/>
      <c r="V7" s="188"/>
      <c r="W7" s="188"/>
      <c r="X7" s="223" t="s">
        <v>5</v>
      </c>
      <c r="Y7" s="233" t="s">
        <v>418</v>
      </c>
      <c r="Z7" s="229">
        <v>15.853999999999999</v>
      </c>
      <c r="AA7" s="234" t="s">
        <v>421</v>
      </c>
      <c r="AB7" s="230"/>
      <c r="AC7" s="230"/>
      <c r="AD7" s="230"/>
      <c r="AE7" s="232"/>
      <c r="AF7" s="232"/>
      <c r="AG7" s="232"/>
      <c r="AH7" s="221"/>
      <c r="AI7" s="221"/>
      <c r="AJ7" s="221"/>
      <c r="AK7" s="222"/>
    </row>
    <row r="8" spans="1:37" s="19" customFormat="1" x14ac:dyDescent="0.2">
      <c r="B8" s="182" t="s">
        <v>5</v>
      </c>
      <c r="C8" s="68">
        <f>SUMIF('BP costs'!$B$7:$B$96,$B8,'BP costs'!AA$7:AA$96)</f>
        <v>262.94</v>
      </c>
      <c r="D8" s="68">
        <f>SUMIF('BP costs'!$B$7:$B$96,$B8,'BP costs'!AF$7:AF$96)</f>
        <v>1453.7280000000001</v>
      </c>
      <c r="E8" s="68">
        <f t="shared" si="3"/>
        <v>1716.6680000000001</v>
      </c>
      <c r="F8" s="68">
        <f t="shared" si="4"/>
        <v>261.53740505844377</v>
      </c>
      <c r="G8" s="68">
        <f t="shared" si="0"/>
        <v>1349.6413327818138</v>
      </c>
      <c r="H8" s="68">
        <f t="shared" si="0"/>
        <v>1611.1787378402578</v>
      </c>
      <c r="I8" s="68">
        <f t="shared" si="1"/>
        <v>287.94322374533226</v>
      </c>
      <c r="J8" s="68">
        <f t="shared" si="2"/>
        <v>1389.6345017896522</v>
      </c>
      <c r="K8" s="68">
        <f t="shared" si="2"/>
        <v>1677.5777255349847</v>
      </c>
      <c r="L8" s="199"/>
      <c r="M8" s="200"/>
      <c r="N8" s="188"/>
      <c r="O8" s="188"/>
      <c r="P8" s="188"/>
      <c r="Q8" s="188"/>
      <c r="R8" s="188"/>
      <c r="S8" s="188"/>
      <c r="T8" s="188"/>
      <c r="U8" s="188"/>
      <c r="V8" s="188"/>
      <c r="W8" s="188"/>
      <c r="X8" s="223" t="s">
        <v>6</v>
      </c>
      <c r="Y8" s="233" t="s">
        <v>376</v>
      </c>
      <c r="Z8" s="229">
        <v>8.9072174223187091</v>
      </c>
      <c r="AA8" s="234" t="s">
        <v>422</v>
      </c>
      <c r="AB8" s="230"/>
      <c r="AC8" s="230"/>
      <c r="AD8" s="230"/>
      <c r="AE8" s="232"/>
      <c r="AF8" s="232"/>
      <c r="AG8" s="232"/>
      <c r="AH8" s="221"/>
      <c r="AI8" s="221"/>
      <c r="AJ8" s="221"/>
      <c r="AK8" s="222"/>
    </row>
    <row r="9" spans="1:37" s="19" customFormat="1" x14ac:dyDescent="0.2">
      <c r="B9" s="182" t="s">
        <v>6</v>
      </c>
      <c r="C9" s="68">
        <f>SUMIF('BP costs'!$B$7:$B$96,$B9,'BP costs'!AA$7:AA$96)</f>
        <v>374.40075318705692</v>
      </c>
      <c r="D9" s="68">
        <f>SUMIF('BP costs'!$B$7:$B$96,$B9,'BP costs'!AF$7:AF$96)</f>
        <v>2144.955167732679</v>
      </c>
      <c r="E9" s="68">
        <f t="shared" si="3"/>
        <v>2519.355920919736</v>
      </c>
      <c r="F9" s="68">
        <f t="shared" si="4"/>
        <v>381.48990965495113</v>
      </c>
      <c r="G9" s="68">
        <f t="shared" si="0"/>
        <v>2116.344788724984</v>
      </c>
      <c r="H9" s="68">
        <f t="shared" si="0"/>
        <v>2497.8346983799347</v>
      </c>
      <c r="I9" s="68">
        <f t="shared" si="1"/>
        <v>412.11167194028974</v>
      </c>
      <c r="J9" s="68">
        <f t="shared" si="2"/>
        <v>2126.5197694803105</v>
      </c>
      <c r="K9" s="68">
        <f t="shared" si="2"/>
        <v>2538.6314414205999</v>
      </c>
      <c r="L9" s="199"/>
      <c r="M9" s="200"/>
      <c r="N9" s="188"/>
      <c r="O9" s="188"/>
      <c r="P9" s="188"/>
      <c r="Q9" s="188"/>
      <c r="R9" s="188"/>
      <c r="S9" s="188"/>
      <c r="T9" s="188"/>
      <c r="U9" s="188"/>
      <c r="V9" s="188"/>
      <c r="W9" s="188"/>
      <c r="X9" s="223" t="s">
        <v>6</v>
      </c>
      <c r="Y9" s="233" t="s">
        <v>403</v>
      </c>
      <c r="Z9" s="229">
        <v>63.143412922171763</v>
      </c>
      <c r="AA9" s="234" t="s">
        <v>423</v>
      </c>
      <c r="AB9" s="230"/>
      <c r="AC9" s="230"/>
      <c r="AD9" s="230"/>
      <c r="AE9" s="232"/>
      <c r="AF9" s="232"/>
      <c r="AG9" s="232"/>
      <c r="AH9" s="221"/>
      <c r="AI9" s="221"/>
      <c r="AJ9" s="221"/>
      <c r="AK9" s="222"/>
    </row>
    <row r="10" spans="1:37" s="19" customFormat="1" x14ac:dyDescent="0.2">
      <c r="B10" s="182" t="s">
        <v>7</v>
      </c>
      <c r="C10" s="68">
        <f>SUMIF('BP costs'!$B$7:$B$96,$B10,'BP costs'!AA$7:AA$96)</f>
        <v>117.51300000000001</v>
      </c>
      <c r="D10" s="68">
        <f>SUMIF('BP costs'!$B$7:$B$96,$B10,'BP costs'!AF$7:AF$96)</f>
        <v>1062.2260000000001</v>
      </c>
      <c r="E10" s="68">
        <f t="shared" si="3"/>
        <v>1179.739</v>
      </c>
      <c r="F10" s="68">
        <f t="shared" si="4"/>
        <v>123.35346915603603</v>
      </c>
      <c r="G10" s="68">
        <f t="shared" si="0"/>
        <v>900.59291494696072</v>
      </c>
      <c r="H10" s="68">
        <f t="shared" si="0"/>
        <v>1023.9463841029968</v>
      </c>
      <c r="I10" s="68">
        <f t="shared" si="1"/>
        <v>169.68634500208998</v>
      </c>
      <c r="J10" s="68">
        <f t="shared" si="2"/>
        <v>983.49627019648472</v>
      </c>
      <c r="K10" s="68">
        <f t="shared" si="2"/>
        <v>1153.1826151985747</v>
      </c>
      <c r="L10" s="199"/>
      <c r="M10" s="200"/>
      <c r="N10" s="188"/>
      <c r="O10" s="188"/>
      <c r="P10" s="188"/>
      <c r="Q10" s="188"/>
      <c r="R10" s="188"/>
      <c r="S10" s="188"/>
      <c r="T10" s="188"/>
      <c r="U10" s="188"/>
      <c r="V10" s="188"/>
      <c r="W10" s="188"/>
      <c r="X10" s="223" t="s">
        <v>89</v>
      </c>
      <c r="Y10" s="233" t="s">
        <v>376</v>
      </c>
      <c r="Z10" s="229">
        <v>24.509014454268666</v>
      </c>
      <c r="AA10" s="234" t="s">
        <v>424</v>
      </c>
      <c r="AB10" s="230"/>
      <c r="AC10" s="230"/>
      <c r="AD10" s="230"/>
      <c r="AE10" s="232"/>
      <c r="AF10" s="232"/>
      <c r="AG10" s="232"/>
      <c r="AH10" s="221"/>
      <c r="AI10" s="221"/>
      <c r="AJ10" s="221"/>
      <c r="AK10" s="222"/>
    </row>
    <row r="11" spans="1:37" s="19" customFormat="1" x14ac:dyDescent="0.2">
      <c r="B11" s="182" t="s">
        <v>89</v>
      </c>
      <c r="C11" s="68">
        <f>SUMIF('BP costs'!$B$7:$B$96,$B11,'BP costs'!AA$7:AA$96)</f>
        <v>352.31776726775604</v>
      </c>
      <c r="D11" s="68">
        <f>SUMIF('BP costs'!$B$7:$B$96,$B11,'BP costs'!AF$7:AF$96)</f>
        <v>2819.9857659966274</v>
      </c>
      <c r="E11" s="68">
        <f t="shared" si="3"/>
        <v>3172.3035332643835</v>
      </c>
      <c r="F11" s="68">
        <f t="shared" si="4"/>
        <v>336.30736370907425</v>
      </c>
      <c r="G11" s="68">
        <f t="shared" si="0"/>
        <v>2513.1463271491361</v>
      </c>
      <c r="H11" s="68">
        <f t="shared" si="0"/>
        <v>2849.4536908582104</v>
      </c>
      <c r="I11" s="68">
        <f t="shared" si="1"/>
        <v>390.74869222488928</v>
      </c>
      <c r="J11" s="68">
        <f t="shared" si="2"/>
        <v>2571.7580660875801</v>
      </c>
      <c r="K11" s="68">
        <f t="shared" si="2"/>
        <v>2962.5067583124696</v>
      </c>
      <c r="L11" s="199"/>
      <c r="M11" s="200"/>
      <c r="N11" s="188"/>
      <c r="O11" s="188"/>
      <c r="P11" s="188"/>
      <c r="Q11" s="188"/>
      <c r="R11" s="188"/>
      <c r="S11" s="188"/>
      <c r="T11" s="188"/>
      <c r="U11" s="188"/>
      <c r="V11" s="188"/>
      <c r="W11" s="188"/>
      <c r="X11" s="223" t="s">
        <v>19</v>
      </c>
      <c r="Y11" s="233" t="s">
        <v>418</v>
      </c>
      <c r="Z11" s="229">
        <v>20</v>
      </c>
      <c r="AA11" s="234" t="s">
        <v>425</v>
      </c>
      <c r="AB11" s="230"/>
      <c r="AC11" s="230"/>
      <c r="AD11" s="230"/>
      <c r="AE11" s="232"/>
      <c r="AF11" s="232"/>
      <c r="AG11" s="232"/>
      <c r="AH11" s="221"/>
      <c r="AI11" s="221"/>
      <c r="AJ11" s="221"/>
      <c r="AK11" s="222"/>
    </row>
    <row r="12" spans="1:37" s="19" customFormat="1" x14ac:dyDescent="0.2">
      <c r="B12" s="182" t="s">
        <v>19</v>
      </c>
      <c r="C12" s="68">
        <f>SUMIF('BP costs'!$B$7:$B$96,$B12,'BP costs'!AA$7:AA$96)</f>
        <v>79.905000000000001</v>
      </c>
      <c r="D12" s="68">
        <f>SUMIF('BP costs'!$B$7:$B$96,$B12,'BP costs'!AF$7:AF$96)</f>
        <v>826.16500000000008</v>
      </c>
      <c r="E12" s="68">
        <f t="shared" si="3"/>
        <v>906.07</v>
      </c>
      <c r="F12" s="68">
        <f t="shared" si="4"/>
        <v>76.994648565211207</v>
      </c>
      <c r="G12" s="68">
        <f t="shared" si="0"/>
        <v>812.99990349584118</v>
      </c>
      <c r="H12" s="68">
        <f t="shared" si="0"/>
        <v>889.99455206105222</v>
      </c>
      <c r="I12" s="68">
        <f t="shared" si="1"/>
        <v>77.860689918262665</v>
      </c>
      <c r="J12" s="68">
        <f t="shared" si="2"/>
        <v>847.50952597818093</v>
      </c>
      <c r="K12" s="68">
        <f t="shared" si="2"/>
        <v>925.37021589644337</v>
      </c>
      <c r="L12" s="199"/>
      <c r="M12" s="200"/>
      <c r="N12" s="188"/>
      <c r="O12" s="188"/>
      <c r="P12" s="188"/>
      <c r="Q12" s="188"/>
      <c r="R12" s="188"/>
      <c r="S12" s="188"/>
      <c r="T12" s="188"/>
      <c r="U12" s="188"/>
      <c r="V12" s="188"/>
      <c r="W12" s="188"/>
      <c r="X12" s="223" t="s">
        <v>9</v>
      </c>
      <c r="Y12" s="233" t="s">
        <v>416</v>
      </c>
      <c r="Z12" s="229">
        <v>20.626682999999986</v>
      </c>
      <c r="AA12" s="234" t="s">
        <v>426</v>
      </c>
      <c r="AB12" s="230"/>
      <c r="AC12" s="230"/>
      <c r="AD12" s="230"/>
      <c r="AE12" s="232"/>
      <c r="AF12" s="232"/>
      <c r="AG12" s="232"/>
      <c r="AH12" s="221"/>
      <c r="AI12" s="221"/>
      <c r="AJ12" s="221"/>
      <c r="AK12" s="222"/>
    </row>
    <row r="13" spans="1:37" s="19" customFormat="1" x14ac:dyDescent="0.2">
      <c r="B13" s="182" t="s">
        <v>9</v>
      </c>
      <c r="C13" s="68">
        <f>SUMIF('BP costs'!$B$7:$B$96,$B13,'BP costs'!AA$7:AA$96)</f>
        <v>536.8786243475231</v>
      </c>
      <c r="D13" s="68">
        <f>SUMIF('BP costs'!$B$7:$B$96,$B13,'BP costs'!AF$7:AF$96)</f>
        <v>4784.050821854582</v>
      </c>
      <c r="E13" s="68">
        <f t="shared" si="3"/>
        <v>5320.9294462021053</v>
      </c>
      <c r="F13" s="68">
        <f t="shared" si="4"/>
        <v>483.01440924571108</v>
      </c>
      <c r="G13" s="68">
        <f t="shared" si="0"/>
        <v>3680.8796565754851</v>
      </c>
      <c r="H13" s="68">
        <f t="shared" si="0"/>
        <v>4163.8940658211959</v>
      </c>
      <c r="I13" s="68">
        <f t="shared" si="1"/>
        <v>670.6351506698993</v>
      </c>
      <c r="J13" s="68">
        <f t="shared" si="2"/>
        <v>3740.1333366118633</v>
      </c>
      <c r="K13" s="68">
        <f t="shared" si="2"/>
        <v>4410.7684872817626</v>
      </c>
      <c r="L13" s="199"/>
      <c r="M13" s="200"/>
      <c r="N13" s="188"/>
      <c r="O13" s="188"/>
      <c r="P13" s="188"/>
      <c r="Q13" s="189"/>
      <c r="R13" s="188"/>
      <c r="S13" s="188"/>
      <c r="T13" s="188"/>
      <c r="U13" s="188"/>
      <c r="V13" s="188"/>
      <c r="W13" s="188"/>
      <c r="X13" s="223" t="s">
        <v>12</v>
      </c>
      <c r="Y13" s="233" t="s">
        <v>416</v>
      </c>
      <c r="Z13" s="229">
        <v>70.928990363321105</v>
      </c>
      <c r="AA13" s="234" t="s">
        <v>427</v>
      </c>
      <c r="AB13" s="230"/>
      <c r="AC13" s="230"/>
      <c r="AD13" s="230"/>
      <c r="AE13" s="232"/>
      <c r="AF13" s="232"/>
      <c r="AG13" s="232"/>
      <c r="AH13" s="221"/>
      <c r="AI13" s="221"/>
      <c r="AJ13" s="221"/>
      <c r="AK13" s="222"/>
    </row>
    <row r="14" spans="1:37" s="19" customFormat="1" x14ac:dyDescent="0.2">
      <c r="B14" s="182" t="s">
        <v>23</v>
      </c>
      <c r="C14" s="68">
        <f>SUMIF('BP costs'!$B$7:$B$96,$B14,'BP costs'!AA$7:AA$96)</f>
        <v>276.63799999999998</v>
      </c>
      <c r="D14" s="68">
        <f>SUMIF('BP costs'!$B$7:$B$96,$B14,'BP costs'!AF$7:AF$96)</f>
        <v>1393.3049999999998</v>
      </c>
      <c r="E14" s="68">
        <f t="shared" si="3"/>
        <v>1669.9429999999998</v>
      </c>
      <c r="F14" s="68">
        <f t="shared" si="4"/>
        <v>288.19507506116497</v>
      </c>
      <c r="G14" s="68">
        <f t="shared" si="0"/>
        <v>1051.8134851662726</v>
      </c>
      <c r="H14" s="68">
        <f t="shared" si="0"/>
        <v>1340.0085602274376</v>
      </c>
      <c r="I14" s="68">
        <f t="shared" si="1"/>
        <v>333.85507506116494</v>
      </c>
      <c r="J14" s="68">
        <f t="shared" si="2"/>
        <v>1061.3634851662725</v>
      </c>
      <c r="K14" s="68">
        <f t="shared" si="2"/>
        <v>1395.2185602274376</v>
      </c>
      <c r="L14" s="199"/>
      <c r="M14" s="200"/>
      <c r="N14" s="188"/>
      <c r="O14" s="188"/>
      <c r="P14" s="188"/>
      <c r="Q14" s="189"/>
      <c r="R14" s="188"/>
      <c r="S14" s="188"/>
      <c r="T14" s="188"/>
      <c r="U14" s="188"/>
      <c r="V14" s="188"/>
      <c r="W14" s="188"/>
      <c r="X14" s="223" t="s">
        <v>12</v>
      </c>
      <c r="Y14" s="233" t="s">
        <v>416</v>
      </c>
      <c r="Z14" s="229">
        <v>2.1790325131144832</v>
      </c>
      <c r="AA14" s="234" t="s">
        <v>428</v>
      </c>
      <c r="AB14" s="230"/>
      <c r="AC14" s="230"/>
      <c r="AD14" s="230"/>
      <c r="AE14" s="232"/>
      <c r="AF14" s="232"/>
      <c r="AG14" s="232"/>
      <c r="AH14" s="221"/>
      <c r="AI14" s="221"/>
      <c r="AJ14" s="221"/>
      <c r="AK14" s="222"/>
    </row>
    <row r="15" spans="1:37" s="19" customFormat="1" x14ac:dyDescent="0.2">
      <c r="B15" s="182" t="s">
        <v>10</v>
      </c>
      <c r="C15" s="68">
        <f>SUMIF('BP costs'!$B$7:$B$96,$B15,'BP costs'!AA$7:AA$96)</f>
        <v>83.448090288685478</v>
      </c>
      <c r="D15" s="68">
        <f>SUMIF('BP costs'!$B$7:$B$96,$B15,'BP costs'!AF$7:AF$96)</f>
        <v>563.57477876354756</v>
      </c>
      <c r="E15" s="68">
        <f t="shared" si="3"/>
        <v>647.02286905223309</v>
      </c>
      <c r="F15" s="68">
        <f t="shared" si="4"/>
        <v>82.430241073036342</v>
      </c>
      <c r="G15" s="68">
        <f t="shared" si="0"/>
        <v>527.92675691435511</v>
      </c>
      <c r="H15" s="68">
        <f t="shared" si="0"/>
        <v>610.35699798739154</v>
      </c>
      <c r="I15" s="68">
        <f t="shared" si="1"/>
        <v>86.324582522301952</v>
      </c>
      <c r="J15" s="68">
        <f t="shared" si="2"/>
        <v>536.32469607171083</v>
      </c>
      <c r="K15" s="68">
        <f t="shared" si="2"/>
        <v>622.64927859401291</v>
      </c>
      <c r="L15" s="199"/>
      <c r="M15" s="200"/>
      <c r="N15" s="188"/>
      <c r="O15" s="188"/>
      <c r="P15" s="188"/>
      <c r="Q15" s="188"/>
      <c r="R15" s="188"/>
      <c r="S15" s="188"/>
      <c r="T15" s="188"/>
      <c r="U15" s="188"/>
      <c r="V15" s="188"/>
      <c r="W15" s="188"/>
      <c r="X15" s="223" t="s">
        <v>16</v>
      </c>
      <c r="Y15" s="233" t="s">
        <v>403</v>
      </c>
      <c r="Z15" s="229">
        <v>9.032</v>
      </c>
      <c r="AA15" s="234" t="s">
        <v>429</v>
      </c>
      <c r="AB15" s="230"/>
      <c r="AC15" s="230"/>
      <c r="AD15" s="230"/>
      <c r="AE15" s="232"/>
      <c r="AF15" s="232"/>
      <c r="AG15" s="232"/>
      <c r="AH15" s="221"/>
      <c r="AI15" s="221"/>
      <c r="AJ15" s="221"/>
      <c r="AK15" s="222"/>
    </row>
    <row r="16" spans="1:37" s="19" customFormat="1" x14ac:dyDescent="0.2">
      <c r="B16" s="182" t="s">
        <v>11</v>
      </c>
      <c r="C16" s="68">
        <f>SUMIF('BP costs'!$B$7:$B$96,$B16,'BP costs'!AA$7:AA$96)</f>
        <v>236.661</v>
      </c>
      <c r="D16" s="68">
        <f>SUMIF('BP costs'!$B$7:$B$96,$B16,'BP costs'!AF$7:AF$96)</f>
        <v>1683.75</v>
      </c>
      <c r="E16" s="68">
        <f t="shared" si="3"/>
        <v>1920.4110000000001</v>
      </c>
      <c r="F16" s="68">
        <f t="shared" si="4"/>
        <v>247.21930616363039</v>
      </c>
      <c r="G16" s="68">
        <f t="shared" si="0"/>
        <v>1436.328933698557</v>
      </c>
      <c r="H16" s="68">
        <f t="shared" si="0"/>
        <v>1683.5482398621875</v>
      </c>
      <c r="I16" s="68">
        <f t="shared" si="1"/>
        <v>247.97671017926726</v>
      </c>
      <c r="J16" s="68">
        <f t="shared" si="2"/>
        <v>1460.9437455094969</v>
      </c>
      <c r="K16" s="68">
        <f t="shared" si="2"/>
        <v>1708.9204556887644</v>
      </c>
      <c r="L16" s="199"/>
      <c r="M16" s="200"/>
      <c r="N16" s="188"/>
      <c r="O16" s="188"/>
      <c r="P16" s="188"/>
      <c r="Q16" s="188"/>
      <c r="R16" s="188"/>
      <c r="S16" s="188"/>
      <c r="T16" s="188"/>
      <c r="U16" s="188"/>
      <c r="V16" s="188"/>
      <c r="W16" s="188"/>
    </row>
    <row r="17" spans="2:37" s="19" customFormat="1" x14ac:dyDescent="0.2">
      <c r="B17" s="182" t="s">
        <v>12</v>
      </c>
      <c r="C17" s="68">
        <f>SUMIF('BP costs'!$B$7:$B$96,$B17,'BP costs'!AA$7:AA$96)</f>
        <v>242.11527121507527</v>
      </c>
      <c r="D17" s="68">
        <f>SUMIF('BP costs'!$B$7:$B$96,$B17,'BP costs'!AF$7:AF$96)</f>
        <v>1194.2255535611057</v>
      </c>
      <c r="E17" s="68">
        <f t="shared" si="3"/>
        <v>1436.3408247761809</v>
      </c>
      <c r="F17" s="68">
        <f t="shared" si="4"/>
        <v>233.73955642290156</v>
      </c>
      <c r="G17" s="68">
        <f t="shared" si="0"/>
        <v>1076.8022138954179</v>
      </c>
      <c r="H17" s="68">
        <f t="shared" si="0"/>
        <v>1310.5417703183198</v>
      </c>
      <c r="I17" s="68">
        <f t="shared" si="1"/>
        <v>303.77231536684133</v>
      </c>
      <c r="J17" s="68">
        <f t="shared" si="2"/>
        <v>1102.861702964917</v>
      </c>
      <c r="K17" s="68">
        <f t="shared" si="2"/>
        <v>1406.6340183317584</v>
      </c>
      <c r="L17" s="199"/>
      <c r="M17" s="200"/>
      <c r="N17" s="188"/>
      <c r="O17" s="188"/>
      <c r="P17" s="188"/>
      <c r="Q17" s="188"/>
      <c r="R17" s="188"/>
      <c r="S17" s="188"/>
      <c r="T17" s="188"/>
      <c r="U17" s="188"/>
      <c r="V17" s="188"/>
      <c r="W17" s="188"/>
      <c r="X17" s="5"/>
      <c r="Y17" s="5"/>
      <c r="Z17" s="5"/>
      <c r="AA17" s="5"/>
      <c r="AB17" s="5"/>
      <c r="AC17" s="5"/>
      <c r="AD17" s="5"/>
      <c r="AE17" s="5"/>
      <c r="AF17" s="5"/>
      <c r="AG17" s="5"/>
      <c r="AH17" s="5"/>
      <c r="AI17" s="5"/>
      <c r="AJ17" s="5"/>
      <c r="AK17" s="5"/>
    </row>
    <row r="18" spans="2:37" s="19" customFormat="1" x14ac:dyDescent="0.2">
      <c r="B18" s="182" t="s">
        <v>13</v>
      </c>
      <c r="C18" s="68">
        <f>SUMIF('BP costs'!$B$7:$B$96,$B18,'BP costs'!AA$7:AA$96)</f>
        <v>78.016000000000005</v>
      </c>
      <c r="D18" s="68">
        <f>SUMIF('BP costs'!$B$7:$B$96,$B18,'BP costs'!AF$7:AF$96)</f>
        <v>380.56200000000001</v>
      </c>
      <c r="E18" s="68">
        <f t="shared" si="3"/>
        <v>458.57800000000003</v>
      </c>
      <c r="F18" s="68">
        <f t="shared" si="4"/>
        <v>69.050379503200105</v>
      </c>
      <c r="G18" s="68">
        <f t="shared" si="0"/>
        <v>320.13087172937588</v>
      </c>
      <c r="H18" s="68">
        <f t="shared" si="0"/>
        <v>389.18125123257596</v>
      </c>
      <c r="I18" s="68">
        <f t="shared" si="1"/>
        <v>70.356379503200102</v>
      </c>
      <c r="J18" s="68">
        <f t="shared" si="2"/>
        <v>325.82287172937589</v>
      </c>
      <c r="K18" s="68">
        <f t="shared" si="2"/>
        <v>396.17925123257595</v>
      </c>
      <c r="L18" s="199"/>
      <c r="M18" s="200"/>
      <c r="N18" s="188"/>
      <c r="O18" s="188"/>
      <c r="P18" s="188"/>
      <c r="Q18" s="188"/>
      <c r="R18" s="188"/>
      <c r="S18" s="188"/>
      <c r="T18" s="188"/>
      <c r="U18" s="188"/>
      <c r="V18" s="188"/>
      <c r="W18" s="188"/>
      <c r="X18" s="5"/>
      <c r="Y18" s="5"/>
      <c r="Z18" s="5"/>
      <c r="AA18" s="5"/>
      <c r="AB18" s="5"/>
      <c r="AC18" s="5"/>
      <c r="AD18" s="5"/>
      <c r="AE18" s="5"/>
      <c r="AF18" s="5"/>
      <c r="AG18" s="5"/>
      <c r="AH18" s="5"/>
      <c r="AI18" s="5"/>
      <c r="AJ18" s="5"/>
      <c r="AK18" s="5"/>
    </row>
    <row r="19" spans="2:37" s="19" customFormat="1" x14ac:dyDescent="0.2">
      <c r="B19" s="182" t="s">
        <v>15</v>
      </c>
      <c r="C19" s="68">
        <v>28.968000000000004</v>
      </c>
      <c r="D19" s="68">
        <f>SUMIF('BP costs'!$B$7:$B$96,$B19,'BP costs'!AF$7:AF$96)</f>
        <v>136.84700000000001</v>
      </c>
      <c r="E19" s="68">
        <f t="shared" si="3"/>
        <v>165.815</v>
      </c>
      <c r="F19" s="68">
        <f t="shared" si="4"/>
        <v>38.311666273464461</v>
      </c>
      <c r="G19" s="68">
        <f t="shared" si="0"/>
        <v>150.65796659115065</v>
      </c>
      <c r="H19" s="68">
        <f t="shared" si="0"/>
        <v>188.96963286461508</v>
      </c>
      <c r="I19" s="68">
        <f t="shared" si="1"/>
        <v>38.311666273464461</v>
      </c>
      <c r="J19" s="68">
        <f t="shared" si="2"/>
        <v>151.90296659115066</v>
      </c>
      <c r="K19" s="68">
        <f t="shared" si="2"/>
        <v>190.21463286461508</v>
      </c>
      <c r="L19" s="199"/>
      <c r="M19" s="200"/>
      <c r="N19" s="188"/>
      <c r="O19" s="188"/>
      <c r="P19" s="188"/>
      <c r="Q19" s="188"/>
      <c r="R19" s="188"/>
      <c r="S19" s="188"/>
      <c r="T19" s="188"/>
      <c r="U19" s="188"/>
      <c r="V19" s="188"/>
      <c r="W19" s="188"/>
      <c r="X19" s="5"/>
      <c r="Y19" s="5"/>
      <c r="Z19" s="5"/>
      <c r="AA19" s="5"/>
      <c r="AB19" s="5"/>
      <c r="AC19" s="5"/>
      <c r="AD19" s="5"/>
      <c r="AE19" s="5"/>
      <c r="AF19" s="5"/>
      <c r="AG19" s="5"/>
      <c r="AH19" s="5"/>
      <c r="AI19" s="5"/>
      <c r="AJ19" s="5"/>
      <c r="AK19" s="5"/>
    </row>
    <row r="20" spans="2:37" s="19" customFormat="1" x14ac:dyDescent="0.2">
      <c r="B20" s="182" t="s">
        <v>16</v>
      </c>
      <c r="C20" s="68">
        <f>SUMIF('BP costs'!$B$7:$B$96,$B20,'BP costs'!AA$7:AA$96)</f>
        <v>23.745999999999999</v>
      </c>
      <c r="D20" s="68">
        <f>SUMIF('BP costs'!$B$7:$B$96,$B20,'BP costs'!AF$7:AF$96)</f>
        <v>234.60200000000003</v>
      </c>
      <c r="E20" s="68">
        <f t="shared" si="3"/>
        <v>258.34800000000001</v>
      </c>
      <c r="F20" s="68">
        <f t="shared" si="4"/>
        <v>22.952724970236286</v>
      </c>
      <c r="G20" s="68">
        <f t="shared" si="0"/>
        <v>191.90876706456038</v>
      </c>
      <c r="H20" s="68">
        <f t="shared" si="0"/>
        <v>214.86149203479667</v>
      </c>
      <c r="I20" s="68">
        <f t="shared" si="1"/>
        <v>22.952724970236286</v>
      </c>
      <c r="J20" s="68">
        <f t="shared" si="2"/>
        <v>201.99476706456039</v>
      </c>
      <c r="K20" s="68">
        <f t="shared" si="2"/>
        <v>224.94749203479665</v>
      </c>
      <c r="L20" s="199"/>
      <c r="M20" s="200"/>
      <c r="N20" s="188"/>
      <c r="O20" s="188"/>
      <c r="P20" s="188"/>
      <c r="Q20" s="188"/>
      <c r="R20" s="188"/>
      <c r="S20" s="188"/>
      <c r="T20" s="188"/>
      <c r="U20" s="188"/>
      <c r="V20" s="188"/>
      <c r="W20" s="188"/>
      <c r="X20" s="5"/>
      <c r="Y20" s="5"/>
      <c r="Z20" s="5"/>
      <c r="AA20" s="5"/>
      <c r="AB20" s="5"/>
      <c r="AC20" s="5"/>
      <c r="AD20" s="5"/>
      <c r="AE20" s="5"/>
      <c r="AF20" s="5"/>
      <c r="AG20" s="5"/>
      <c r="AH20" s="5"/>
      <c r="AI20" s="5"/>
      <c r="AJ20" s="5"/>
      <c r="AK20" s="5"/>
    </row>
    <row r="21" spans="2:37" s="19" customFormat="1" x14ac:dyDescent="0.2">
      <c r="B21" s="182" t="s">
        <v>17</v>
      </c>
      <c r="C21" s="68">
        <f>SUMIF('BP costs'!$B$7:$B$96,$B21,'BP costs'!AA$7:AA$96)</f>
        <v>127.63199999999999</v>
      </c>
      <c r="D21" s="68">
        <f>SUMIF('BP costs'!$B$7:$B$96,$B21,'BP costs'!AF$7:AF$96)</f>
        <v>877.47499999999991</v>
      </c>
      <c r="E21" s="68">
        <f t="shared" si="3"/>
        <v>1005.1069999999999</v>
      </c>
      <c r="F21" s="68">
        <f t="shared" si="4"/>
        <v>115.42727633032032</v>
      </c>
      <c r="G21" s="68">
        <f t="shared" si="0"/>
        <v>750.95902830469322</v>
      </c>
      <c r="H21" s="68">
        <f t="shared" si="0"/>
        <v>866.38630463501352</v>
      </c>
      <c r="I21" s="68">
        <f t="shared" si="1"/>
        <v>117.91014951175214</v>
      </c>
      <c r="J21" s="68">
        <f t="shared" si="2"/>
        <v>768.16203910099239</v>
      </c>
      <c r="K21" s="68">
        <f t="shared" si="2"/>
        <v>886.07218861274453</v>
      </c>
      <c r="L21" s="199"/>
      <c r="M21" s="200"/>
      <c r="N21" s="188"/>
      <c r="O21" s="188"/>
      <c r="P21" s="188"/>
      <c r="Q21" s="188"/>
      <c r="R21" s="188"/>
      <c r="S21" s="188"/>
      <c r="T21" s="188"/>
      <c r="U21" s="188"/>
      <c r="V21" s="188"/>
      <c r="W21" s="188"/>
      <c r="X21" s="5"/>
      <c r="Y21" s="5"/>
      <c r="Z21" s="5"/>
      <c r="AA21" s="5"/>
      <c r="AB21" s="5"/>
      <c r="AC21" s="5"/>
      <c r="AD21" s="5"/>
      <c r="AE21" s="5"/>
      <c r="AF21" s="5"/>
      <c r="AG21" s="5"/>
      <c r="AH21" s="5"/>
      <c r="AI21" s="5"/>
      <c r="AJ21" s="5"/>
      <c r="AK21" s="5"/>
    </row>
    <row r="22" spans="2:37" s="19" customFormat="1" x14ac:dyDescent="0.2">
      <c r="B22" s="182" t="s">
        <v>18</v>
      </c>
      <c r="C22" s="68">
        <f>SUMIF('BP costs'!$B$7:$B$96,$B22,'BP costs'!AA$7:AA$96)</f>
        <v>54.647160159809857</v>
      </c>
      <c r="D22" s="68">
        <f>SUMIF('BP costs'!$B$7:$B$96,$B22,'BP costs'!AF$7:AF$96)</f>
        <v>543.31511780568906</v>
      </c>
      <c r="E22" s="68">
        <f t="shared" si="3"/>
        <v>597.96227796549897</v>
      </c>
      <c r="F22" s="68">
        <f t="shared" si="4"/>
        <v>49.589624458098442</v>
      </c>
      <c r="G22" s="68">
        <f t="shared" si="0"/>
        <v>476.55986434450057</v>
      </c>
      <c r="H22" s="68">
        <f t="shared" si="0"/>
        <v>526.14948880259897</v>
      </c>
      <c r="I22" s="68">
        <f t="shared" si="1"/>
        <v>50.444823621805909</v>
      </c>
      <c r="J22" s="68">
        <f t="shared" si="2"/>
        <v>492.38037995457586</v>
      </c>
      <c r="K22" s="68">
        <f t="shared" si="2"/>
        <v>542.82520357638168</v>
      </c>
      <c r="L22" s="199"/>
      <c r="M22" s="200"/>
      <c r="N22" s="188"/>
      <c r="O22" s="188"/>
      <c r="P22" s="188"/>
      <c r="Q22" s="188"/>
      <c r="R22" s="188"/>
      <c r="S22" s="188"/>
      <c r="T22" s="188"/>
      <c r="U22" s="188"/>
      <c r="V22" s="188"/>
      <c r="W22" s="188"/>
      <c r="X22" s="5"/>
      <c r="Y22" s="5"/>
      <c r="Z22" s="5"/>
      <c r="AA22" s="5"/>
      <c r="AB22" s="5"/>
      <c r="AC22" s="5"/>
      <c r="AD22" s="5"/>
      <c r="AE22" s="5"/>
      <c r="AF22" s="5"/>
      <c r="AG22" s="5"/>
      <c r="AH22" s="5"/>
      <c r="AI22" s="5"/>
      <c r="AJ22" s="5"/>
      <c r="AK22" s="5"/>
    </row>
    <row r="23" spans="2:37" s="19" customFormat="1" x14ac:dyDescent="0.2">
      <c r="B23" s="184" t="s">
        <v>33</v>
      </c>
      <c r="C23" s="185">
        <f t="shared" ref="C23:E23" si="5">SUM(C6:C22)</f>
        <v>3197.4125152711385</v>
      </c>
      <c r="D23" s="185">
        <f t="shared" si="5"/>
        <v>22742.074432395064</v>
      </c>
      <c r="E23" s="185">
        <f t="shared" si="5"/>
        <v>25939.486947666206</v>
      </c>
      <c r="F23" s="185">
        <f t="shared" ref="F23:K23" si="6">SUM(F6:F22)</f>
        <v>3092.3007991974191</v>
      </c>
      <c r="G23" s="185">
        <f t="shared" si="6"/>
        <v>19270.046620571004</v>
      </c>
      <c r="H23" s="185">
        <f t="shared" si="6"/>
        <v>22362.347419768423</v>
      </c>
      <c r="I23" s="185">
        <f t="shared" si="6"/>
        <v>3596.7360495837229</v>
      </c>
      <c r="J23" s="185">
        <f t="shared" si="6"/>
        <v>19779.917509345101</v>
      </c>
      <c r="K23" s="185">
        <f t="shared" si="6"/>
        <v>23376.653558928825</v>
      </c>
      <c r="L23" s="199"/>
      <c r="M23" s="200"/>
      <c r="N23" s="188"/>
      <c r="O23" s="188"/>
      <c r="P23" s="188"/>
      <c r="Q23" s="188"/>
      <c r="R23" s="188"/>
      <c r="S23" s="188"/>
      <c r="T23" s="188"/>
      <c r="U23" s="188"/>
      <c r="V23" s="188"/>
      <c r="W23" s="188"/>
      <c r="X23" s="5"/>
      <c r="Y23" s="5"/>
      <c r="Z23" s="5"/>
      <c r="AA23" s="5"/>
      <c r="AB23" s="5"/>
      <c r="AC23" s="5"/>
      <c r="AD23" s="5"/>
      <c r="AE23" s="5"/>
      <c r="AF23" s="5"/>
      <c r="AG23" s="5"/>
      <c r="AH23" s="5"/>
      <c r="AI23" s="5"/>
      <c r="AJ23" s="5"/>
      <c r="AK23" s="5"/>
    </row>
    <row r="24" spans="2:37" x14ac:dyDescent="0.2">
      <c r="J24" s="161"/>
      <c r="K24" s="161"/>
      <c r="L24" s="161"/>
      <c r="M24" s="162"/>
      <c r="N24" s="161"/>
      <c r="O24" s="161"/>
      <c r="P24" s="161"/>
      <c r="Q24" s="162"/>
      <c r="R24" s="162"/>
      <c r="S24" s="162"/>
      <c r="T24" s="162"/>
      <c r="U24" s="162"/>
      <c r="V24" s="162"/>
      <c r="W24" s="162"/>
    </row>
    <row r="25" spans="2:37" x14ac:dyDescent="0.2">
      <c r="B25" s="158"/>
      <c r="C25" s="159"/>
      <c r="D25" s="159"/>
      <c r="E25" s="159"/>
      <c r="F25" s="159"/>
      <c r="G25" s="159"/>
      <c r="H25" s="159"/>
      <c r="J25" s="163"/>
      <c r="K25" s="162"/>
      <c r="L25" s="162"/>
      <c r="M25" s="162"/>
      <c r="N25" s="162"/>
      <c r="O25" s="162"/>
      <c r="P25" s="162"/>
      <c r="Q25" s="162"/>
      <c r="R25" s="162"/>
      <c r="S25" s="162"/>
      <c r="T25" s="162"/>
      <c r="U25" s="162"/>
      <c r="V25" s="162"/>
      <c r="W25" s="162"/>
    </row>
    <row r="27" spans="2:37" s="19" customFormat="1" ht="34.5" customHeight="1" x14ac:dyDescent="0.2">
      <c r="B27" s="201" t="s">
        <v>275</v>
      </c>
      <c r="C27" s="197" t="s">
        <v>403</v>
      </c>
      <c r="D27" s="166"/>
      <c r="E27" s="166"/>
      <c r="F27" s="181"/>
      <c r="G27" s="164" t="s">
        <v>273</v>
      </c>
      <c r="H27" s="165"/>
      <c r="I27" s="166"/>
      <c r="J27" s="167" t="s">
        <v>355</v>
      </c>
      <c r="K27" s="165"/>
      <c r="L27" s="166"/>
      <c r="M27" s="164" t="s">
        <v>271</v>
      </c>
      <c r="N27" s="165"/>
      <c r="O27" s="166"/>
      <c r="P27" s="193" t="s">
        <v>356</v>
      </c>
      <c r="Q27" s="180"/>
      <c r="R27" s="178"/>
      <c r="S27" s="193" t="s">
        <v>274</v>
      </c>
      <c r="T27" s="180"/>
      <c r="U27" s="178"/>
      <c r="X27" s="5"/>
      <c r="Y27" s="5"/>
      <c r="Z27" s="5"/>
      <c r="AA27" s="5"/>
      <c r="AB27" s="5"/>
      <c r="AC27" s="5"/>
      <c r="AD27" s="5"/>
      <c r="AE27" s="5"/>
      <c r="AF27" s="5"/>
      <c r="AG27" s="5"/>
      <c r="AH27" s="5"/>
      <c r="AI27" s="5"/>
      <c r="AJ27" s="5"/>
      <c r="AK27" s="5"/>
    </row>
    <row r="28" spans="2:37" s="19" customFormat="1" ht="44.25" customHeight="1" x14ac:dyDescent="0.2">
      <c r="B28" s="35" t="s">
        <v>20</v>
      </c>
      <c r="C28" s="35" t="s">
        <v>123</v>
      </c>
      <c r="D28" s="35" t="s">
        <v>374</v>
      </c>
      <c r="E28" s="35" t="s">
        <v>112</v>
      </c>
      <c r="F28" s="35" t="s">
        <v>149</v>
      </c>
      <c r="G28" s="35" t="s">
        <v>123</v>
      </c>
      <c r="H28" s="35" t="s">
        <v>374</v>
      </c>
      <c r="I28" s="35" t="s">
        <v>112</v>
      </c>
      <c r="J28" s="35" t="s">
        <v>123</v>
      </c>
      <c r="K28" s="35" t="s">
        <v>374</v>
      </c>
      <c r="L28" s="35" t="s">
        <v>112</v>
      </c>
      <c r="M28" s="35" t="s">
        <v>123</v>
      </c>
      <c r="N28" s="35" t="s">
        <v>374</v>
      </c>
      <c r="O28" s="35" t="s">
        <v>112</v>
      </c>
      <c r="P28" s="35" t="s">
        <v>123</v>
      </c>
      <c r="Q28" s="35" t="s">
        <v>374</v>
      </c>
      <c r="R28" s="35" t="s">
        <v>112</v>
      </c>
      <c r="S28" s="35" t="s">
        <v>123</v>
      </c>
      <c r="T28" s="35" t="s">
        <v>374</v>
      </c>
      <c r="U28" s="35" t="s">
        <v>112</v>
      </c>
      <c r="X28" s="5"/>
      <c r="Y28" s="5"/>
      <c r="Z28" s="5"/>
      <c r="AA28" s="5"/>
      <c r="AB28" s="5"/>
      <c r="AC28" s="5"/>
      <c r="AD28" s="5"/>
      <c r="AE28" s="5"/>
      <c r="AF28" s="5"/>
      <c r="AG28" s="5"/>
      <c r="AH28" s="5"/>
      <c r="AI28" s="5"/>
      <c r="AJ28" s="5"/>
      <c r="AK28" s="5"/>
    </row>
    <row r="29" spans="2:37" s="19" customFormat="1" x14ac:dyDescent="0.2">
      <c r="B29" s="182" t="s">
        <v>4</v>
      </c>
      <c r="C29" s="68">
        <f>SUMIF('BP costs'!$B$7:$B$96,$B29,'BP costs'!$D$7:$D$96)</f>
        <v>187.89565886699998</v>
      </c>
      <c r="D29" s="68">
        <f>SUMIF('BP costs'!$B$7:$B$96,$B29,'BP costs'!$I$7:$I$96)</f>
        <v>1480.0566666663412</v>
      </c>
      <c r="E29" s="68">
        <f>C29+D29</f>
        <v>1667.9523255333413</v>
      </c>
      <c r="F29" s="183">
        <f>C29/E29</f>
        <v>0.11265049725382217</v>
      </c>
      <c r="G29" s="68">
        <f>I29*F29</f>
        <v>141.90690858366841</v>
      </c>
      <c r="H29" s="68">
        <f t="shared" ref="H29:H45" si="7">I29*(1-F29)</f>
        <v>1117.8026536735331</v>
      </c>
      <c r="I29" s="68">
        <v>1259.7095622572015</v>
      </c>
      <c r="J29" s="68">
        <v>62.784137456000003</v>
      </c>
      <c r="K29" s="68">
        <v>186.34793300182704</v>
      </c>
      <c r="L29" s="68">
        <f>J29+K29</f>
        <v>249.13207045782704</v>
      </c>
      <c r="M29" s="68">
        <v>62.783590474532289</v>
      </c>
      <c r="N29" s="68">
        <v>185.78466255084436</v>
      </c>
      <c r="O29" s="68">
        <f>M29+N29</f>
        <v>248.56825302537663</v>
      </c>
      <c r="P29" s="68">
        <f>C29+J29</f>
        <v>250.67979632299998</v>
      </c>
      <c r="Q29" s="68">
        <f t="shared" ref="Q29:Q45" si="8">D29+K29</f>
        <v>1666.4045996681682</v>
      </c>
      <c r="R29" s="68">
        <f t="shared" ref="R29:R45" si="9">E29+L29</f>
        <v>1917.0843959911683</v>
      </c>
      <c r="S29" s="68">
        <f>G29+M29</f>
        <v>204.69049905820071</v>
      </c>
      <c r="T29" s="68">
        <f t="shared" ref="T29:T45" si="10">H29+N29</f>
        <v>1303.5873162243774</v>
      </c>
      <c r="U29" s="68">
        <f t="shared" ref="U29:U45" si="11">I29+O29</f>
        <v>1508.2778152825781</v>
      </c>
      <c r="X29" s="5"/>
      <c r="Y29" s="5"/>
      <c r="Z29" s="5"/>
      <c r="AA29" s="5"/>
      <c r="AB29" s="5"/>
      <c r="AC29" s="5"/>
      <c r="AD29" s="5"/>
      <c r="AE29" s="5"/>
      <c r="AF29" s="5"/>
      <c r="AG29" s="5"/>
      <c r="AH29" s="5"/>
      <c r="AI29" s="5"/>
      <c r="AJ29" s="5"/>
      <c r="AK29" s="5"/>
    </row>
    <row r="30" spans="2:37" s="19" customFormat="1" x14ac:dyDescent="0.2">
      <c r="B30" s="182" t="s">
        <v>90</v>
      </c>
      <c r="C30" s="68">
        <f>SUMIF('BP costs'!$B$7:$B$96,$B30,'BP costs'!$D$7:$D$96)</f>
        <v>8.1276937437996288</v>
      </c>
      <c r="D30" s="68">
        <f>SUMIF('BP costs'!$B$7:$B$96,$B30,'BP costs'!$I$7:$I$96)</f>
        <v>87.370899578035988</v>
      </c>
      <c r="E30" s="68">
        <f t="shared" ref="E30:E45" si="12">C30+D30</f>
        <v>95.498593321835614</v>
      </c>
      <c r="F30" s="183">
        <f t="shared" ref="F30:F46" si="13">C30/E30</f>
        <v>8.5107994380700935E-2</v>
      </c>
      <c r="G30" s="68">
        <f t="shared" ref="G30:G45" si="14">I30*F30</f>
        <v>8.4143668274549874</v>
      </c>
      <c r="H30" s="68">
        <f t="shared" si="7"/>
        <v>90.452571451177818</v>
      </c>
      <c r="I30" s="68">
        <v>98.866938278632801</v>
      </c>
      <c r="J30" s="68">
        <v>3.0291997878264736</v>
      </c>
      <c r="K30" s="68">
        <v>7.0656260648934479</v>
      </c>
      <c r="L30" s="68">
        <f t="shared" ref="L30:L45" si="15">J30+K30</f>
        <v>10.094825852719921</v>
      </c>
      <c r="M30" s="68">
        <v>3.0613063112336389</v>
      </c>
      <c r="N30" s="68">
        <v>7.3806378634599543</v>
      </c>
      <c r="O30" s="68">
        <f t="shared" ref="O30:O45" si="16">M30+N30</f>
        <v>10.441944174693592</v>
      </c>
      <c r="P30" s="68">
        <f t="shared" ref="P30:P45" si="17">C30+J30</f>
        <v>11.156893531626103</v>
      </c>
      <c r="Q30" s="68">
        <f t="shared" si="8"/>
        <v>94.436525642929439</v>
      </c>
      <c r="R30" s="68">
        <f t="shared" si="9"/>
        <v>105.59341917455554</v>
      </c>
      <c r="S30" s="68">
        <f t="shared" ref="S30:S45" si="18">G30+M30</f>
        <v>11.475673138688627</v>
      </c>
      <c r="T30" s="68">
        <f t="shared" si="10"/>
        <v>97.83320931463777</v>
      </c>
      <c r="U30" s="68">
        <f t="shared" si="11"/>
        <v>109.30888245332639</v>
      </c>
      <c r="X30" s="5"/>
      <c r="Y30" s="5"/>
      <c r="Z30" s="5"/>
      <c r="AA30" s="5"/>
      <c r="AB30" s="5"/>
      <c r="AC30" s="5"/>
      <c r="AD30" s="5"/>
      <c r="AE30" s="5"/>
      <c r="AF30" s="5"/>
      <c r="AG30" s="5"/>
      <c r="AH30" s="5"/>
      <c r="AI30" s="5"/>
      <c r="AJ30" s="5"/>
      <c r="AK30" s="5"/>
    </row>
    <row r="31" spans="2:37" s="19" customFormat="1" x14ac:dyDescent="0.2">
      <c r="B31" s="182" t="s">
        <v>5</v>
      </c>
      <c r="C31" s="68">
        <f>SUMIF('BP costs'!$B$7:$B$96,$B31,'BP costs'!$D$7:$D$96)</f>
        <v>85.398000000000025</v>
      </c>
      <c r="D31" s="68">
        <f>SUMIF('BP costs'!$B$7:$B$96,$B31,'BP costs'!$I$7:$I$96)</f>
        <v>1011.3919999999999</v>
      </c>
      <c r="E31" s="68">
        <f t="shared" si="12"/>
        <v>1096.79</v>
      </c>
      <c r="F31" s="183">
        <f t="shared" si="13"/>
        <v>7.7861760227573212E-2</v>
      </c>
      <c r="G31" s="68">
        <f t="shared" si="14"/>
        <v>87.05752584005738</v>
      </c>
      <c r="H31" s="68">
        <f t="shared" si="7"/>
        <v>1031.0462209235261</v>
      </c>
      <c r="I31" s="68">
        <v>1118.1037467635836</v>
      </c>
      <c r="J31" s="68">
        <v>162.98500000000001</v>
      </c>
      <c r="K31" s="68">
        <v>199.81000000000003</v>
      </c>
      <c r="L31" s="68">
        <f t="shared" si="15"/>
        <v>362.79500000000007</v>
      </c>
      <c r="M31" s="68">
        <v>162.7727038391225</v>
      </c>
      <c r="N31" s="68">
        <v>182.39829616087755</v>
      </c>
      <c r="O31" s="68">
        <f t="shared" si="16"/>
        <v>345.17100000000005</v>
      </c>
      <c r="P31" s="68">
        <f t="shared" si="17"/>
        <v>248.38300000000004</v>
      </c>
      <c r="Q31" s="68">
        <f t="shared" si="8"/>
        <v>1211.202</v>
      </c>
      <c r="R31" s="68">
        <f t="shared" si="9"/>
        <v>1459.585</v>
      </c>
      <c r="S31" s="68">
        <f t="shared" si="18"/>
        <v>249.83022967917987</v>
      </c>
      <c r="T31" s="68">
        <f t="shared" si="10"/>
        <v>1213.4445170844037</v>
      </c>
      <c r="U31" s="68">
        <f t="shared" si="11"/>
        <v>1463.2747467635836</v>
      </c>
      <c r="X31" s="5"/>
      <c r="Y31" s="5"/>
      <c r="Z31" s="5"/>
      <c r="AA31" s="5"/>
      <c r="AB31" s="5"/>
      <c r="AC31" s="5"/>
      <c r="AD31" s="5"/>
      <c r="AE31" s="5"/>
      <c r="AF31" s="5"/>
      <c r="AG31" s="5"/>
      <c r="AH31" s="5"/>
      <c r="AI31" s="5"/>
      <c r="AJ31" s="5"/>
      <c r="AK31" s="5"/>
    </row>
    <row r="32" spans="2:37" s="19" customFormat="1" x14ac:dyDescent="0.2">
      <c r="B32" s="182" t="s">
        <v>6</v>
      </c>
      <c r="C32" s="68">
        <f>SUMIF('BP costs'!$B$7:$B$96,$B32,'BP costs'!$D$7:$D$96)</f>
        <v>178.4865767330549</v>
      </c>
      <c r="D32" s="68">
        <f>SUMIF('BP costs'!$B$7:$B$96,$B32,'BP costs'!$I$7:$I$96)</f>
        <v>1611.413063241145</v>
      </c>
      <c r="E32" s="68">
        <f t="shared" si="12"/>
        <v>1789.8996399742</v>
      </c>
      <c r="F32" s="183">
        <f t="shared" si="13"/>
        <v>9.9718762296431132E-2</v>
      </c>
      <c r="G32" s="68">
        <f t="shared" si="14"/>
        <v>190.75615379210259</v>
      </c>
      <c r="H32" s="68">
        <f t="shared" si="7"/>
        <v>1722.1852967350028</v>
      </c>
      <c r="I32" s="68">
        <v>1912.9414505271054</v>
      </c>
      <c r="J32" s="68">
        <v>172.33156645598999</v>
      </c>
      <c r="K32" s="68">
        <v>253.03481580513392</v>
      </c>
      <c r="L32" s="68">
        <f t="shared" si="15"/>
        <v>425.36638226112393</v>
      </c>
      <c r="M32" s="68">
        <v>170.32783977434661</v>
      </c>
      <c r="N32" s="68">
        <v>247.76892274599726</v>
      </c>
      <c r="O32" s="68">
        <f t="shared" si="16"/>
        <v>418.09676252034387</v>
      </c>
      <c r="P32" s="68">
        <f t="shared" si="17"/>
        <v>350.81814318904492</v>
      </c>
      <c r="Q32" s="68">
        <f t="shared" si="8"/>
        <v>1864.447879046279</v>
      </c>
      <c r="R32" s="68">
        <f t="shared" si="9"/>
        <v>2215.2660222353238</v>
      </c>
      <c r="S32" s="68">
        <f t="shared" si="18"/>
        <v>361.08399356644918</v>
      </c>
      <c r="T32" s="68">
        <f t="shared" si="10"/>
        <v>1969.9542194810001</v>
      </c>
      <c r="U32" s="68">
        <f t="shared" si="11"/>
        <v>2331.0382130474491</v>
      </c>
      <c r="V32" s="207"/>
      <c r="X32" s="5"/>
      <c r="Y32" s="5"/>
      <c r="Z32" s="5"/>
      <c r="AA32" s="5"/>
      <c r="AB32" s="5"/>
      <c r="AC32" s="5"/>
      <c r="AD32" s="5"/>
      <c r="AE32" s="5"/>
      <c r="AF32" s="5"/>
      <c r="AG32" s="5"/>
      <c r="AH32" s="5"/>
      <c r="AI32" s="5"/>
      <c r="AJ32" s="5"/>
      <c r="AK32" s="5"/>
    </row>
    <row r="33" spans="2:37" s="19" customFormat="1" x14ac:dyDescent="0.2">
      <c r="B33" s="182" t="s">
        <v>7</v>
      </c>
      <c r="C33" s="68">
        <f>SUMIF('BP costs'!$B$7:$B$96,$B33,'BP costs'!$D$7:$D$96)</f>
        <v>69.281999999999996</v>
      </c>
      <c r="D33" s="68">
        <f>SUMIF('BP costs'!$B$7:$B$96,$B33,'BP costs'!$I$7:$I$96)</f>
        <v>736.99300000000005</v>
      </c>
      <c r="E33" s="68">
        <f t="shared" si="12"/>
        <v>806.27500000000009</v>
      </c>
      <c r="F33" s="183">
        <f t="shared" si="13"/>
        <v>8.5928498341136694E-2</v>
      </c>
      <c r="G33" s="68">
        <f t="shared" si="14"/>
        <v>56.113269014718377</v>
      </c>
      <c r="H33" s="68">
        <f t="shared" si="7"/>
        <v>596.90953596842394</v>
      </c>
      <c r="I33" s="68">
        <v>653.02280498314235</v>
      </c>
      <c r="J33" s="68">
        <v>27.515000000000001</v>
      </c>
      <c r="K33" s="68">
        <v>60.959999999999994</v>
      </c>
      <c r="L33" s="68">
        <f t="shared" si="15"/>
        <v>88.474999999999994</v>
      </c>
      <c r="M33" s="68">
        <v>27.690737385632755</v>
      </c>
      <c r="N33" s="68">
        <v>62.35703303063125</v>
      </c>
      <c r="O33" s="68">
        <f t="shared" si="16"/>
        <v>90.047770416264001</v>
      </c>
      <c r="P33" s="68">
        <f t="shared" si="17"/>
        <v>96.796999999999997</v>
      </c>
      <c r="Q33" s="68">
        <f t="shared" si="8"/>
        <v>797.95300000000009</v>
      </c>
      <c r="R33" s="68">
        <f t="shared" si="9"/>
        <v>894.75000000000011</v>
      </c>
      <c r="S33" s="68">
        <f t="shared" si="18"/>
        <v>83.804006400351128</v>
      </c>
      <c r="T33" s="68">
        <f t="shared" si="10"/>
        <v>659.26656899905515</v>
      </c>
      <c r="U33" s="68">
        <f t="shared" si="11"/>
        <v>743.07057539940638</v>
      </c>
      <c r="X33" s="5"/>
      <c r="Y33" s="5"/>
      <c r="Z33" s="5"/>
      <c r="AA33" s="5"/>
      <c r="AB33" s="5"/>
      <c r="AC33" s="5"/>
      <c r="AD33" s="5"/>
      <c r="AE33" s="5"/>
      <c r="AF33" s="5"/>
      <c r="AG33" s="5"/>
      <c r="AH33" s="5"/>
      <c r="AI33" s="5"/>
      <c r="AJ33" s="5"/>
      <c r="AK33" s="5"/>
    </row>
    <row r="34" spans="2:37" s="19" customFormat="1" x14ac:dyDescent="0.2">
      <c r="B34" s="182" t="s">
        <v>89</v>
      </c>
      <c r="C34" s="68">
        <f>SUMIF('BP costs'!$B$7:$B$96,$B34,'BP costs'!$D$7:$D$96)</f>
        <v>213.72889346770194</v>
      </c>
      <c r="D34" s="68">
        <f>SUMIF('BP costs'!$B$7:$B$96,$B34,'BP costs'!$I$7:$I$96)</f>
        <v>2046.6896539850868</v>
      </c>
      <c r="E34" s="68">
        <f t="shared" si="12"/>
        <v>2260.4185474527885</v>
      </c>
      <c r="F34" s="183">
        <f t="shared" si="13"/>
        <v>9.4552795856567312E-2</v>
      </c>
      <c r="G34" s="68">
        <f t="shared" si="14"/>
        <v>203.76242160371041</v>
      </c>
      <c r="H34" s="68">
        <f t="shared" si="7"/>
        <v>1951.2497042440498</v>
      </c>
      <c r="I34" s="68">
        <v>2155.0121258477602</v>
      </c>
      <c r="J34" s="68">
        <v>84.325873800054012</v>
      </c>
      <c r="K34" s="68">
        <v>283.03611201153899</v>
      </c>
      <c r="L34" s="68">
        <f t="shared" si="15"/>
        <v>367.361985811593</v>
      </c>
      <c r="M34" s="68">
        <v>78.341579665036875</v>
      </c>
      <c r="N34" s="68">
        <v>226.36903053372833</v>
      </c>
      <c r="O34" s="68">
        <f t="shared" si="16"/>
        <v>304.71061019876521</v>
      </c>
      <c r="P34" s="68">
        <f t="shared" si="17"/>
        <v>298.05476726775595</v>
      </c>
      <c r="Q34" s="68">
        <f t="shared" si="8"/>
        <v>2329.7257659966258</v>
      </c>
      <c r="R34" s="68">
        <f t="shared" si="9"/>
        <v>2627.7805332643816</v>
      </c>
      <c r="S34" s="68">
        <f t="shared" si="18"/>
        <v>282.10400126874731</v>
      </c>
      <c r="T34" s="68">
        <f t="shared" si="10"/>
        <v>2177.6187347777782</v>
      </c>
      <c r="U34" s="68">
        <f t="shared" si="11"/>
        <v>2459.7227360465254</v>
      </c>
      <c r="X34" s="5"/>
      <c r="Y34" s="5"/>
      <c r="Z34" s="5"/>
      <c r="AA34" s="5"/>
      <c r="AB34" s="5"/>
      <c r="AC34" s="5"/>
      <c r="AD34" s="5"/>
      <c r="AE34" s="5"/>
      <c r="AF34" s="5"/>
      <c r="AG34" s="5"/>
      <c r="AH34" s="5"/>
      <c r="AI34" s="5"/>
      <c r="AJ34" s="5"/>
      <c r="AK34" s="5"/>
    </row>
    <row r="35" spans="2:37" s="19" customFormat="1" x14ac:dyDescent="0.2">
      <c r="B35" s="182" t="s">
        <v>19</v>
      </c>
      <c r="C35" s="68">
        <f>SUMIF('BP costs'!$B$7:$B$96,$B35,'BP costs'!$D$7:$D$96)</f>
        <v>33.830999999999996</v>
      </c>
      <c r="D35" s="68">
        <f>SUMIF('BP costs'!$B$7:$B$96,$B35,'BP costs'!$I$7:$I$96)</f>
        <v>552.38599999999997</v>
      </c>
      <c r="E35" s="68">
        <f t="shared" si="12"/>
        <v>586.21699999999998</v>
      </c>
      <c r="F35" s="183">
        <f t="shared" si="13"/>
        <v>5.7710711221271298E-2</v>
      </c>
      <c r="G35" s="68">
        <f t="shared" si="14"/>
        <v>36.38344815798321</v>
      </c>
      <c r="H35" s="68">
        <f t="shared" si="7"/>
        <v>594.06187798751785</v>
      </c>
      <c r="I35" s="68">
        <v>630.44532614550099</v>
      </c>
      <c r="J35" s="68">
        <v>32.274999999999999</v>
      </c>
      <c r="K35" s="68">
        <v>100.85499999999999</v>
      </c>
      <c r="L35" s="68">
        <f t="shared" si="15"/>
        <v>133.13</v>
      </c>
      <c r="M35" s="68">
        <v>32.225702657420761</v>
      </c>
      <c r="N35" s="68">
        <v>100.29629734257924</v>
      </c>
      <c r="O35" s="68">
        <f t="shared" si="16"/>
        <v>132.52199999999999</v>
      </c>
      <c r="P35" s="68">
        <f t="shared" si="17"/>
        <v>66.105999999999995</v>
      </c>
      <c r="Q35" s="68">
        <f t="shared" si="8"/>
        <v>653.24099999999999</v>
      </c>
      <c r="R35" s="68">
        <f t="shared" si="9"/>
        <v>719.34699999999998</v>
      </c>
      <c r="S35" s="68">
        <f t="shared" si="18"/>
        <v>68.609150815403979</v>
      </c>
      <c r="T35" s="68">
        <f t="shared" si="10"/>
        <v>694.35817533009708</v>
      </c>
      <c r="U35" s="68">
        <f t="shared" si="11"/>
        <v>762.96732614550092</v>
      </c>
      <c r="X35" s="5"/>
      <c r="Y35" s="5"/>
      <c r="Z35" s="5"/>
      <c r="AA35" s="5"/>
      <c r="AB35" s="5"/>
      <c r="AC35" s="5"/>
      <c r="AD35" s="5"/>
      <c r="AE35" s="5"/>
      <c r="AF35" s="5"/>
      <c r="AG35" s="5"/>
      <c r="AH35" s="5"/>
      <c r="AI35" s="5"/>
      <c r="AJ35" s="5"/>
      <c r="AK35" s="5"/>
    </row>
    <row r="36" spans="2:37" s="19" customFormat="1" x14ac:dyDescent="0.2">
      <c r="B36" s="182" t="s">
        <v>9</v>
      </c>
      <c r="C36" s="68">
        <f>SUMIF('BP costs'!$B$7:$B$96,$B36,'BP costs'!$D$7:$D$96)</f>
        <v>321.20957461938411</v>
      </c>
      <c r="D36" s="68">
        <f>SUMIF('BP costs'!$B$7:$B$96,$B36,'BP costs'!$I$7:$I$96)</f>
        <v>3321.2858446180467</v>
      </c>
      <c r="E36" s="68">
        <f t="shared" si="12"/>
        <v>3642.4954192374307</v>
      </c>
      <c r="F36" s="183">
        <f t="shared" si="13"/>
        <v>8.81839337183382E-2</v>
      </c>
      <c r="G36" s="68">
        <f t="shared" si="14"/>
        <v>268.55109163813717</v>
      </c>
      <c r="H36" s="68">
        <f t="shared" si="7"/>
        <v>2776.8005990212564</v>
      </c>
      <c r="I36" s="68">
        <v>3045.3516906593936</v>
      </c>
      <c r="J36" s="68">
        <v>101.0781677148388</v>
      </c>
      <c r="K36" s="68">
        <v>429.77621083183436</v>
      </c>
      <c r="L36" s="68">
        <f t="shared" si="15"/>
        <v>530.85437854667316</v>
      </c>
      <c r="M36" s="68">
        <v>83.866799016173047</v>
      </c>
      <c r="N36" s="68">
        <v>419.24184414241591</v>
      </c>
      <c r="O36" s="68">
        <f t="shared" si="16"/>
        <v>503.10864315858896</v>
      </c>
      <c r="P36" s="68">
        <f t="shared" si="17"/>
        <v>422.28774233422291</v>
      </c>
      <c r="Q36" s="68">
        <f t="shared" si="8"/>
        <v>3751.062055449881</v>
      </c>
      <c r="R36" s="68">
        <f t="shared" si="9"/>
        <v>4173.3497977841034</v>
      </c>
      <c r="S36" s="68">
        <f t="shared" si="18"/>
        <v>352.41789065431021</v>
      </c>
      <c r="T36" s="68">
        <f t="shared" si="10"/>
        <v>3196.0424431636725</v>
      </c>
      <c r="U36" s="68">
        <f t="shared" si="11"/>
        <v>3548.4603338179827</v>
      </c>
      <c r="X36" s="5"/>
      <c r="Y36" s="5"/>
      <c r="Z36" s="5"/>
      <c r="AA36" s="5"/>
      <c r="AB36" s="5"/>
      <c r="AC36" s="5"/>
      <c r="AD36" s="5"/>
      <c r="AE36" s="5"/>
      <c r="AF36" s="5"/>
      <c r="AG36" s="5"/>
      <c r="AH36" s="5"/>
      <c r="AI36" s="5"/>
      <c r="AJ36" s="5"/>
      <c r="AK36" s="5"/>
    </row>
    <row r="37" spans="2:37" s="19" customFormat="1" x14ac:dyDescent="0.2">
      <c r="B37" s="182" t="s">
        <v>23</v>
      </c>
      <c r="C37" s="68">
        <f>SUMIF('BP costs'!$B$7:$B$96,$B37,'BP costs'!$D$7:$D$96)</f>
        <v>112.221</v>
      </c>
      <c r="D37" s="68">
        <f>SUMIF('BP costs'!$B$7:$B$96,$B37,'BP costs'!$I$7:$I$96)</f>
        <v>864.8309999999999</v>
      </c>
      <c r="E37" s="68">
        <f t="shared" si="12"/>
        <v>977.05199999999991</v>
      </c>
      <c r="F37" s="183">
        <f t="shared" si="13"/>
        <v>0.11485673229265178</v>
      </c>
      <c r="G37" s="68">
        <f t="shared" si="14"/>
        <v>112.07606092056595</v>
      </c>
      <c r="H37" s="68">
        <f t="shared" si="7"/>
        <v>863.71402716063801</v>
      </c>
      <c r="I37" s="68">
        <v>975.79008808120398</v>
      </c>
      <c r="J37" s="68">
        <v>43.204999999999998</v>
      </c>
      <c r="K37" s="68">
        <v>75.480999999999995</v>
      </c>
      <c r="L37" s="68">
        <f t="shared" si="15"/>
        <v>118.68599999999999</v>
      </c>
      <c r="M37" s="68">
        <v>43.211983005987868</v>
      </c>
      <c r="N37" s="68">
        <v>75.673016994012144</v>
      </c>
      <c r="O37" s="68">
        <f t="shared" si="16"/>
        <v>118.88500000000002</v>
      </c>
      <c r="P37" s="68">
        <f t="shared" si="17"/>
        <v>155.42599999999999</v>
      </c>
      <c r="Q37" s="68">
        <f t="shared" si="8"/>
        <v>940.3119999999999</v>
      </c>
      <c r="R37" s="68">
        <f t="shared" si="9"/>
        <v>1095.7379999999998</v>
      </c>
      <c r="S37" s="68">
        <f t="shared" si="18"/>
        <v>155.28804392655383</v>
      </c>
      <c r="T37" s="68">
        <f t="shared" si="10"/>
        <v>939.3870441546502</v>
      </c>
      <c r="U37" s="68">
        <f t="shared" si="11"/>
        <v>1094.675088081204</v>
      </c>
      <c r="X37" s="5"/>
      <c r="Y37" s="5"/>
      <c r="Z37" s="5"/>
      <c r="AA37" s="5"/>
      <c r="AB37" s="5"/>
      <c r="AC37" s="5"/>
      <c r="AD37" s="5"/>
      <c r="AE37" s="5"/>
      <c r="AF37" s="5"/>
      <c r="AG37" s="5"/>
      <c r="AH37" s="5"/>
      <c r="AI37" s="5"/>
      <c r="AJ37" s="5"/>
      <c r="AK37" s="5"/>
    </row>
    <row r="38" spans="2:37" s="19" customFormat="1" x14ac:dyDescent="0.2">
      <c r="B38" s="182" t="s">
        <v>10</v>
      </c>
      <c r="C38" s="68">
        <f>SUMIF('BP costs'!$B$7:$B$96,$B38,'BP costs'!$D$7:$D$96)</f>
        <v>49.557739922868222</v>
      </c>
      <c r="D38" s="68">
        <f>SUMIF('BP costs'!$B$7:$B$96,$B38,'BP costs'!$I$7:$I$96)</f>
        <v>416.05361582600949</v>
      </c>
      <c r="E38" s="68">
        <f t="shared" si="12"/>
        <v>465.61135574887771</v>
      </c>
      <c r="F38" s="183">
        <f t="shared" si="13"/>
        <v>0.10643584893491437</v>
      </c>
      <c r="G38" s="68">
        <f t="shared" si="14"/>
        <v>49.326846192208123</v>
      </c>
      <c r="H38" s="68">
        <f t="shared" si="7"/>
        <v>414.11518659856273</v>
      </c>
      <c r="I38" s="68">
        <v>463.4420327907709</v>
      </c>
      <c r="J38" s="68">
        <v>14.896544577355751</v>
      </c>
      <c r="K38" s="68">
        <v>71.986153322153399</v>
      </c>
      <c r="L38" s="68">
        <f t="shared" si="15"/>
        <v>86.882697899509154</v>
      </c>
      <c r="M38" s="68">
        <v>14.89644645303289</v>
      </c>
      <c r="N38" s="68">
        <v>71.967948124322859</v>
      </c>
      <c r="O38" s="68">
        <f t="shared" si="16"/>
        <v>86.864394577355753</v>
      </c>
      <c r="P38" s="68">
        <f t="shared" si="17"/>
        <v>64.454284500223977</v>
      </c>
      <c r="Q38" s="68">
        <f t="shared" si="8"/>
        <v>488.03976914816292</v>
      </c>
      <c r="R38" s="68">
        <f t="shared" si="9"/>
        <v>552.49405364838685</v>
      </c>
      <c r="S38" s="68">
        <f t="shared" si="18"/>
        <v>64.223292645241017</v>
      </c>
      <c r="T38" s="68">
        <f t="shared" si="10"/>
        <v>486.08313472288557</v>
      </c>
      <c r="U38" s="68">
        <f t="shared" si="11"/>
        <v>550.30642736812661</v>
      </c>
      <c r="X38" s="5"/>
      <c r="Y38" s="5"/>
      <c r="Z38" s="5"/>
      <c r="AA38" s="5"/>
      <c r="AB38" s="5"/>
      <c r="AC38" s="5"/>
      <c r="AD38" s="5"/>
      <c r="AE38" s="5"/>
      <c r="AF38" s="5"/>
      <c r="AG38" s="5"/>
      <c r="AH38" s="5"/>
      <c r="AI38" s="5"/>
      <c r="AJ38" s="5"/>
      <c r="AK38" s="5"/>
    </row>
    <row r="39" spans="2:37" s="19" customFormat="1" x14ac:dyDescent="0.2">
      <c r="B39" s="182" t="s">
        <v>11</v>
      </c>
      <c r="C39" s="68">
        <f>SUMIF('BP costs'!$B$7:$B$96,$B39,'BP costs'!$D$7:$D$96)</f>
        <v>137.24600000000001</v>
      </c>
      <c r="D39" s="68">
        <f>SUMIF('BP costs'!$B$7:$B$96,$B39,'BP costs'!$I$7:$I$96)</f>
        <v>1275.3609999999999</v>
      </c>
      <c r="E39" s="68">
        <f t="shared" si="12"/>
        <v>1412.607</v>
      </c>
      <c r="F39" s="183">
        <f t="shared" si="13"/>
        <v>9.7157949804864349E-2</v>
      </c>
      <c r="G39" s="68">
        <f t="shared" si="14"/>
        <v>128.07791921630974</v>
      </c>
      <c r="H39" s="68">
        <f t="shared" si="7"/>
        <v>1190.1664393106685</v>
      </c>
      <c r="I39" s="68">
        <v>1318.2443585269782</v>
      </c>
      <c r="J39" s="68">
        <v>67.171999999999997</v>
      </c>
      <c r="K39" s="68">
        <v>198.09700000000004</v>
      </c>
      <c r="L39" s="68">
        <f t="shared" si="15"/>
        <v>265.26900000000001</v>
      </c>
      <c r="M39" s="68">
        <v>64.907430279905725</v>
      </c>
      <c r="N39" s="68">
        <v>171.15406972009424</v>
      </c>
      <c r="O39" s="68">
        <f t="shared" si="16"/>
        <v>236.06149999999997</v>
      </c>
      <c r="P39" s="68">
        <f t="shared" si="17"/>
        <v>204.41800000000001</v>
      </c>
      <c r="Q39" s="68">
        <f t="shared" si="8"/>
        <v>1473.4579999999999</v>
      </c>
      <c r="R39" s="68">
        <f t="shared" si="9"/>
        <v>1677.876</v>
      </c>
      <c r="S39" s="68">
        <f t="shared" si="18"/>
        <v>192.98534949621546</v>
      </c>
      <c r="T39" s="68">
        <f t="shared" si="10"/>
        <v>1361.3205090307627</v>
      </c>
      <c r="U39" s="68">
        <f t="shared" si="11"/>
        <v>1554.3058585269782</v>
      </c>
      <c r="X39" s="5"/>
      <c r="Y39" s="5"/>
      <c r="Z39" s="5"/>
      <c r="AA39" s="5"/>
      <c r="AB39" s="5"/>
      <c r="AC39" s="5"/>
      <c r="AD39" s="5"/>
      <c r="AE39" s="5"/>
      <c r="AF39" s="5"/>
      <c r="AG39" s="5"/>
      <c r="AH39" s="5"/>
      <c r="AI39" s="5"/>
      <c r="AJ39" s="5"/>
      <c r="AK39" s="5"/>
    </row>
    <row r="40" spans="2:37" s="19" customFormat="1" x14ac:dyDescent="0.2">
      <c r="B40" s="182" t="s">
        <v>12</v>
      </c>
      <c r="C40" s="68">
        <f>SUMIF('BP costs'!$B$7:$B$96,$B40,'BP costs'!$D$7:$D$96)</f>
        <v>74.528679059792566</v>
      </c>
      <c r="D40" s="68">
        <f>SUMIF('BP costs'!$B$7:$B$96,$B40,'BP costs'!$I$7:$I$96)</f>
        <v>931.31996705103927</v>
      </c>
      <c r="E40" s="68">
        <f t="shared" si="12"/>
        <v>1005.8486461108319</v>
      </c>
      <c r="F40" s="183">
        <f t="shared" si="13"/>
        <v>7.4095321744441112E-2</v>
      </c>
      <c r="G40" s="68">
        <f t="shared" si="14"/>
        <v>70.630711743238052</v>
      </c>
      <c r="H40" s="68">
        <f t="shared" si="7"/>
        <v>882.61046570717247</v>
      </c>
      <c r="I40" s="68">
        <v>953.24117745041053</v>
      </c>
      <c r="J40" s="68">
        <v>31.05348050556265</v>
      </c>
      <c r="K40" s="68">
        <v>72.385366216757603</v>
      </c>
      <c r="L40" s="68">
        <f t="shared" si="15"/>
        <v>103.43884672232025</v>
      </c>
      <c r="M40" s="68">
        <v>31.053480505562639</v>
      </c>
      <c r="N40" s="68">
        <v>72.385366216757603</v>
      </c>
      <c r="O40" s="68">
        <f t="shared" si="16"/>
        <v>103.43884672232025</v>
      </c>
      <c r="P40" s="68">
        <f t="shared" si="17"/>
        <v>105.58215956535521</v>
      </c>
      <c r="Q40" s="68">
        <f t="shared" si="8"/>
        <v>1003.7053332677968</v>
      </c>
      <c r="R40" s="68">
        <f t="shared" si="9"/>
        <v>1109.2874928331521</v>
      </c>
      <c r="S40" s="68">
        <f t="shared" si="18"/>
        <v>101.68419224880068</v>
      </c>
      <c r="T40" s="68">
        <f t="shared" si="10"/>
        <v>954.99583192393004</v>
      </c>
      <c r="U40" s="68">
        <f t="shared" si="11"/>
        <v>1056.6800241727308</v>
      </c>
      <c r="V40" s="207"/>
      <c r="X40" s="5"/>
      <c r="Y40" s="5"/>
      <c r="Z40" s="5"/>
      <c r="AA40" s="5"/>
      <c r="AB40" s="5"/>
      <c r="AC40" s="5"/>
      <c r="AD40" s="5"/>
      <c r="AE40" s="5"/>
      <c r="AF40" s="5"/>
      <c r="AG40" s="5"/>
      <c r="AH40" s="5"/>
      <c r="AI40" s="5"/>
      <c r="AJ40" s="5"/>
      <c r="AK40" s="5"/>
    </row>
    <row r="41" spans="2:37" s="19" customFormat="1" x14ac:dyDescent="0.2">
      <c r="B41" s="182" t="s">
        <v>13</v>
      </c>
      <c r="C41" s="68">
        <f>SUMIF('BP costs'!$B$7:$B$96,$B41,'BP costs'!$D$7:$D$96)</f>
        <v>50.018000000000001</v>
      </c>
      <c r="D41" s="68">
        <f>SUMIF('BP costs'!$B$7:$B$96,$B41,'BP costs'!$I$7:$I$96)</f>
        <v>333.25499999999994</v>
      </c>
      <c r="E41" s="68">
        <f t="shared" si="12"/>
        <v>383.27299999999991</v>
      </c>
      <c r="F41" s="183">
        <f t="shared" si="13"/>
        <v>0.13050227905435555</v>
      </c>
      <c r="G41" s="68">
        <f t="shared" si="14"/>
        <v>42.929965187803901</v>
      </c>
      <c r="H41" s="68">
        <f t="shared" si="7"/>
        <v>286.02954033870981</v>
      </c>
      <c r="I41" s="68">
        <v>328.95950552651368</v>
      </c>
      <c r="J41" s="68">
        <v>20.847999999999999</v>
      </c>
      <c r="K41" s="68">
        <v>21.122999999999998</v>
      </c>
      <c r="L41" s="68">
        <f t="shared" si="15"/>
        <v>41.970999999999997</v>
      </c>
      <c r="M41" s="68">
        <v>20.848766830011424</v>
      </c>
      <c r="N41" s="68">
        <v>17.797093169988571</v>
      </c>
      <c r="O41" s="68">
        <f t="shared" si="16"/>
        <v>38.645859999999999</v>
      </c>
      <c r="P41" s="68">
        <f t="shared" si="17"/>
        <v>70.866</v>
      </c>
      <c r="Q41" s="68">
        <f t="shared" si="8"/>
        <v>354.37799999999993</v>
      </c>
      <c r="R41" s="68">
        <f t="shared" si="9"/>
        <v>425.24399999999991</v>
      </c>
      <c r="S41" s="68">
        <f t="shared" si="18"/>
        <v>63.778732017815329</v>
      </c>
      <c r="T41" s="68">
        <f t="shared" si="10"/>
        <v>303.82663350869836</v>
      </c>
      <c r="U41" s="68">
        <f t="shared" si="11"/>
        <v>367.60536552651365</v>
      </c>
      <c r="X41" s="5"/>
      <c r="Y41" s="5"/>
      <c r="Z41" s="5"/>
      <c r="AA41" s="5"/>
      <c r="AB41" s="5"/>
      <c r="AC41" s="5"/>
      <c r="AD41" s="5"/>
      <c r="AE41" s="5"/>
      <c r="AF41" s="5"/>
      <c r="AG41" s="5"/>
      <c r="AH41" s="5"/>
      <c r="AI41" s="5"/>
      <c r="AJ41" s="5"/>
      <c r="AK41" s="5"/>
    </row>
    <row r="42" spans="2:37" s="19" customFormat="1" x14ac:dyDescent="0.2">
      <c r="B42" s="182" t="s">
        <v>15</v>
      </c>
      <c r="C42" s="68">
        <f>SUMIF('BP costs'!$B$7:$B$96,$B42,'BP costs'!$D$7:$D$96)</f>
        <v>15.091999999999999</v>
      </c>
      <c r="D42" s="68">
        <f>SUMIF('BP costs'!$B$7:$B$96,$B42,'BP costs'!$I$7:$I$96)</f>
        <v>111.51500000000001</v>
      </c>
      <c r="E42" s="68">
        <f t="shared" si="12"/>
        <v>126.60700000000001</v>
      </c>
      <c r="F42" s="183">
        <f>C42/E42</f>
        <v>0.11920351955263135</v>
      </c>
      <c r="G42" s="68">
        <f t="shared" si="14"/>
        <v>18.240465534351404</v>
      </c>
      <c r="H42" s="68">
        <f t="shared" si="7"/>
        <v>134.77905606037621</v>
      </c>
      <c r="I42" s="68">
        <v>153.01952159472759</v>
      </c>
      <c r="J42" s="68">
        <v>8.5219999999999985</v>
      </c>
      <c r="K42" s="68">
        <v>9.7359999999999989</v>
      </c>
      <c r="L42" s="68">
        <f t="shared" si="15"/>
        <v>18.257999999999996</v>
      </c>
      <c r="M42" s="68">
        <v>8.6143450054558066</v>
      </c>
      <c r="N42" s="68">
        <v>10.072654994544189</v>
      </c>
      <c r="O42" s="68">
        <f t="shared" si="16"/>
        <v>18.686999999999998</v>
      </c>
      <c r="P42" s="68">
        <f t="shared" si="17"/>
        <v>23.613999999999997</v>
      </c>
      <c r="Q42" s="68">
        <f t="shared" si="8"/>
        <v>121.25100000000002</v>
      </c>
      <c r="R42" s="68">
        <f t="shared" si="9"/>
        <v>144.86500000000001</v>
      </c>
      <c r="S42" s="68">
        <f t="shared" si="18"/>
        <v>26.854810539807211</v>
      </c>
      <c r="T42" s="68">
        <f t="shared" si="10"/>
        <v>144.8517110549204</v>
      </c>
      <c r="U42" s="68">
        <f t="shared" si="11"/>
        <v>171.70652159472758</v>
      </c>
      <c r="X42" s="5"/>
      <c r="Y42" s="5"/>
      <c r="Z42" s="5"/>
      <c r="AA42" s="5"/>
      <c r="AB42" s="5"/>
      <c r="AC42" s="5"/>
      <c r="AD42" s="5"/>
      <c r="AE42" s="5"/>
      <c r="AF42" s="5"/>
      <c r="AG42" s="5"/>
      <c r="AH42" s="5"/>
      <c r="AI42" s="5"/>
      <c r="AJ42" s="5"/>
      <c r="AK42" s="5"/>
    </row>
    <row r="43" spans="2:37" s="19" customFormat="1" x14ac:dyDescent="0.2">
      <c r="B43" s="182" t="s">
        <v>16</v>
      </c>
      <c r="C43" s="68">
        <f>SUMIF('BP costs'!$B$7:$B$96,$B43,'BP costs'!$D$7:$D$96)</f>
        <v>18.451000000000001</v>
      </c>
      <c r="D43" s="68">
        <f>SUMIF('BP costs'!$B$7:$B$96,$B43,'BP costs'!$I$7:$I$96)</f>
        <v>164.215</v>
      </c>
      <c r="E43" s="68">
        <f t="shared" si="12"/>
        <v>182.666</v>
      </c>
      <c r="F43" s="183">
        <f t="shared" si="13"/>
        <v>0.10100949273537495</v>
      </c>
      <c r="G43" s="68">
        <f t="shared" si="14"/>
        <v>17.145275278999787</v>
      </c>
      <c r="H43" s="68">
        <f t="shared" si="7"/>
        <v>152.59397213923094</v>
      </c>
      <c r="I43" s="68">
        <v>169.73924741823072</v>
      </c>
      <c r="J43" s="68">
        <v>5.2949999999999999</v>
      </c>
      <c r="K43" s="68">
        <v>16.157</v>
      </c>
      <c r="L43" s="68">
        <f t="shared" si="15"/>
        <v>21.451999999999998</v>
      </c>
      <c r="M43" s="68">
        <v>5.2951678445229682</v>
      </c>
      <c r="N43" s="68">
        <v>16.134139062432958</v>
      </c>
      <c r="O43" s="68">
        <f t="shared" si="16"/>
        <v>21.429306906955926</v>
      </c>
      <c r="P43" s="68">
        <f t="shared" si="17"/>
        <v>23.746000000000002</v>
      </c>
      <c r="Q43" s="68">
        <f t="shared" si="8"/>
        <v>180.37200000000001</v>
      </c>
      <c r="R43" s="68">
        <f t="shared" si="9"/>
        <v>204.11799999999999</v>
      </c>
      <c r="S43" s="68">
        <f t="shared" si="18"/>
        <v>22.440443123522755</v>
      </c>
      <c r="T43" s="68">
        <f t="shared" si="10"/>
        <v>168.72811120166389</v>
      </c>
      <c r="U43" s="68">
        <f t="shared" si="11"/>
        <v>191.16855432518665</v>
      </c>
      <c r="X43" s="5"/>
      <c r="Y43" s="5"/>
      <c r="Z43" s="5"/>
      <c r="AA43" s="5"/>
      <c r="AB43" s="5"/>
      <c r="AC43" s="5"/>
      <c r="AD43" s="5"/>
      <c r="AE43" s="5"/>
      <c r="AF43" s="5"/>
      <c r="AG43" s="5"/>
      <c r="AH43" s="5"/>
      <c r="AI43" s="5"/>
      <c r="AJ43" s="5"/>
      <c r="AK43" s="5"/>
    </row>
    <row r="44" spans="2:37" s="19" customFormat="1" x14ac:dyDescent="0.2">
      <c r="B44" s="182" t="s">
        <v>17</v>
      </c>
      <c r="C44" s="68">
        <f>SUMIF('BP costs'!$B$7:$B$96,$B44,'BP costs'!$D$7:$D$96)</f>
        <v>65.827937037084979</v>
      </c>
      <c r="D44" s="68">
        <f>SUMIF('BP costs'!$B$7:$B$96,$B44,'BP costs'!$I$7:$I$96)</f>
        <v>579.62342777579317</v>
      </c>
      <c r="E44" s="68">
        <f t="shared" si="12"/>
        <v>645.45136481287818</v>
      </c>
      <c r="F44" s="183">
        <f t="shared" si="13"/>
        <v>0.10198744727446514</v>
      </c>
      <c r="G44" s="68">
        <f t="shared" si="14"/>
        <v>59.6701507528891</v>
      </c>
      <c r="H44" s="68">
        <f t="shared" si="7"/>
        <v>525.40332983248948</v>
      </c>
      <c r="I44" s="68">
        <v>585.07348058537855</v>
      </c>
      <c r="J44" s="68">
        <v>19.538</v>
      </c>
      <c r="K44" s="68">
        <v>101.62800000000001</v>
      </c>
      <c r="L44" s="68">
        <f t="shared" si="15"/>
        <v>121.16600000000001</v>
      </c>
      <c r="M44" s="68">
        <v>18.914165871059119</v>
      </c>
      <c r="N44" s="68">
        <v>90.465589346521199</v>
      </c>
      <c r="O44" s="68">
        <f t="shared" si="16"/>
        <v>109.37975521758031</v>
      </c>
      <c r="P44" s="68">
        <f t="shared" si="17"/>
        <v>85.365937037084976</v>
      </c>
      <c r="Q44" s="68">
        <f t="shared" si="8"/>
        <v>681.25142777579322</v>
      </c>
      <c r="R44" s="68">
        <f t="shared" si="9"/>
        <v>766.61736481287824</v>
      </c>
      <c r="S44" s="68">
        <f t="shared" si="18"/>
        <v>78.584316623948212</v>
      </c>
      <c r="T44" s="68">
        <f t="shared" si="10"/>
        <v>615.86891917901062</v>
      </c>
      <c r="U44" s="68">
        <f t="shared" si="11"/>
        <v>694.45323580295883</v>
      </c>
      <c r="X44" s="5"/>
      <c r="Y44" s="5"/>
      <c r="Z44" s="5"/>
      <c r="AA44" s="5"/>
      <c r="AB44" s="5"/>
      <c r="AC44" s="5"/>
      <c r="AD44" s="5"/>
      <c r="AE44" s="5"/>
      <c r="AF44" s="5"/>
      <c r="AG44" s="5"/>
      <c r="AH44" s="5"/>
      <c r="AI44" s="5"/>
      <c r="AJ44" s="5"/>
      <c r="AK44" s="5"/>
    </row>
    <row r="45" spans="2:37" s="19" customFormat="1" x14ac:dyDescent="0.2">
      <c r="B45" s="182" t="s">
        <v>18</v>
      </c>
      <c r="C45" s="68">
        <f>SUMIF('BP costs'!$B$7:$B$96,$B45,'BP costs'!$D$7:$D$96)</f>
        <v>28.987023240116798</v>
      </c>
      <c r="D45" s="68">
        <f>SUMIF('BP costs'!$B$7:$B$96,$B45,'BP costs'!$I$7:$I$96)</f>
        <v>399.03450518061862</v>
      </c>
      <c r="E45" s="68">
        <f t="shared" si="12"/>
        <v>428.02152842073542</v>
      </c>
      <c r="F45" s="183">
        <f t="shared" si="13"/>
        <v>6.7723283328924549E-2</v>
      </c>
      <c r="G45" s="68">
        <f t="shared" si="14"/>
        <v>26.003485453311818</v>
      </c>
      <c r="H45" s="68">
        <f t="shared" si="7"/>
        <v>357.96321218914812</v>
      </c>
      <c r="I45" s="68">
        <v>383.96669764245991</v>
      </c>
      <c r="J45" s="68">
        <v>16.389082910437828</v>
      </c>
      <c r="K45" s="68">
        <v>28.837538679297577</v>
      </c>
      <c r="L45" s="68">
        <f t="shared" si="15"/>
        <v>45.226621589735402</v>
      </c>
      <c r="M45" s="68">
        <v>16.389082910437811</v>
      </c>
      <c r="N45" s="68">
        <v>28.63000428087647</v>
      </c>
      <c r="O45" s="68">
        <f t="shared" si="16"/>
        <v>45.019087191314284</v>
      </c>
      <c r="P45" s="68">
        <f t="shared" si="17"/>
        <v>45.376106150554627</v>
      </c>
      <c r="Q45" s="68">
        <f t="shared" si="8"/>
        <v>427.87204385991618</v>
      </c>
      <c r="R45" s="68">
        <f t="shared" si="9"/>
        <v>473.24815001047079</v>
      </c>
      <c r="S45" s="68">
        <f t="shared" si="18"/>
        <v>42.392568363749632</v>
      </c>
      <c r="T45" s="68">
        <f t="shared" si="10"/>
        <v>386.59321647002457</v>
      </c>
      <c r="U45" s="68">
        <f t="shared" si="11"/>
        <v>428.98578483377418</v>
      </c>
      <c r="X45" s="5"/>
      <c r="Y45" s="5"/>
      <c r="Z45" s="5"/>
      <c r="AA45" s="5"/>
      <c r="AB45" s="5"/>
      <c r="AC45" s="5"/>
      <c r="AD45" s="5"/>
      <c r="AE45" s="5"/>
      <c r="AF45" s="5"/>
      <c r="AG45" s="5"/>
      <c r="AH45" s="5"/>
      <c r="AI45" s="5"/>
      <c r="AJ45" s="5"/>
      <c r="AK45" s="5"/>
    </row>
    <row r="46" spans="2:37" s="19" customFormat="1" x14ac:dyDescent="0.2">
      <c r="B46" s="184" t="s">
        <v>33</v>
      </c>
      <c r="C46" s="185">
        <f t="shared" ref="C46:E46" si="19">SUM(C29:C45)</f>
        <v>1649.8887766908033</v>
      </c>
      <c r="D46" s="185">
        <f t="shared" si="19"/>
        <v>15922.795643922116</v>
      </c>
      <c r="E46" s="185">
        <f t="shared" si="19"/>
        <v>17572.684420612917</v>
      </c>
      <c r="F46" s="186">
        <f t="shared" si="13"/>
        <v>9.3889398864721488E-2</v>
      </c>
      <c r="G46" s="185">
        <f t="shared" ref="G46:I46" si="20">SUM(G29:G45)</f>
        <v>1517.0460657375106</v>
      </c>
      <c r="H46" s="185">
        <f t="shared" si="20"/>
        <v>14687.883689341488</v>
      </c>
      <c r="I46" s="185">
        <f t="shared" si="20"/>
        <v>16204.929755078994</v>
      </c>
      <c r="J46" s="185">
        <f t="shared" ref="J46:R46" si="21">SUM(J29:J45)</f>
        <v>873.24305320806559</v>
      </c>
      <c r="K46" s="185">
        <f t="shared" si="21"/>
        <v>2116.3167559334365</v>
      </c>
      <c r="L46" s="185">
        <f t="shared" si="21"/>
        <v>2989.5598091415022</v>
      </c>
      <c r="M46" s="185">
        <f t="shared" si="21"/>
        <v>845.2011278294749</v>
      </c>
      <c r="N46" s="185">
        <f t="shared" si="21"/>
        <v>1985.8766062800839</v>
      </c>
      <c r="O46" s="185">
        <f t="shared" si="21"/>
        <v>2831.0777341095582</v>
      </c>
      <c r="P46" s="185">
        <f t="shared" si="21"/>
        <v>2523.131829898869</v>
      </c>
      <c r="Q46" s="185">
        <f t="shared" si="21"/>
        <v>18039.112399855556</v>
      </c>
      <c r="R46" s="185">
        <f t="shared" si="21"/>
        <v>20562.244229754415</v>
      </c>
      <c r="S46" s="185">
        <f t="shared" ref="S46:U46" si="22">SUM(S29:S45)</f>
        <v>2362.2471935669851</v>
      </c>
      <c r="T46" s="185">
        <f t="shared" si="22"/>
        <v>16673.760295621571</v>
      </c>
      <c r="U46" s="185">
        <f t="shared" si="22"/>
        <v>19036.007489188552</v>
      </c>
      <c r="X46" s="5"/>
      <c r="Y46" s="5"/>
      <c r="Z46" s="5"/>
      <c r="AA46" s="5"/>
      <c r="AB46" s="5"/>
      <c r="AC46" s="5"/>
      <c r="AD46" s="5"/>
      <c r="AE46" s="5"/>
      <c r="AF46" s="5"/>
      <c r="AG46" s="5"/>
      <c r="AH46" s="5"/>
      <c r="AI46" s="5"/>
      <c r="AJ46" s="5"/>
      <c r="AK46" s="5"/>
    </row>
    <row r="47" spans="2:37" x14ac:dyDescent="0.2">
      <c r="I47" s="208"/>
    </row>
    <row r="48" spans="2:37" s="19" customFormat="1" x14ac:dyDescent="0.2">
      <c r="I48" s="207"/>
      <c r="X48" s="5"/>
      <c r="Y48" s="5"/>
      <c r="Z48" s="5"/>
      <c r="AA48" s="5"/>
      <c r="AB48" s="5"/>
      <c r="AC48" s="5"/>
      <c r="AD48" s="5"/>
      <c r="AE48" s="5"/>
      <c r="AF48" s="5"/>
      <c r="AG48" s="5"/>
      <c r="AH48" s="5"/>
      <c r="AI48" s="5"/>
      <c r="AJ48" s="5"/>
      <c r="AK48" s="5"/>
    </row>
    <row r="49" spans="2:37" s="19" customFormat="1" ht="34.5" customHeight="1" x14ac:dyDescent="0.2">
      <c r="B49" s="201" t="s">
        <v>276</v>
      </c>
      <c r="C49" s="197" t="s">
        <v>375</v>
      </c>
      <c r="D49" s="209"/>
      <c r="E49" s="209"/>
      <c r="F49" s="197" t="s">
        <v>378</v>
      </c>
      <c r="G49" s="181"/>
      <c r="H49" s="181"/>
      <c r="J49" s="197" t="s">
        <v>376</v>
      </c>
      <c r="K49" s="181"/>
      <c r="L49" s="181"/>
      <c r="M49" s="197" t="s">
        <v>357</v>
      </c>
      <c r="N49" s="181"/>
      <c r="O49" s="181"/>
      <c r="P49" s="196" t="s">
        <v>358</v>
      </c>
      <c r="Q49" s="194"/>
      <c r="R49" s="194"/>
      <c r="T49" s="197" t="s">
        <v>377</v>
      </c>
      <c r="U49" s="181"/>
      <c r="V49" s="181"/>
      <c r="X49" s="5"/>
      <c r="Y49" s="5"/>
      <c r="Z49" s="5"/>
      <c r="AA49" s="5"/>
      <c r="AB49" s="5"/>
      <c r="AC49" s="5"/>
      <c r="AD49" s="5"/>
      <c r="AE49" s="5"/>
      <c r="AF49" s="5"/>
      <c r="AG49" s="5"/>
      <c r="AH49" s="5"/>
      <c r="AI49" s="5"/>
      <c r="AJ49" s="5"/>
      <c r="AK49" s="5"/>
    </row>
    <row r="50" spans="2:37" s="19" customFormat="1" ht="38.25" customHeight="1" x14ac:dyDescent="0.2">
      <c r="B50" s="35" t="s">
        <v>20</v>
      </c>
      <c r="C50" s="35" t="s">
        <v>123</v>
      </c>
      <c r="D50" s="35" t="s">
        <v>374</v>
      </c>
      <c r="E50" s="35" t="s">
        <v>112</v>
      </c>
      <c r="F50" s="35" t="s">
        <v>123</v>
      </c>
      <c r="G50" s="35" t="s">
        <v>374</v>
      </c>
      <c r="H50" s="35" t="s">
        <v>112</v>
      </c>
      <c r="J50" s="35" t="s">
        <v>123</v>
      </c>
      <c r="K50" s="35" t="s">
        <v>374</v>
      </c>
      <c r="L50" s="35" t="s">
        <v>112</v>
      </c>
      <c r="M50" s="35" t="s">
        <v>123</v>
      </c>
      <c r="N50" s="35" t="s">
        <v>374</v>
      </c>
      <c r="O50" s="35" t="s">
        <v>112</v>
      </c>
      <c r="P50" s="35" t="s">
        <v>123</v>
      </c>
      <c r="Q50" s="35" t="s">
        <v>374</v>
      </c>
      <c r="R50" s="35" t="s">
        <v>112</v>
      </c>
      <c r="U50" s="212" t="s">
        <v>112</v>
      </c>
      <c r="X50" s="5"/>
      <c r="Y50" s="5"/>
      <c r="Z50" s="5"/>
      <c r="AA50" s="5"/>
      <c r="AB50" s="5"/>
      <c r="AC50" s="5"/>
      <c r="AD50" s="5"/>
      <c r="AE50" s="5"/>
      <c r="AF50" s="5"/>
      <c r="AG50" s="5"/>
      <c r="AH50" s="5"/>
      <c r="AI50" s="5"/>
      <c r="AJ50" s="5"/>
      <c r="AK50" s="5"/>
    </row>
    <row r="51" spans="2:37" s="19" customFormat="1" x14ac:dyDescent="0.2">
      <c r="B51" s="182" t="s">
        <v>4</v>
      </c>
      <c r="C51" s="68">
        <v>84.575370545525445</v>
      </c>
      <c r="D51" s="68">
        <v>955.64863848685604</v>
      </c>
      <c r="E51" s="68">
        <f>C51+D51</f>
        <v>1040.2240090323814</v>
      </c>
      <c r="F51" s="68">
        <v>62.81854844261796</v>
      </c>
      <c r="G51" s="68">
        <v>516.54852170544939</v>
      </c>
      <c r="H51" s="68">
        <f t="shared" ref="H51:H67" si="23">F51+G51</f>
        <v>579.36707014806734</v>
      </c>
      <c r="I51" s="207"/>
      <c r="J51" s="68">
        <v>30.279036417862791</v>
      </c>
      <c r="K51" s="68">
        <v>91.688719083762265</v>
      </c>
      <c r="L51" s="68">
        <f t="shared" ref="L51:L67" si="24">J51+K51</f>
        <v>121.96775550162505</v>
      </c>
      <c r="M51" s="68">
        <v>3.2107497500912738</v>
      </c>
      <c r="N51" s="68">
        <v>9.7225528521345801</v>
      </c>
      <c r="O51" s="68">
        <f t="shared" ref="O51:O67" si="25">M51+N51</f>
        <v>12.933302602225854</v>
      </c>
      <c r="P51" s="68">
        <f t="shared" ref="P51:P67" si="26">F51-M51</f>
        <v>59.607798692526686</v>
      </c>
      <c r="Q51" s="68">
        <f t="shared" ref="Q51:Q67" si="27">G51-N51</f>
        <v>506.82596885331481</v>
      </c>
      <c r="R51" s="68">
        <f t="shared" ref="R51:R67" si="28">H51-O51</f>
        <v>566.43376754584153</v>
      </c>
      <c r="U51" s="210">
        <v>1259.7095622572015</v>
      </c>
      <c r="X51" s="5"/>
      <c r="Y51" s="5"/>
      <c r="Z51" s="5"/>
      <c r="AA51" s="5"/>
      <c r="AB51" s="5"/>
      <c r="AC51" s="5"/>
      <c r="AD51" s="5"/>
      <c r="AE51" s="5"/>
      <c r="AF51" s="5"/>
      <c r="AG51" s="5"/>
      <c r="AH51" s="5"/>
      <c r="AI51" s="5"/>
      <c r="AJ51" s="5"/>
      <c r="AK51" s="5"/>
    </row>
    <row r="52" spans="2:37" s="19" customFormat="1" x14ac:dyDescent="0.2">
      <c r="B52" s="182" t="s">
        <v>90</v>
      </c>
      <c r="C52" s="68">
        <v>5.4905298183432532</v>
      </c>
      <c r="D52" s="68">
        <v>12.358387786753926</v>
      </c>
      <c r="E52" s="68">
        <f t="shared" ref="E52:E67" si="29">C52+D52</f>
        <v>17.848917605097178</v>
      </c>
      <c r="F52" s="68">
        <v>7.1657648731727548</v>
      </c>
      <c r="G52" s="68">
        <v>5.8703788077364463</v>
      </c>
      <c r="H52" s="68">
        <f t="shared" si="23"/>
        <v>13.036143680909202</v>
      </c>
      <c r="I52" s="207"/>
      <c r="J52" s="68">
        <v>0.90768522052583289</v>
      </c>
      <c r="K52" s="68">
        <v>2.7485846660621767</v>
      </c>
      <c r="L52" s="68">
        <f t="shared" si="24"/>
        <v>3.6562698865880097</v>
      </c>
      <c r="M52" s="68">
        <v>0.25199221065021721</v>
      </c>
      <c r="N52" s="68">
        <v>0.76306401216828545</v>
      </c>
      <c r="O52" s="68">
        <f t="shared" si="25"/>
        <v>1.0150562228185027</v>
      </c>
      <c r="P52" s="68">
        <f t="shared" si="26"/>
        <v>6.913772662522538</v>
      </c>
      <c r="Q52" s="68">
        <f t="shared" si="27"/>
        <v>5.1073147955681613</v>
      </c>
      <c r="R52" s="68">
        <f t="shared" si="28"/>
        <v>12.021087458090699</v>
      </c>
      <c r="U52" s="210">
        <v>98.866938278632801</v>
      </c>
      <c r="X52" s="5"/>
      <c r="Y52" s="5"/>
      <c r="Z52" s="5"/>
      <c r="AA52" s="5"/>
      <c r="AB52" s="5"/>
      <c r="AC52" s="5"/>
      <c r="AD52" s="5"/>
      <c r="AE52" s="5"/>
      <c r="AF52" s="5"/>
      <c r="AG52" s="5"/>
      <c r="AH52" s="5"/>
      <c r="AI52" s="5"/>
      <c r="AJ52" s="5"/>
      <c r="AK52" s="5"/>
    </row>
    <row r="53" spans="2:37" s="19" customFormat="1" x14ac:dyDescent="0.2">
      <c r="B53" s="182" t="s">
        <v>5</v>
      </c>
      <c r="C53" s="68">
        <v>14.557</v>
      </c>
      <c r="D53" s="68">
        <v>262.55174199999999</v>
      </c>
      <c r="E53" s="68">
        <f t="shared" si="29"/>
        <v>277.10874200000001</v>
      </c>
      <c r="F53" s="68">
        <v>14.557</v>
      </c>
      <c r="G53" s="68">
        <v>144.82644199999999</v>
      </c>
      <c r="H53" s="68">
        <f t="shared" si="23"/>
        <v>159.38344199999997</v>
      </c>
      <c r="I53" s="207"/>
      <c r="J53" s="68">
        <v>1.035469254800077</v>
      </c>
      <c r="K53" s="68">
        <v>3.1355307451999219</v>
      </c>
      <c r="L53" s="68">
        <f t="shared" si="24"/>
        <v>4.1709999999999994</v>
      </c>
      <c r="M53" s="68">
        <v>2.8498246207361198</v>
      </c>
      <c r="N53" s="68">
        <v>8.6296263025898075</v>
      </c>
      <c r="O53" s="68">
        <f t="shared" si="25"/>
        <v>11.479450923325928</v>
      </c>
      <c r="P53" s="68">
        <f t="shared" si="26"/>
        <v>11.70717537926388</v>
      </c>
      <c r="Q53" s="68">
        <f t="shared" si="27"/>
        <v>136.19681569741019</v>
      </c>
      <c r="R53" s="68">
        <f t="shared" si="28"/>
        <v>147.90399107667406</v>
      </c>
      <c r="U53" s="210">
        <v>1118.1037467635836</v>
      </c>
      <c r="X53" s="5"/>
      <c r="Y53" s="5"/>
      <c r="Z53" s="5"/>
      <c r="AA53" s="5"/>
      <c r="AB53" s="5"/>
      <c r="AC53" s="5"/>
      <c r="AD53" s="5"/>
      <c r="AE53" s="5"/>
      <c r="AF53" s="5"/>
      <c r="AG53" s="5"/>
      <c r="AH53" s="5"/>
      <c r="AI53" s="5"/>
      <c r="AJ53" s="5"/>
      <c r="AK53" s="5"/>
    </row>
    <row r="54" spans="2:37" s="19" customFormat="1" x14ac:dyDescent="0.2">
      <c r="B54" s="182" t="s">
        <v>6</v>
      </c>
      <c r="C54" s="68">
        <v>25.294018389263588</v>
      </c>
      <c r="D54" s="68">
        <v>239.7820803138367</v>
      </c>
      <c r="E54" s="68">
        <f t="shared" si="29"/>
        <v>265.07609870310029</v>
      </c>
      <c r="F54" s="68">
        <v>25.28162432176622</v>
      </c>
      <c r="G54" s="68">
        <v>161.15482515902414</v>
      </c>
      <c r="H54" s="68">
        <f t="shared" si="23"/>
        <v>186.43644948079037</v>
      </c>
      <c r="I54" s="207"/>
      <c r="J54" s="68">
        <v>8.2016390085876765</v>
      </c>
      <c r="K54" s="68">
        <v>24.835591354591084</v>
      </c>
      <c r="L54" s="68">
        <f t="shared" si="24"/>
        <v>33.037230363178764</v>
      </c>
      <c r="M54" s="68">
        <v>4.875708233264251</v>
      </c>
      <c r="N54" s="68">
        <v>14.764255915040344</v>
      </c>
      <c r="O54" s="68">
        <f t="shared" si="25"/>
        <v>19.639964148304596</v>
      </c>
      <c r="P54" s="68">
        <f t="shared" si="26"/>
        <v>20.405916088501968</v>
      </c>
      <c r="Q54" s="68">
        <f t="shared" si="27"/>
        <v>146.3905692439838</v>
      </c>
      <c r="R54" s="68">
        <f t="shared" si="28"/>
        <v>166.79648533248579</v>
      </c>
      <c r="U54" s="210">
        <v>1912.9414505271054</v>
      </c>
      <c r="X54" s="5"/>
      <c r="Y54" s="5"/>
      <c r="Z54" s="5"/>
      <c r="AA54" s="5"/>
      <c r="AB54" s="5"/>
      <c r="AC54" s="5"/>
      <c r="AD54" s="5"/>
      <c r="AE54" s="5"/>
      <c r="AF54" s="5"/>
      <c r="AG54" s="5"/>
      <c r="AH54" s="5"/>
      <c r="AI54" s="5"/>
      <c r="AJ54" s="5"/>
      <c r="AK54" s="5"/>
    </row>
    <row r="55" spans="2:37" s="19" customFormat="1" x14ac:dyDescent="0.2">
      <c r="B55" s="182" t="s">
        <v>7</v>
      </c>
      <c r="C55" s="68">
        <v>44.171104529984909</v>
      </c>
      <c r="D55" s="68">
        <v>319.82289547001511</v>
      </c>
      <c r="E55" s="68">
        <f t="shared" si="29"/>
        <v>363.99400000000003</v>
      </c>
      <c r="F55" s="68">
        <v>41.213888327041666</v>
      </c>
      <c r="G55" s="68">
        <v>246.36643528700785</v>
      </c>
      <c r="H55" s="68">
        <f t="shared" si="23"/>
        <v>287.58032361404952</v>
      </c>
      <c r="I55" s="207"/>
      <c r="J55" s="68">
        <v>19.613341758686186</v>
      </c>
      <c r="K55" s="68">
        <v>59.391658241313813</v>
      </c>
      <c r="L55" s="68">
        <f t="shared" si="24"/>
        <v>79.004999999999995</v>
      </c>
      <c r="M55" s="68">
        <v>1.6644255713567682</v>
      </c>
      <c r="N55" s="68">
        <v>5.0400893391023232</v>
      </c>
      <c r="O55" s="68">
        <f t="shared" si="25"/>
        <v>6.7045149104590909</v>
      </c>
      <c r="P55" s="68">
        <f t="shared" si="26"/>
        <v>39.5494627556849</v>
      </c>
      <c r="Q55" s="68">
        <f t="shared" si="27"/>
        <v>241.32634594790551</v>
      </c>
      <c r="R55" s="68">
        <f t="shared" si="28"/>
        <v>280.87580870359045</v>
      </c>
      <c r="U55" s="210">
        <v>653.02280498314235</v>
      </c>
      <c r="X55" s="5"/>
      <c r="Y55" s="5"/>
      <c r="Z55" s="5"/>
      <c r="AA55" s="5"/>
      <c r="AB55" s="5"/>
      <c r="AC55" s="5"/>
      <c r="AD55" s="5"/>
      <c r="AE55" s="5"/>
      <c r="AF55" s="5"/>
      <c r="AG55" s="5"/>
      <c r="AH55" s="5"/>
      <c r="AI55" s="5"/>
      <c r="AJ55" s="5"/>
      <c r="AK55" s="5"/>
    </row>
    <row r="56" spans="2:37" s="19" customFormat="1" x14ac:dyDescent="0.2">
      <c r="B56" s="182" t="s">
        <v>89</v>
      </c>
      <c r="C56" s="68">
        <v>75.298111685166845</v>
      </c>
      <c r="D56" s="68">
        <v>535.46739933484082</v>
      </c>
      <c r="E56" s="68">
        <f t="shared" si="29"/>
        <v>610.76551102000769</v>
      </c>
      <c r="F56" s="68">
        <v>59.696060798598708</v>
      </c>
      <c r="G56" s="68">
        <v>352.16017175180076</v>
      </c>
      <c r="H56" s="68">
        <f t="shared" si="23"/>
        <v>411.85623255039945</v>
      </c>
      <c r="I56" s="207"/>
      <c r="J56" s="68">
        <v>22.529227888586995</v>
      </c>
      <c r="K56" s="68">
        <v>68.221327077373303</v>
      </c>
      <c r="L56" s="68">
        <f t="shared" si="24"/>
        <v>90.750554965960305</v>
      </c>
      <c r="M56" s="68">
        <v>5.4926983582717543</v>
      </c>
      <c r="N56" s="68">
        <v>16.632579380442792</v>
      </c>
      <c r="O56" s="68">
        <f t="shared" si="25"/>
        <v>22.125277738714544</v>
      </c>
      <c r="P56" s="68">
        <f t="shared" si="26"/>
        <v>54.203362440326956</v>
      </c>
      <c r="Q56" s="68">
        <f t="shared" si="27"/>
        <v>335.52759237135797</v>
      </c>
      <c r="R56" s="68">
        <f t="shared" si="28"/>
        <v>389.73095481168491</v>
      </c>
      <c r="U56" s="210">
        <v>2155.0121258477602</v>
      </c>
      <c r="X56" s="5"/>
      <c r="Y56" s="5"/>
      <c r="Z56" s="5"/>
      <c r="AA56" s="5"/>
      <c r="AB56" s="5"/>
      <c r="AC56" s="5"/>
      <c r="AD56" s="5"/>
      <c r="AE56" s="5"/>
      <c r="AF56" s="5"/>
      <c r="AG56" s="5"/>
      <c r="AH56" s="5"/>
      <c r="AI56" s="5"/>
      <c r="AJ56" s="5"/>
      <c r="AK56" s="5"/>
    </row>
    <row r="57" spans="2:37" s="19" customFormat="1" x14ac:dyDescent="0.2">
      <c r="B57" s="182" t="s">
        <v>19</v>
      </c>
      <c r="C57" s="68">
        <v>10.26275</v>
      </c>
      <c r="D57" s="68">
        <v>216.14625000000001</v>
      </c>
      <c r="E57" s="68">
        <f t="shared" si="29"/>
        <v>226.40900000000002</v>
      </c>
      <c r="F57" s="68">
        <v>9.9718868393188806</v>
      </c>
      <c r="G57" s="68">
        <v>123.44551325251027</v>
      </c>
      <c r="H57" s="68">
        <f t="shared" si="23"/>
        <v>133.41740009182914</v>
      </c>
      <c r="I57" s="207"/>
      <c r="J57" s="68">
        <v>4.887136837687442</v>
      </c>
      <c r="K57" s="68">
        <v>14.798863162312559</v>
      </c>
      <c r="L57" s="68">
        <f t="shared" si="24"/>
        <v>19.686</v>
      </c>
      <c r="M57" s="68">
        <v>1.5863890895116528</v>
      </c>
      <c r="N57" s="68">
        <v>4.8037850867661795</v>
      </c>
      <c r="O57" s="68">
        <f t="shared" si="25"/>
        <v>6.3901741762778324</v>
      </c>
      <c r="P57" s="68">
        <f t="shared" si="26"/>
        <v>8.3854977498072287</v>
      </c>
      <c r="Q57" s="68">
        <f t="shared" si="27"/>
        <v>118.64172816574408</v>
      </c>
      <c r="R57" s="68">
        <f t="shared" si="28"/>
        <v>127.0272259155513</v>
      </c>
      <c r="U57" s="210">
        <v>622.40587434804445</v>
      </c>
      <c r="X57" s="5"/>
      <c r="Y57" s="5"/>
      <c r="Z57" s="5"/>
      <c r="AA57" s="5"/>
      <c r="AB57" s="5"/>
      <c r="AC57" s="5"/>
      <c r="AD57" s="5"/>
      <c r="AE57" s="5"/>
      <c r="AF57" s="5"/>
      <c r="AG57" s="5"/>
      <c r="AH57" s="5"/>
      <c r="AI57" s="5"/>
      <c r="AJ57" s="5"/>
      <c r="AK57" s="5"/>
    </row>
    <row r="58" spans="2:37" s="19" customFormat="1" x14ac:dyDescent="0.2">
      <c r="B58" s="182" t="s">
        <v>9</v>
      </c>
      <c r="C58" s="68">
        <v>229.81933101704351</v>
      </c>
      <c r="D58" s="68">
        <v>1066.7327840939568</v>
      </c>
      <c r="E58" s="68">
        <f t="shared" si="29"/>
        <v>1296.5521151110001</v>
      </c>
      <c r="F58" s="68">
        <v>138.35851585861562</v>
      </c>
      <c r="G58" s="68">
        <v>508.34151444507557</v>
      </c>
      <c r="H58" s="68">
        <f t="shared" si="23"/>
        <v>646.70003030369116</v>
      </c>
      <c r="I58" s="207"/>
      <c r="J58" s="68">
        <v>42.103741344313192</v>
      </c>
      <c r="K58" s="68">
        <v>127.49540834848679</v>
      </c>
      <c r="L58" s="68">
        <f t="shared" si="24"/>
        <v>169.59914969279998</v>
      </c>
      <c r="M58" s="68">
        <v>7.761997267214749</v>
      </c>
      <c r="N58" s="68">
        <v>23.504301033263104</v>
      </c>
      <c r="O58" s="68">
        <f t="shared" si="25"/>
        <v>31.266298300477853</v>
      </c>
      <c r="P58" s="68">
        <f t="shared" si="26"/>
        <v>130.59651859140087</v>
      </c>
      <c r="Q58" s="68">
        <f t="shared" si="27"/>
        <v>484.83721341181246</v>
      </c>
      <c r="R58" s="68">
        <f t="shared" si="28"/>
        <v>615.43373200321332</v>
      </c>
      <c r="U58" s="210">
        <v>3045.3516906593936</v>
      </c>
      <c r="X58" s="5"/>
      <c r="Y58" s="5"/>
      <c r="Z58" s="5"/>
      <c r="AA58" s="5"/>
      <c r="AB58" s="5"/>
      <c r="AC58" s="5"/>
      <c r="AD58" s="5"/>
      <c r="AE58" s="5"/>
      <c r="AF58" s="5"/>
      <c r="AG58" s="5"/>
      <c r="AH58" s="5"/>
      <c r="AI58" s="5"/>
      <c r="AJ58" s="5"/>
      <c r="AK58" s="5"/>
    </row>
    <row r="59" spans="2:37" s="19" customFormat="1" x14ac:dyDescent="0.2">
      <c r="B59" s="182" t="s">
        <v>23</v>
      </c>
      <c r="C59" s="68">
        <v>58.884369392666024</v>
      </c>
      <c r="D59" s="68">
        <v>516.51963060733397</v>
      </c>
      <c r="E59" s="68">
        <f t="shared" si="29"/>
        <v>575.404</v>
      </c>
      <c r="F59" s="68">
        <v>135.43745828289877</v>
      </c>
      <c r="G59" s="68">
        <v>120.08889171710125</v>
      </c>
      <c r="H59" s="68">
        <f t="shared" si="23"/>
        <v>255.52635000000004</v>
      </c>
      <c r="I59" s="207"/>
      <c r="J59" s="68">
        <v>0.29765706940908426</v>
      </c>
      <c r="K59" s="68">
        <v>0.90134293059091386</v>
      </c>
      <c r="L59" s="68">
        <f t="shared" si="24"/>
        <v>1.1989999999999981</v>
      </c>
      <c r="M59" s="68">
        <v>2.5304271482876524</v>
      </c>
      <c r="N59" s="68">
        <v>7.6624507054788396</v>
      </c>
      <c r="O59" s="68">
        <f t="shared" si="25"/>
        <v>10.192877853766491</v>
      </c>
      <c r="P59" s="68">
        <f t="shared" si="26"/>
        <v>132.90703113461112</v>
      </c>
      <c r="Q59" s="68">
        <f t="shared" si="27"/>
        <v>112.42644101162242</v>
      </c>
      <c r="R59" s="68">
        <f t="shared" si="28"/>
        <v>245.33347214623353</v>
      </c>
      <c r="U59" s="210">
        <v>992.7909439851428</v>
      </c>
      <c r="X59" s="5"/>
      <c r="Y59" s="5"/>
      <c r="Z59" s="5"/>
      <c r="AA59" s="5"/>
      <c r="AB59" s="5"/>
      <c r="AC59" s="5"/>
      <c r="AD59" s="5"/>
      <c r="AE59" s="5"/>
      <c r="AF59" s="5"/>
      <c r="AG59" s="5"/>
      <c r="AH59" s="5"/>
      <c r="AI59" s="5"/>
      <c r="AJ59" s="5"/>
      <c r="AK59" s="5"/>
    </row>
    <row r="60" spans="2:37" s="19" customFormat="1" x14ac:dyDescent="0.2">
      <c r="B60" s="182" t="s">
        <v>10</v>
      </c>
      <c r="C60" s="68">
        <v>21.683045744987602</v>
      </c>
      <c r="D60" s="68">
        <v>93.504305950920539</v>
      </c>
      <c r="E60" s="68">
        <f t="shared" si="29"/>
        <v>115.18735169590815</v>
      </c>
      <c r="F60" s="68">
        <v>19.388170223316592</v>
      </c>
      <c r="G60" s="68">
        <v>45.42050990647207</v>
      </c>
      <c r="H60" s="68">
        <f t="shared" si="23"/>
        <v>64.808680129788655</v>
      </c>
      <c r="I60" s="207"/>
      <c r="J60" s="68">
        <v>5.1285732868860707</v>
      </c>
      <c r="K60" s="68">
        <v>15.529963005175944</v>
      </c>
      <c r="L60" s="68">
        <f t="shared" si="24"/>
        <v>20.658536292062013</v>
      </c>
      <c r="M60" s="68">
        <v>1.181221795521266</v>
      </c>
      <c r="N60" s="68">
        <v>3.5768877150024969</v>
      </c>
      <c r="O60" s="68">
        <f t="shared" si="25"/>
        <v>4.758109510523763</v>
      </c>
      <c r="P60" s="68">
        <f t="shared" si="26"/>
        <v>18.206948427795325</v>
      </c>
      <c r="Q60" s="68">
        <f t="shared" si="27"/>
        <v>41.843622191469571</v>
      </c>
      <c r="R60" s="68">
        <f t="shared" si="28"/>
        <v>60.050570619264889</v>
      </c>
      <c r="U60" s="210">
        <v>463.4420327907709</v>
      </c>
      <c r="X60" s="5"/>
      <c r="Y60" s="5"/>
      <c r="Z60" s="5"/>
      <c r="AA60" s="5"/>
      <c r="AB60" s="5"/>
      <c r="AC60" s="5"/>
      <c r="AD60" s="5"/>
      <c r="AE60" s="5"/>
      <c r="AF60" s="5"/>
      <c r="AG60" s="5"/>
      <c r="AH60" s="5"/>
      <c r="AI60" s="5"/>
      <c r="AJ60" s="5"/>
      <c r="AK60" s="5"/>
    </row>
    <row r="61" spans="2:37" s="19" customFormat="1" x14ac:dyDescent="0.2">
      <c r="B61" s="182" t="s">
        <v>11</v>
      </c>
      <c r="C61" s="68">
        <v>59.315999999999995</v>
      </c>
      <c r="D61" s="68">
        <v>282.61</v>
      </c>
      <c r="E61" s="68">
        <f t="shared" si="29"/>
        <v>341.92599999999999</v>
      </c>
      <c r="F61" s="68">
        <v>57.593899999999998</v>
      </c>
      <c r="G61" s="68">
        <v>85.182754395705075</v>
      </c>
      <c r="H61" s="68">
        <f t="shared" si="23"/>
        <v>142.77665439570507</v>
      </c>
      <c r="I61" s="207"/>
      <c r="J61" s="68">
        <v>24.674256701950242</v>
      </c>
      <c r="K61" s="68">
        <v>74.716743298049749</v>
      </c>
      <c r="L61" s="68">
        <f t="shared" si="24"/>
        <v>99.390999999999991</v>
      </c>
      <c r="M61" s="68">
        <v>3.3599433325850585</v>
      </c>
      <c r="N61" s="68">
        <v>10.174329727910678</v>
      </c>
      <c r="O61" s="68">
        <f t="shared" si="25"/>
        <v>13.534273060495735</v>
      </c>
      <c r="P61" s="68">
        <f t="shared" si="26"/>
        <v>54.233956667414937</v>
      </c>
      <c r="Q61" s="68">
        <f t="shared" si="27"/>
        <v>75.008424667794401</v>
      </c>
      <c r="R61" s="68">
        <f t="shared" si="28"/>
        <v>129.24238133520933</v>
      </c>
      <c r="U61" s="210">
        <v>1318.2443585269782</v>
      </c>
      <c r="X61" s="5"/>
      <c r="Y61" s="5"/>
      <c r="Z61" s="5"/>
      <c r="AA61" s="5"/>
      <c r="AB61" s="5"/>
      <c r="AC61" s="5"/>
      <c r="AD61" s="5"/>
      <c r="AE61" s="5"/>
      <c r="AF61" s="5"/>
      <c r="AG61" s="5"/>
      <c r="AH61" s="5"/>
      <c r="AI61" s="5"/>
      <c r="AJ61" s="5"/>
      <c r="AK61" s="5"/>
    </row>
    <row r="62" spans="2:37" s="19" customFormat="1" x14ac:dyDescent="0.2">
      <c r="B62" s="182" t="s">
        <v>12</v>
      </c>
      <c r="C62" s="68">
        <v>156.29642758836329</v>
      </c>
      <c r="D62" s="68">
        <v>179.45188147822989</v>
      </c>
      <c r="E62" s="68">
        <f t="shared" si="29"/>
        <v>335.74830906659315</v>
      </c>
      <c r="F62" s="68">
        <v>134.48498681409376</v>
      </c>
      <c r="G62" s="68">
        <v>129.1635839855665</v>
      </c>
      <c r="H62" s="68">
        <f t="shared" si="23"/>
        <v>263.64857079966026</v>
      </c>
      <c r="I62" s="207"/>
      <c r="J62" s="68">
        <v>20.307957672119564</v>
      </c>
      <c r="K62" s="68">
        <v>61.495042327880434</v>
      </c>
      <c r="L62" s="68">
        <f t="shared" si="24"/>
        <v>81.802999999999997</v>
      </c>
      <c r="M62" s="68">
        <v>2.4296226399928798</v>
      </c>
      <c r="N62" s="68">
        <v>7.3572020140784886</v>
      </c>
      <c r="O62" s="68">
        <f t="shared" si="25"/>
        <v>9.7868246540713688</v>
      </c>
      <c r="P62" s="68">
        <f t="shared" si="26"/>
        <v>132.05536417410087</v>
      </c>
      <c r="Q62" s="68">
        <f t="shared" si="27"/>
        <v>121.80638197148801</v>
      </c>
      <c r="R62" s="68">
        <f t="shared" si="28"/>
        <v>253.86174614558888</v>
      </c>
      <c r="U62" s="210">
        <v>953.24117745041053</v>
      </c>
      <c r="X62" s="5"/>
      <c r="Y62" s="5"/>
      <c r="Z62" s="5"/>
      <c r="AA62" s="5"/>
      <c r="AB62" s="5"/>
      <c r="AC62" s="5"/>
      <c r="AD62" s="5"/>
      <c r="AE62" s="5"/>
      <c r="AF62" s="5"/>
      <c r="AG62" s="5"/>
      <c r="AH62" s="5"/>
      <c r="AI62" s="5"/>
      <c r="AJ62" s="5"/>
      <c r="AK62" s="5"/>
    </row>
    <row r="63" spans="2:37" s="19" customFormat="1" x14ac:dyDescent="0.2">
      <c r="B63" s="182" t="s">
        <v>13</v>
      </c>
      <c r="C63" s="68">
        <v>5.3690000000000015</v>
      </c>
      <c r="D63" s="68">
        <v>29.068000000000001</v>
      </c>
      <c r="E63" s="68">
        <f t="shared" si="29"/>
        <v>34.437000000000005</v>
      </c>
      <c r="F63" s="68">
        <v>6.110100000000001</v>
      </c>
      <c r="G63" s="68">
        <v>18.843177571874222</v>
      </c>
      <c r="H63" s="68">
        <f t="shared" si="23"/>
        <v>24.953277571874224</v>
      </c>
      <c r="I63" s="207"/>
      <c r="J63" s="68">
        <v>0.27382464350143493</v>
      </c>
      <c r="K63" s="68">
        <v>0.82917535649856511</v>
      </c>
      <c r="L63" s="68">
        <f t="shared" si="24"/>
        <v>1.103</v>
      </c>
      <c r="M63" s="68">
        <v>0.83845251461523118</v>
      </c>
      <c r="N63" s="68">
        <v>2.5389393511967069</v>
      </c>
      <c r="O63" s="68">
        <f t="shared" si="25"/>
        <v>3.377391865811938</v>
      </c>
      <c r="P63" s="68">
        <f t="shared" si="26"/>
        <v>5.2716474853847695</v>
      </c>
      <c r="Q63" s="68">
        <f t="shared" si="27"/>
        <v>16.304238220677515</v>
      </c>
      <c r="R63" s="68">
        <f t="shared" si="28"/>
        <v>21.575885706062287</v>
      </c>
      <c r="U63" s="210">
        <v>328.95950552651368</v>
      </c>
      <c r="X63" s="5"/>
      <c r="Y63" s="5"/>
      <c r="Z63" s="5"/>
      <c r="AA63" s="5"/>
      <c r="AB63" s="5"/>
      <c r="AC63" s="5"/>
      <c r="AD63" s="5"/>
      <c r="AE63" s="5"/>
      <c r="AF63" s="5"/>
      <c r="AG63" s="5"/>
      <c r="AH63" s="5"/>
      <c r="AI63" s="5"/>
      <c r="AJ63" s="5"/>
      <c r="AK63" s="5"/>
    </row>
    <row r="64" spans="2:37" s="19" customFormat="1" x14ac:dyDescent="0.2">
      <c r="B64" s="182" t="s">
        <v>15</v>
      </c>
      <c r="C64" s="68">
        <v>14.015638756152512</v>
      </c>
      <c r="D64" s="68">
        <v>9.0283612438474883</v>
      </c>
      <c r="E64" s="68">
        <f t="shared" si="29"/>
        <v>23.044</v>
      </c>
      <c r="F64" s="68">
        <v>11.846872135405455</v>
      </c>
      <c r="G64" s="68">
        <v>6.9872741064531283</v>
      </c>
      <c r="H64" s="68">
        <f t="shared" si="23"/>
        <v>18.834146241858583</v>
      </c>
      <c r="I64" s="207"/>
      <c r="J64" s="68">
        <v>0.52009304454714977</v>
      </c>
      <c r="K64" s="68">
        <v>1.5749069554528505</v>
      </c>
      <c r="L64" s="68">
        <f t="shared" si="24"/>
        <v>2.0950000000000002</v>
      </c>
      <c r="M64" s="68">
        <v>0.39001640174820318</v>
      </c>
      <c r="N64" s="68">
        <v>1.1810185702228782</v>
      </c>
      <c r="O64" s="68">
        <f t="shared" si="25"/>
        <v>1.5710349719710814</v>
      </c>
      <c r="P64" s="68">
        <f t="shared" si="26"/>
        <v>11.456855733657251</v>
      </c>
      <c r="Q64" s="68">
        <f t="shared" si="27"/>
        <v>5.8062555362302497</v>
      </c>
      <c r="R64" s="68">
        <f t="shared" si="28"/>
        <v>17.263111269887503</v>
      </c>
      <c r="U64" s="210">
        <v>153.01952159472759</v>
      </c>
      <c r="X64" s="5"/>
      <c r="Y64" s="5"/>
      <c r="Z64" s="5"/>
      <c r="AA64" s="5"/>
      <c r="AB64" s="5"/>
      <c r="AC64" s="5"/>
      <c r="AD64" s="5"/>
      <c r="AE64" s="5"/>
      <c r="AF64" s="5"/>
      <c r="AG64" s="5"/>
      <c r="AH64" s="5"/>
      <c r="AI64" s="5"/>
      <c r="AJ64" s="5"/>
      <c r="AK64" s="5"/>
    </row>
    <row r="65" spans="2:37" s="19" customFormat="1" x14ac:dyDescent="0.2">
      <c r="B65" s="182" t="s">
        <v>16</v>
      </c>
      <c r="C65" s="68">
        <v>0.92999999999999994</v>
      </c>
      <c r="D65" s="68">
        <v>52.201999999999998</v>
      </c>
      <c r="E65" s="68">
        <f t="shared" si="29"/>
        <v>53.131999999999998</v>
      </c>
      <c r="F65" s="68">
        <v>0.91568749142884043</v>
      </c>
      <c r="G65" s="68">
        <v>24.402218739754925</v>
      </c>
      <c r="H65" s="68">
        <f t="shared" si="23"/>
        <v>25.317906231183766</v>
      </c>
      <c r="I65" s="207"/>
      <c r="J65" s="68">
        <v>1.9696506994926422</v>
      </c>
      <c r="K65" s="68">
        <v>5.9643493005073562</v>
      </c>
      <c r="L65" s="68">
        <f t="shared" si="24"/>
        <v>7.9339999999999984</v>
      </c>
      <c r="M65" s="68">
        <v>0.40340564471530815</v>
      </c>
      <c r="N65" s="68">
        <v>1.2215628768584383</v>
      </c>
      <c r="O65" s="68">
        <f t="shared" si="25"/>
        <v>1.6249685215737464</v>
      </c>
      <c r="P65" s="68">
        <f t="shared" si="26"/>
        <v>0.51228184671353227</v>
      </c>
      <c r="Q65" s="68">
        <f t="shared" si="27"/>
        <v>23.180655862896486</v>
      </c>
      <c r="R65" s="68">
        <f t="shared" si="28"/>
        <v>23.692937709610021</v>
      </c>
      <c r="U65" s="210">
        <v>158.2726738830888</v>
      </c>
      <c r="X65" s="5"/>
      <c r="Y65" s="5"/>
      <c r="Z65" s="5"/>
      <c r="AA65" s="5"/>
      <c r="AB65" s="5"/>
      <c r="AC65" s="5"/>
      <c r="AD65" s="5"/>
      <c r="AE65" s="5"/>
      <c r="AF65" s="5"/>
      <c r="AG65" s="5"/>
      <c r="AH65" s="5"/>
      <c r="AI65" s="5"/>
      <c r="AJ65" s="5"/>
      <c r="AK65" s="5"/>
    </row>
    <row r="66" spans="2:37" s="19" customFormat="1" x14ac:dyDescent="0.2">
      <c r="B66" s="182" t="s">
        <v>17</v>
      </c>
      <c r="C66" s="68">
        <v>43.977489564256338</v>
      </c>
      <c r="D66" s="68">
        <v>217.22701857004355</v>
      </c>
      <c r="E66" s="68">
        <f t="shared" si="29"/>
        <v>261.20450813429989</v>
      </c>
      <c r="F66" s="68">
        <v>38.334195930862229</v>
      </c>
      <c r="G66" s="68">
        <v>139.60575940556217</v>
      </c>
      <c r="H66" s="68">
        <f t="shared" si="23"/>
        <v>177.93995533642439</v>
      </c>
      <c r="I66" s="207"/>
      <c r="J66" s="68">
        <v>5.64006800077797</v>
      </c>
      <c r="K66" s="68">
        <v>17.078833137225345</v>
      </c>
      <c r="L66" s="68">
        <f t="shared" si="24"/>
        <v>22.718901138003314</v>
      </c>
      <c r="M66" s="68">
        <v>1.4912362244901238</v>
      </c>
      <c r="N66" s="68">
        <v>4.5156502798795506</v>
      </c>
      <c r="O66" s="68">
        <f t="shared" si="25"/>
        <v>6.0068865043696746</v>
      </c>
      <c r="P66" s="68">
        <f t="shared" si="26"/>
        <v>36.842959706372106</v>
      </c>
      <c r="Q66" s="68">
        <f t="shared" si="27"/>
        <v>135.09010912568263</v>
      </c>
      <c r="R66" s="68">
        <f t="shared" si="28"/>
        <v>171.93306883205472</v>
      </c>
      <c r="U66" s="210">
        <v>585.07348058537855</v>
      </c>
      <c r="X66" s="5"/>
      <c r="Y66" s="5"/>
      <c r="Z66" s="5"/>
      <c r="AA66" s="5"/>
      <c r="AB66" s="5"/>
      <c r="AC66" s="5"/>
      <c r="AD66" s="5"/>
      <c r="AE66" s="5"/>
      <c r="AF66" s="5"/>
      <c r="AG66" s="5"/>
      <c r="AH66" s="5"/>
      <c r="AI66" s="5"/>
      <c r="AJ66" s="5"/>
      <c r="AK66" s="5"/>
    </row>
    <row r="67" spans="2:37" s="19" customFormat="1" x14ac:dyDescent="0.2">
      <c r="B67" s="182" t="s">
        <v>18</v>
      </c>
      <c r="C67" s="68">
        <v>10.796078414406292</v>
      </c>
      <c r="D67" s="68">
        <v>123.57502473511607</v>
      </c>
      <c r="E67" s="68">
        <f t="shared" si="29"/>
        <v>134.37110314952236</v>
      </c>
      <c r="F67" s="68">
        <v>8.1757110283400038</v>
      </c>
      <c r="G67" s="68">
        <v>92.930137732089861</v>
      </c>
      <c r="H67" s="68">
        <f t="shared" si="23"/>
        <v>101.10584876042986</v>
      </c>
      <c r="I67" s="207"/>
      <c r="J67" s="68">
        <v>2.3973869355708706</v>
      </c>
      <c r="K67" s="68">
        <v>7.259588258923678</v>
      </c>
      <c r="L67" s="68">
        <f t="shared" si="24"/>
        <v>9.6569751944945494</v>
      </c>
      <c r="M67" s="68">
        <v>0.97865493399119596</v>
      </c>
      <c r="N67" s="68">
        <v>2.9634898576138462</v>
      </c>
      <c r="O67" s="68">
        <f t="shared" si="25"/>
        <v>3.9421447916050423</v>
      </c>
      <c r="P67" s="68">
        <f t="shared" si="26"/>
        <v>7.1970560943488078</v>
      </c>
      <c r="Q67" s="68">
        <f t="shared" si="27"/>
        <v>89.96664787447601</v>
      </c>
      <c r="R67" s="68">
        <f t="shared" si="28"/>
        <v>97.163703968824819</v>
      </c>
      <c r="U67" s="210">
        <v>383.96669764245991</v>
      </c>
      <c r="X67" s="5"/>
      <c r="Y67" s="5"/>
      <c r="Z67" s="5"/>
      <c r="AA67" s="5"/>
      <c r="AB67" s="5"/>
      <c r="AC67" s="5"/>
      <c r="AD67" s="5"/>
      <c r="AE67" s="5"/>
      <c r="AF67" s="5"/>
      <c r="AG67" s="5"/>
      <c r="AH67" s="5"/>
      <c r="AI67" s="5"/>
      <c r="AJ67" s="5"/>
      <c r="AK67" s="5"/>
    </row>
    <row r="68" spans="2:37" x14ac:dyDescent="0.2">
      <c r="B68" s="184" t="s">
        <v>33</v>
      </c>
      <c r="C68" s="185">
        <f t="shared" ref="C68:E68" si="30">SUM(C51:C67)</f>
        <v>860.73626544615956</v>
      </c>
      <c r="D68" s="185">
        <f t="shared" si="30"/>
        <v>5111.6964000717517</v>
      </c>
      <c r="E68" s="185">
        <f t="shared" si="30"/>
        <v>5972.4326655179102</v>
      </c>
      <c r="F68" s="185">
        <f>SUM(F51:F67)</f>
        <v>771.35037136747746</v>
      </c>
      <c r="G68" s="185">
        <f>SUM(G51:G67)</f>
        <v>2721.3381099691842</v>
      </c>
      <c r="H68" s="185">
        <f>SUM(H51:H67)</f>
        <v>3492.688481336661</v>
      </c>
      <c r="I68" s="207"/>
      <c r="J68" s="185">
        <f t="shared" ref="J68:R68" si="31">SUM(J51:J67)</f>
        <v>190.7667457853052</v>
      </c>
      <c r="K68" s="185">
        <f t="shared" si="31"/>
        <v>577.66562724940684</v>
      </c>
      <c r="L68" s="185">
        <f t="shared" si="31"/>
        <v>768.43237303471165</v>
      </c>
      <c r="M68" s="185">
        <f t="shared" si="31"/>
        <v>41.296765737043707</v>
      </c>
      <c r="N68" s="185">
        <f t="shared" si="31"/>
        <v>125.05178501974936</v>
      </c>
      <c r="O68" s="185">
        <f t="shared" si="31"/>
        <v>166.34855075679306</v>
      </c>
      <c r="P68" s="185">
        <f t="shared" si="31"/>
        <v>730.05360563043359</v>
      </c>
      <c r="Q68" s="185">
        <f t="shared" si="31"/>
        <v>2596.2863249494344</v>
      </c>
      <c r="R68" s="185">
        <f t="shared" si="31"/>
        <v>3326.3399305798671</v>
      </c>
      <c r="U68" s="211">
        <f t="shared" ref="U68" si="32">SUM(U51:U67)</f>
        <v>16202.424585650333</v>
      </c>
    </row>
    <row r="70" spans="2:37" s="19" customFormat="1" ht="44.25" customHeight="1" x14ac:dyDescent="0.2">
      <c r="B70" s="202" t="s">
        <v>279</v>
      </c>
      <c r="C70" s="167" t="s">
        <v>280</v>
      </c>
      <c r="D70" s="198"/>
      <c r="E70" s="197"/>
      <c r="F70" s="167" t="s">
        <v>283</v>
      </c>
      <c r="G70" s="198"/>
      <c r="H70" s="197"/>
      <c r="I70" s="167" t="s">
        <v>281</v>
      </c>
      <c r="J70" s="198"/>
      <c r="K70" s="197"/>
      <c r="L70" s="167" t="s">
        <v>270</v>
      </c>
      <c r="M70" s="198"/>
      <c r="N70" s="197"/>
      <c r="O70" s="179" t="s">
        <v>282</v>
      </c>
      <c r="P70" s="195"/>
      <c r="Q70" s="196"/>
      <c r="X70" s="5"/>
      <c r="Y70" s="5"/>
      <c r="Z70" s="5"/>
      <c r="AA70" s="5"/>
      <c r="AB70" s="5"/>
      <c r="AC70" s="5"/>
      <c r="AD70" s="5"/>
      <c r="AE70" s="5"/>
      <c r="AF70" s="5"/>
      <c r="AG70" s="5"/>
      <c r="AH70" s="5"/>
      <c r="AI70" s="5"/>
      <c r="AJ70" s="5"/>
      <c r="AK70" s="5"/>
    </row>
    <row r="71" spans="2:37" s="19" customFormat="1" ht="38.25" x14ac:dyDescent="0.2">
      <c r="B71" s="35" t="s">
        <v>20</v>
      </c>
      <c r="C71" s="35" t="s">
        <v>123</v>
      </c>
      <c r="D71" s="35" t="s">
        <v>374</v>
      </c>
      <c r="E71" s="35" t="s">
        <v>112</v>
      </c>
      <c r="F71" s="35" t="s">
        <v>123</v>
      </c>
      <c r="G71" s="35" t="s">
        <v>374</v>
      </c>
      <c r="H71" s="35" t="s">
        <v>112</v>
      </c>
      <c r="I71" s="35" t="s">
        <v>123</v>
      </c>
      <c r="J71" s="35" t="s">
        <v>374</v>
      </c>
      <c r="K71" s="35" t="s">
        <v>112</v>
      </c>
      <c r="L71" s="35" t="s">
        <v>123</v>
      </c>
      <c r="M71" s="35" t="s">
        <v>374</v>
      </c>
      <c r="N71" s="35" t="s">
        <v>112</v>
      </c>
      <c r="O71" s="35" t="s">
        <v>123</v>
      </c>
      <c r="P71" s="35" t="s">
        <v>374</v>
      </c>
      <c r="Q71" s="35" t="s">
        <v>112</v>
      </c>
      <c r="X71" s="5"/>
      <c r="Y71" s="5"/>
      <c r="Z71" s="5"/>
      <c r="AA71" s="5"/>
      <c r="AB71" s="5"/>
      <c r="AC71" s="5"/>
      <c r="AD71" s="5"/>
      <c r="AE71" s="5"/>
      <c r="AF71" s="5"/>
      <c r="AG71" s="5"/>
      <c r="AH71" s="5"/>
      <c r="AI71" s="5"/>
      <c r="AJ71" s="5"/>
      <c r="AK71" s="5"/>
    </row>
    <row r="72" spans="2:37" s="19" customFormat="1" x14ac:dyDescent="0.2">
      <c r="B72" s="182" t="s">
        <v>4</v>
      </c>
      <c r="C72" s="68">
        <v>8.4589999999999996</v>
      </c>
      <c r="D72" s="68">
        <v>60.826000000000001</v>
      </c>
      <c r="E72" s="68">
        <f>C72+D72</f>
        <v>69.284999999999997</v>
      </c>
      <c r="F72" s="190">
        <v>0</v>
      </c>
      <c r="G72" s="190">
        <v>0</v>
      </c>
      <c r="H72" s="190">
        <f>F72+G72</f>
        <v>0</v>
      </c>
      <c r="I72" s="190">
        <v>2.9577120309750073</v>
      </c>
      <c r="J72" s="190">
        <v>24.386187623198406</v>
      </c>
      <c r="K72" s="190">
        <f>I72+J72</f>
        <v>27.343899654173413</v>
      </c>
      <c r="L72" s="190">
        <v>14.475000000000001</v>
      </c>
      <c r="M72" s="190">
        <v>10.794999999999998</v>
      </c>
      <c r="N72" s="190">
        <f>L72+M72</f>
        <v>25.27</v>
      </c>
      <c r="O72" s="190">
        <f>C72+F72+I72+L72</f>
        <v>25.891712030975008</v>
      </c>
      <c r="P72" s="190">
        <f t="shared" ref="P72:P88" si="33">D72+G72+J72+M72</f>
        <v>96.007187623198405</v>
      </c>
      <c r="Q72" s="190">
        <f t="shared" ref="Q72:Q88" si="34">E72+H72+K72+N72</f>
        <v>121.89889965417341</v>
      </c>
      <c r="X72" s="5"/>
      <c r="Y72" s="5"/>
      <c r="Z72" s="5"/>
      <c r="AA72" s="5"/>
      <c r="AB72" s="5"/>
      <c r="AC72" s="5"/>
      <c r="AD72" s="5"/>
      <c r="AE72" s="5"/>
      <c r="AF72" s="5"/>
      <c r="AG72" s="5"/>
      <c r="AH72" s="5"/>
      <c r="AI72" s="5"/>
      <c r="AJ72" s="5"/>
      <c r="AK72" s="5"/>
    </row>
    <row r="73" spans="2:37" s="19" customFormat="1" x14ac:dyDescent="0.2">
      <c r="B73" s="182" t="s">
        <v>90</v>
      </c>
      <c r="C73" s="68">
        <v>7.263947517768079</v>
      </c>
      <c r="D73" s="68">
        <v>8.7479855891671683</v>
      </c>
      <c r="E73" s="68">
        <f t="shared" ref="E73:E88" si="35">C73+D73</f>
        <v>16.011933106935246</v>
      </c>
      <c r="F73" s="190">
        <v>0</v>
      </c>
      <c r="G73" s="190">
        <v>0</v>
      </c>
      <c r="H73" s="190">
        <f t="shared" ref="H73:H88" si="36">F73+G73</f>
        <v>0</v>
      </c>
      <c r="I73" s="190">
        <v>2.4459722438008699E-3</v>
      </c>
      <c r="J73" s="190">
        <v>1.0004026477145558</v>
      </c>
      <c r="K73" s="190">
        <f t="shared" ref="K73:K88" si="37">I73+J73</f>
        <v>1.0028486199583566</v>
      </c>
      <c r="L73" s="190">
        <v>0</v>
      </c>
      <c r="M73" s="190">
        <v>0</v>
      </c>
      <c r="N73" s="190">
        <f t="shared" ref="N73:N88" si="38">L73+M73</f>
        <v>0</v>
      </c>
      <c r="O73" s="190">
        <f t="shared" ref="O73:O88" si="39">C73+F73+I73+L73</f>
        <v>7.2663934900118798</v>
      </c>
      <c r="P73" s="190">
        <f t="shared" si="33"/>
        <v>9.7483882368817234</v>
      </c>
      <c r="Q73" s="190">
        <f t="shared" si="34"/>
        <v>17.014781726893602</v>
      </c>
      <c r="X73" s="5"/>
      <c r="Y73" s="5"/>
      <c r="Z73" s="5"/>
      <c r="AA73" s="5"/>
      <c r="AB73" s="5"/>
      <c r="AC73" s="5"/>
      <c r="AD73" s="5"/>
      <c r="AE73" s="5"/>
      <c r="AF73" s="5"/>
      <c r="AG73" s="5"/>
      <c r="AH73" s="5"/>
      <c r="AI73" s="5"/>
      <c r="AJ73" s="5"/>
      <c r="AK73" s="5"/>
    </row>
    <row r="74" spans="2:37" s="19" customFormat="1" x14ac:dyDescent="0.2">
      <c r="B74" s="182" t="s">
        <v>5</v>
      </c>
      <c r="C74" s="68">
        <v>24.785</v>
      </c>
      <c r="D74" s="68">
        <v>15.875</v>
      </c>
      <c r="E74" s="68">
        <f t="shared" si="35"/>
        <v>40.659999999999997</v>
      </c>
      <c r="F74" s="190">
        <v>0</v>
      </c>
      <c r="G74" s="190">
        <v>0</v>
      </c>
      <c r="H74" s="190">
        <f t="shared" si="36"/>
        <v>0</v>
      </c>
      <c r="I74" s="190">
        <v>1.6208186868884809</v>
      </c>
      <c r="J74" s="190">
        <v>24.118169007838318</v>
      </c>
      <c r="K74" s="190">
        <f t="shared" si="37"/>
        <v>25.738987694726799</v>
      </c>
      <c r="L74" s="190">
        <v>0</v>
      </c>
      <c r="M74" s="190">
        <v>0</v>
      </c>
      <c r="N74" s="190">
        <f t="shared" si="38"/>
        <v>0</v>
      </c>
      <c r="O74" s="190">
        <f t="shared" si="39"/>
        <v>26.40581868688848</v>
      </c>
      <c r="P74" s="190">
        <f t="shared" si="33"/>
        <v>39.993169007838318</v>
      </c>
      <c r="Q74" s="190">
        <f t="shared" si="34"/>
        <v>66.398987694726799</v>
      </c>
      <c r="X74" s="5"/>
      <c r="Y74" s="5"/>
      <c r="Z74" s="5"/>
      <c r="AA74" s="5"/>
      <c r="AB74" s="5"/>
      <c r="AC74" s="5"/>
      <c r="AD74" s="5"/>
      <c r="AE74" s="5"/>
      <c r="AF74" s="5"/>
      <c r="AG74" s="5"/>
      <c r="AH74" s="5"/>
      <c r="AI74" s="5"/>
      <c r="AJ74" s="5"/>
      <c r="AK74" s="5"/>
    </row>
    <row r="75" spans="2:37" s="19" customFormat="1" x14ac:dyDescent="0.2">
      <c r="B75" s="182" t="s">
        <v>6</v>
      </c>
      <c r="C75" s="68">
        <v>3.0303952005277197E-2</v>
      </c>
      <c r="D75" s="68">
        <v>6.4381057553264336</v>
      </c>
      <c r="E75" s="68">
        <f t="shared" si="35"/>
        <v>6.4684097073317108</v>
      </c>
      <c r="F75" s="190">
        <v>0</v>
      </c>
      <c r="G75" s="190">
        <v>0</v>
      </c>
      <c r="H75" s="190">
        <f t="shared" si="36"/>
        <v>0</v>
      </c>
      <c r="I75" s="190">
        <v>0</v>
      </c>
      <c r="J75" s="190">
        <v>0</v>
      </c>
      <c r="K75" s="190">
        <f t="shared" si="37"/>
        <v>0</v>
      </c>
      <c r="L75" s="190">
        <v>30.591458333333328</v>
      </c>
      <c r="M75" s="190">
        <v>3.7368749999999968</v>
      </c>
      <c r="N75" s="190">
        <f t="shared" si="38"/>
        <v>34.328333333333326</v>
      </c>
      <c r="O75" s="190">
        <f t="shared" si="39"/>
        <v>30.621762285338605</v>
      </c>
      <c r="P75" s="190">
        <f t="shared" si="33"/>
        <v>10.17498075532643</v>
      </c>
      <c r="Q75" s="190">
        <f t="shared" si="34"/>
        <v>40.796743040665035</v>
      </c>
      <c r="X75" s="5"/>
      <c r="Y75" s="5"/>
      <c r="Z75" s="5"/>
      <c r="AA75" s="5"/>
      <c r="AB75" s="5"/>
      <c r="AC75" s="5"/>
      <c r="AD75" s="5"/>
      <c r="AE75" s="5"/>
      <c r="AF75" s="5"/>
      <c r="AG75" s="5"/>
      <c r="AH75" s="5"/>
      <c r="AI75" s="5"/>
      <c r="AJ75" s="5"/>
      <c r="AK75" s="5"/>
    </row>
    <row r="76" spans="2:37" s="19" customFormat="1" x14ac:dyDescent="0.2">
      <c r="B76" s="182" t="s">
        <v>7</v>
      </c>
      <c r="C76" s="68">
        <v>7.1129999999999995</v>
      </c>
      <c r="D76" s="68">
        <v>25.952999999999996</v>
      </c>
      <c r="E76" s="68">
        <f t="shared" si="35"/>
        <v>33.065999999999995</v>
      </c>
      <c r="F76" s="190">
        <v>0</v>
      </c>
      <c r="G76" s="190">
        <v>0</v>
      </c>
      <c r="H76" s="190">
        <f t="shared" si="36"/>
        <v>0</v>
      </c>
      <c r="I76" s="190">
        <v>0.51744019933304553</v>
      </c>
      <c r="J76" s="190">
        <v>13.639553253726964</v>
      </c>
      <c r="K76" s="190">
        <f t="shared" si="37"/>
        <v>14.156993453060009</v>
      </c>
      <c r="L76" s="190">
        <v>38.702435646720915</v>
      </c>
      <c r="M76" s="190">
        <v>43.310801995797021</v>
      </c>
      <c r="N76" s="190">
        <f t="shared" si="38"/>
        <v>82.013237642517936</v>
      </c>
      <c r="O76" s="190">
        <f t="shared" si="39"/>
        <v>46.332875846053959</v>
      </c>
      <c r="P76" s="190">
        <f t="shared" si="33"/>
        <v>82.903355249523983</v>
      </c>
      <c r="Q76" s="190">
        <f t="shared" si="34"/>
        <v>129.23623109557795</v>
      </c>
      <c r="X76" s="5"/>
      <c r="Y76" s="5"/>
      <c r="Z76" s="5"/>
      <c r="AA76" s="5"/>
      <c r="AB76" s="5"/>
      <c r="AC76" s="5"/>
      <c r="AD76" s="5"/>
      <c r="AE76" s="5"/>
      <c r="AF76" s="5"/>
      <c r="AG76" s="5"/>
      <c r="AH76" s="5"/>
      <c r="AI76" s="5"/>
      <c r="AJ76" s="5"/>
      <c r="AK76" s="5"/>
    </row>
    <row r="77" spans="2:37" s="19" customFormat="1" x14ac:dyDescent="0.2">
      <c r="B77" s="182" t="s">
        <v>89</v>
      </c>
      <c r="C77" s="68">
        <v>11.357968765652959</v>
      </c>
      <c r="D77" s="68">
        <v>28.078316109301642</v>
      </c>
      <c r="E77" s="68">
        <f t="shared" si="35"/>
        <v>39.436284874954602</v>
      </c>
      <c r="F77" s="190">
        <v>0</v>
      </c>
      <c r="G77" s="190">
        <v>0</v>
      </c>
      <c r="H77" s="190">
        <f t="shared" si="36"/>
        <v>0</v>
      </c>
      <c r="I77" s="190">
        <v>3.4919014168287568</v>
      </c>
      <c r="J77" s="190">
        <v>26.796547829142433</v>
      </c>
      <c r="K77" s="190">
        <f t="shared" si="37"/>
        <v>30.28844924597119</v>
      </c>
      <c r="L77" s="190">
        <v>39.591458333333321</v>
      </c>
      <c r="M77" s="190">
        <v>3.7368750000000044</v>
      </c>
      <c r="N77" s="190">
        <f t="shared" si="38"/>
        <v>43.328333333333326</v>
      </c>
      <c r="O77" s="190">
        <f t="shared" si="39"/>
        <v>54.441328515815037</v>
      </c>
      <c r="P77" s="190">
        <f t="shared" si="33"/>
        <v>58.611738938444084</v>
      </c>
      <c r="Q77" s="190">
        <f t="shared" si="34"/>
        <v>113.05306745425912</v>
      </c>
      <c r="X77" s="5"/>
      <c r="Y77" s="5"/>
      <c r="Z77" s="5"/>
      <c r="AA77" s="5"/>
      <c r="AB77" s="5"/>
      <c r="AC77" s="5"/>
      <c r="AD77" s="5"/>
      <c r="AE77" s="5"/>
      <c r="AF77" s="5"/>
      <c r="AG77" s="5"/>
      <c r="AH77" s="5"/>
      <c r="AI77" s="5"/>
      <c r="AJ77" s="5"/>
      <c r="AK77" s="5"/>
    </row>
    <row r="78" spans="2:37" s="19" customFormat="1" x14ac:dyDescent="0.2">
      <c r="B78" s="182" t="s">
        <v>19</v>
      </c>
      <c r="C78" s="68">
        <v>0</v>
      </c>
      <c r="D78" s="68">
        <v>24.79</v>
      </c>
      <c r="E78" s="68">
        <f t="shared" si="35"/>
        <v>24.79</v>
      </c>
      <c r="F78" s="190">
        <v>0</v>
      </c>
      <c r="G78" s="190">
        <v>0</v>
      </c>
      <c r="H78" s="190">
        <f t="shared" si="36"/>
        <v>0</v>
      </c>
      <c r="I78" s="190">
        <v>0.40604135305145683</v>
      </c>
      <c r="J78" s="190">
        <v>8.8596224823397165</v>
      </c>
      <c r="K78" s="190">
        <f t="shared" si="37"/>
        <v>9.2656638353911731</v>
      </c>
      <c r="L78" s="190">
        <v>0.45999999999999996</v>
      </c>
      <c r="M78" s="190">
        <v>0.85999999999999988</v>
      </c>
      <c r="N78" s="190">
        <f t="shared" si="38"/>
        <v>1.3199999999999998</v>
      </c>
      <c r="O78" s="190">
        <f t="shared" si="39"/>
        <v>0.8660413530514568</v>
      </c>
      <c r="P78" s="190">
        <f t="shared" si="33"/>
        <v>34.509622482339715</v>
      </c>
      <c r="Q78" s="190">
        <f t="shared" si="34"/>
        <v>35.375663835391173</v>
      </c>
      <c r="X78" s="5"/>
      <c r="Y78" s="5"/>
      <c r="Z78" s="5"/>
      <c r="AA78" s="5"/>
      <c r="AB78" s="5"/>
      <c r="AC78" s="5"/>
      <c r="AD78" s="5"/>
      <c r="AE78" s="5"/>
      <c r="AF78" s="5"/>
      <c r="AG78" s="5"/>
      <c r="AH78" s="5"/>
      <c r="AI78" s="5"/>
      <c r="AJ78" s="5"/>
      <c r="AK78" s="5"/>
    </row>
    <row r="79" spans="2:37" s="19" customFormat="1" x14ac:dyDescent="0.2">
      <c r="B79" s="182" t="s">
        <v>9</v>
      </c>
      <c r="C79" s="68">
        <v>15.170766425793259</v>
      </c>
      <c r="D79" s="68">
        <v>19.196994326336931</v>
      </c>
      <c r="E79" s="68">
        <f t="shared" si="35"/>
        <v>34.367760752130188</v>
      </c>
      <c r="F79" s="190">
        <v>0</v>
      </c>
      <c r="G79" s="190">
        <v>0</v>
      </c>
      <c r="H79" s="190">
        <f t="shared" si="36"/>
        <v>0</v>
      </c>
      <c r="I79" s="190">
        <v>3.4106416650616502</v>
      </c>
      <c r="J79" s="190">
        <v>29.853685710041244</v>
      </c>
      <c r="K79" s="190">
        <f t="shared" si="37"/>
        <v>33.264327375102894</v>
      </c>
      <c r="L79" s="190">
        <v>169.03933333333333</v>
      </c>
      <c r="M79" s="190">
        <v>10.202999999999996</v>
      </c>
      <c r="N79" s="190">
        <f t="shared" si="38"/>
        <v>179.24233333333333</v>
      </c>
      <c r="O79" s="190">
        <f t="shared" si="39"/>
        <v>187.62074142418822</v>
      </c>
      <c r="P79" s="190">
        <f t="shared" si="33"/>
        <v>59.253680036378171</v>
      </c>
      <c r="Q79" s="190">
        <f t="shared" si="34"/>
        <v>246.87442146056642</v>
      </c>
      <c r="X79" s="5"/>
      <c r="Y79" s="5"/>
      <c r="Z79" s="5"/>
      <c r="AA79" s="5"/>
      <c r="AB79" s="5"/>
      <c r="AC79" s="5"/>
      <c r="AD79" s="5"/>
      <c r="AE79" s="5"/>
      <c r="AF79" s="5"/>
      <c r="AG79" s="5"/>
      <c r="AH79" s="5"/>
      <c r="AI79" s="5"/>
      <c r="AJ79" s="5"/>
      <c r="AK79" s="5"/>
    </row>
    <row r="80" spans="2:37" s="19" customFormat="1" x14ac:dyDescent="0.2">
      <c r="B80" s="182" t="s">
        <v>23</v>
      </c>
      <c r="C80" s="68">
        <v>45.66</v>
      </c>
      <c r="D80" s="68">
        <v>9.5499999999999989</v>
      </c>
      <c r="E80" s="68">
        <f t="shared" si="35"/>
        <v>55.209999999999994</v>
      </c>
      <c r="F80" s="190">
        <v>0</v>
      </c>
      <c r="G80" s="190">
        <v>0</v>
      </c>
      <c r="H80" s="190">
        <f t="shared" si="36"/>
        <v>0</v>
      </c>
      <c r="I80" s="190">
        <v>0</v>
      </c>
      <c r="J80" s="190">
        <v>0</v>
      </c>
      <c r="K80" s="190">
        <f t="shared" si="37"/>
        <v>0</v>
      </c>
      <c r="L80" s="190">
        <v>0</v>
      </c>
      <c r="M80" s="190">
        <v>0</v>
      </c>
      <c r="N80" s="190">
        <f t="shared" si="38"/>
        <v>0</v>
      </c>
      <c r="O80" s="190">
        <f t="shared" si="39"/>
        <v>45.66</v>
      </c>
      <c r="P80" s="190">
        <f t="shared" si="33"/>
        <v>9.5499999999999989</v>
      </c>
      <c r="Q80" s="190">
        <f t="shared" si="34"/>
        <v>55.209999999999994</v>
      </c>
      <c r="X80" s="5"/>
      <c r="Y80" s="5"/>
      <c r="Z80" s="5"/>
      <c r="AA80" s="5"/>
      <c r="AB80" s="5"/>
      <c r="AC80" s="5"/>
      <c r="AD80" s="5"/>
      <c r="AE80" s="5"/>
      <c r="AF80" s="5"/>
      <c r="AG80" s="5"/>
      <c r="AH80" s="5"/>
      <c r="AI80" s="5"/>
      <c r="AJ80" s="5"/>
      <c r="AK80" s="5"/>
    </row>
    <row r="81" spans="2:37" s="19" customFormat="1" x14ac:dyDescent="0.2">
      <c r="B81" s="182" t="s">
        <v>10</v>
      </c>
      <c r="C81" s="68">
        <v>2.7657618345399997</v>
      </c>
      <c r="D81" s="68">
        <v>2.5502500000000001</v>
      </c>
      <c r="E81" s="68">
        <f t="shared" si="35"/>
        <v>5.3160118345399994</v>
      </c>
      <c r="F81" s="190">
        <v>0</v>
      </c>
      <c r="G81" s="190">
        <v>0</v>
      </c>
      <c r="H81" s="190">
        <f t="shared" si="36"/>
        <v>0</v>
      </c>
      <c r="I81" s="190">
        <v>0.66857961472561689</v>
      </c>
      <c r="J81" s="190">
        <v>4.9876891573557547</v>
      </c>
      <c r="K81" s="190">
        <f t="shared" si="37"/>
        <v>5.656268772081372</v>
      </c>
      <c r="L81" s="190">
        <v>0.45999999999999996</v>
      </c>
      <c r="M81" s="190">
        <v>0.85999999999999988</v>
      </c>
      <c r="N81" s="190">
        <f t="shared" si="38"/>
        <v>1.3199999999999998</v>
      </c>
      <c r="O81" s="190">
        <f t="shared" si="39"/>
        <v>3.8943414492656165</v>
      </c>
      <c r="P81" s="190">
        <f t="shared" si="33"/>
        <v>8.3979391573557542</v>
      </c>
      <c r="Q81" s="190">
        <f t="shared" si="34"/>
        <v>12.292280606621372</v>
      </c>
      <c r="X81" s="5"/>
      <c r="Y81" s="5"/>
      <c r="Z81" s="5"/>
      <c r="AA81" s="5"/>
      <c r="AB81" s="5"/>
      <c r="AC81" s="5"/>
      <c r="AD81" s="5"/>
      <c r="AE81" s="5"/>
      <c r="AF81" s="5"/>
      <c r="AG81" s="5"/>
      <c r="AH81" s="5"/>
      <c r="AI81" s="5"/>
      <c r="AJ81" s="5"/>
      <c r="AK81" s="5"/>
    </row>
    <row r="82" spans="2:37" s="19" customFormat="1" x14ac:dyDescent="0.2">
      <c r="B82" s="182" t="s">
        <v>11</v>
      </c>
      <c r="C82" s="68">
        <v>0</v>
      </c>
      <c r="D82" s="68">
        <v>12.7</v>
      </c>
      <c r="E82" s="68">
        <f t="shared" si="35"/>
        <v>12.7</v>
      </c>
      <c r="F82" s="190">
        <v>0</v>
      </c>
      <c r="G82" s="190">
        <v>0</v>
      </c>
      <c r="H82" s="190">
        <f t="shared" si="36"/>
        <v>0</v>
      </c>
      <c r="I82" s="190">
        <v>0.75740401563686177</v>
      </c>
      <c r="J82" s="190">
        <v>11.91481181094</v>
      </c>
      <c r="K82" s="190">
        <f t="shared" si="37"/>
        <v>12.672215826576862</v>
      </c>
      <c r="L82" s="190">
        <v>0</v>
      </c>
      <c r="M82" s="190">
        <v>0</v>
      </c>
      <c r="N82" s="190">
        <f t="shared" si="38"/>
        <v>0</v>
      </c>
      <c r="O82" s="190">
        <f t="shared" si="39"/>
        <v>0.75740401563686177</v>
      </c>
      <c r="P82" s="190">
        <f t="shared" si="33"/>
        <v>24.614811810939997</v>
      </c>
      <c r="Q82" s="190">
        <f t="shared" si="34"/>
        <v>25.372215826576863</v>
      </c>
      <c r="X82" s="5"/>
      <c r="Y82" s="5"/>
      <c r="Z82" s="5"/>
      <c r="AA82" s="5"/>
      <c r="AB82" s="5"/>
      <c r="AC82" s="5"/>
      <c r="AD82" s="5"/>
      <c r="AE82" s="5"/>
      <c r="AF82" s="5"/>
      <c r="AG82" s="5"/>
      <c r="AH82" s="5"/>
      <c r="AI82" s="5"/>
      <c r="AJ82" s="5"/>
      <c r="AK82" s="5"/>
    </row>
    <row r="83" spans="2:37" s="19" customFormat="1" x14ac:dyDescent="0.2">
      <c r="B83" s="182" t="s">
        <v>12</v>
      </c>
      <c r="C83" s="68">
        <v>0</v>
      </c>
      <c r="D83" s="68">
        <v>10.611215500324249</v>
      </c>
      <c r="E83" s="68">
        <f t="shared" si="35"/>
        <v>10.611215500324249</v>
      </c>
      <c r="F83" s="190">
        <v>0.2287589439397737</v>
      </c>
      <c r="G83" s="190">
        <v>1.9502735691747088</v>
      </c>
      <c r="H83" s="190">
        <f t="shared" si="36"/>
        <v>2.1790325131144828</v>
      </c>
      <c r="I83" s="190">
        <v>0</v>
      </c>
      <c r="J83" s="190">
        <v>0</v>
      </c>
      <c r="K83" s="190">
        <f t="shared" si="37"/>
        <v>0</v>
      </c>
      <c r="L83" s="190">
        <v>69.804000000000002</v>
      </c>
      <c r="M83" s="190">
        <v>13.497999999999989</v>
      </c>
      <c r="N83" s="190">
        <f t="shared" si="38"/>
        <v>83.301999999999992</v>
      </c>
      <c r="O83" s="190">
        <f t="shared" si="39"/>
        <v>70.032758943939783</v>
      </c>
      <c r="P83" s="190">
        <f t="shared" si="33"/>
        <v>26.059489069498945</v>
      </c>
      <c r="Q83" s="190">
        <f t="shared" si="34"/>
        <v>96.09224801343872</v>
      </c>
      <c r="X83" s="5"/>
      <c r="Y83" s="5"/>
      <c r="Z83" s="5"/>
      <c r="AA83" s="5"/>
      <c r="AB83" s="5"/>
      <c r="AC83" s="5"/>
      <c r="AD83" s="5"/>
      <c r="AE83" s="5"/>
      <c r="AF83" s="5"/>
      <c r="AG83" s="5"/>
      <c r="AH83" s="5"/>
      <c r="AI83" s="5"/>
      <c r="AJ83" s="5"/>
      <c r="AK83" s="5"/>
    </row>
    <row r="84" spans="2:37" s="19" customFormat="1" x14ac:dyDescent="0.2">
      <c r="B84" s="182" t="s">
        <v>13</v>
      </c>
      <c r="C84" s="68">
        <v>1.306</v>
      </c>
      <c r="D84" s="68">
        <v>5.6920000000000002</v>
      </c>
      <c r="E84" s="68">
        <f t="shared" si="35"/>
        <v>6.9980000000000002</v>
      </c>
      <c r="F84" s="190">
        <v>0</v>
      </c>
      <c r="G84" s="190">
        <v>0</v>
      </c>
      <c r="H84" s="190">
        <f t="shared" si="36"/>
        <v>0</v>
      </c>
      <c r="I84" s="190">
        <v>0</v>
      </c>
      <c r="J84" s="190">
        <v>0</v>
      </c>
      <c r="K84" s="190">
        <f t="shared" si="37"/>
        <v>0</v>
      </c>
      <c r="L84" s="190">
        <v>0</v>
      </c>
      <c r="M84" s="190">
        <v>0</v>
      </c>
      <c r="N84" s="190">
        <f t="shared" si="38"/>
        <v>0</v>
      </c>
      <c r="O84" s="190">
        <f t="shared" si="39"/>
        <v>1.306</v>
      </c>
      <c r="P84" s="190">
        <f t="shared" si="33"/>
        <v>5.6920000000000002</v>
      </c>
      <c r="Q84" s="190">
        <f t="shared" si="34"/>
        <v>6.9980000000000002</v>
      </c>
      <c r="X84" s="5"/>
      <c r="Y84" s="5"/>
      <c r="Z84" s="5"/>
      <c r="AA84" s="5"/>
      <c r="AB84" s="5"/>
      <c r="AC84" s="5"/>
      <c r="AD84" s="5"/>
      <c r="AE84" s="5"/>
      <c r="AF84" s="5"/>
      <c r="AG84" s="5"/>
      <c r="AH84" s="5"/>
      <c r="AI84" s="5"/>
      <c r="AJ84" s="5"/>
      <c r="AK84" s="5"/>
    </row>
    <row r="85" spans="2:37" s="19" customFormat="1" x14ac:dyDescent="0.2">
      <c r="B85" s="182" t="s">
        <v>15</v>
      </c>
      <c r="C85" s="68">
        <v>0</v>
      </c>
      <c r="D85" s="68">
        <v>1.2450000000000001</v>
      </c>
      <c r="E85" s="68">
        <f t="shared" si="35"/>
        <v>1.2450000000000001</v>
      </c>
      <c r="F85" s="190">
        <v>0</v>
      </c>
      <c r="G85" s="190">
        <v>0</v>
      </c>
      <c r="H85" s="190">
        <f t="shared" si="36"/>
        <v>0</v>
      </c>
      <c r="I85" s="190">
        <v>0</v>
      </c>
      <c r="J85" s="190">
        <v>0</v>
      </c>
      <c r="K85" s="190">
        <f t="shared" si="37"/>
        <v>0</v>
      </c>
      <c r="L85" s="190">
        <v>0</v>
      </c>
      <c r="M85" s="190">
        <v>0</v>
      </c>
      <c r="N85" s="190">
        <f t="shared" si="38"/>
        <v>0</v>
      </c>
      <c r="O85" s="190">
        <f t="shared" si="39"/>
        <v>0</v>
      </c>
      <c r="P85" s="190">
        <f t="shared" si="33"/>
        <v>1.2450000000000001</v>
      </c>
      <c r="Q85" s="190">
        <f t="shared" si="34"/>
        <v>1.2450000000000001</v>
      </c>
      <c r="X85" s="5"/>
      <c r="Y85" s="5"/>
      <c r="Z85" s="5"/>
      <c r="AA85" s="5"/>
      <c r="AB85" s="5"/>
      <c r="AC85" s="5"/>
      <c r="AD85" s="5"/>
      <c r="AE85" s="5"/>
      <c r="AF85" s="5"/>
      <c r="AG85" s="5"/>
      <c r="AH85" s="5"/>
      <c r="AI85" s="5"/>
      <c r="AJ85" s="5"/>
      <c r="AK85" s="5"/>
    </row>
    <row r="86" spans="2:37" s="19" customFormat="1" x14ac:dyDescent="0.2">
      <c r="B86" s="182" t="s">
        <v>16</v>
      </c>
      <c r="C86" s="68">
        <v>0</v>
      </c>
      <c r="D86" s="68">
        <v>10.085999999999999</v>
      </c>
      <c r="E86" s="68">
        <f t="shared" si="35"/>
        <v>10.085999999999999</v>
      </c>
      <c r="F86" s="190">
        <v>0</v>
      </c>
      <c r="G86" s="190">
        <v>0</v>
      </c>
      <c r="H86" s="190">
        <f t="shared" si="36"/>
        <v>0</v>
      </c>
      <c r="I86" s="190">
        <v>0</v>
      </c>
      <c r="J86" s="190">
        <v>0</v>
      </c>
      <c r="K86" s="190">
        <f t="shared" si="37"/>
        <v>0</v>
      </c>
      <c r="L86" s="190">
        <v>0</v>
      </c>
      <c r="M86" s="190">
        <v>0</v>
      </c>
      <c r="N86" s="190">
        <f t="shared" si="38"/>
        <v>0</v>
      </c>
      <c r="O86" s="190">
        <f t="shared" si="39"/>
        <v>0</v>
      </c>
      <c r="P86" s="190">
        <f t="shared" si="33"/>
        <v>10.085999999999999</v>
      </c>
      <c r="Q86" s="190">
        <f t="shared" si="34"/>
        <v>10.085999999999999</v>
      </c>
      <c r="X86" s="5"/>
      <c r="Y86" s="5"/>
      <c r="Z86" s="5"/>
      <c r="AA86" s="5"/>
      <c r="AB86" s="5"/>
      <c r="AC86" s="5"/>
      <c r="AD86" s="5"/>
      <c r="AE86" s="5"/>
      <c r="AF86" s="5"/>
      <c r="AG86" s="5"/>
      <c r="AH86" s="5"/>
      <c r="AI86" s="5"/>
      <c r="AJ86" s="5"/>
      <c r="AK86" s="5"/>
    </row>
    <row r="87" spans="2:37" s="19" customFormat="1" x14ac:dyDescent="0.2">
      <c r="B87" s="182" t="s">
        <v>17</v>
      </c>
      <c r="C87" s="68">
        <v>0</v>
      </c>
      <c r="D87" s="68">
        <v>2.2149999999999999</v>
      </c>
      <c r="E87" s="68">
        <f t="shared" si="35"/>
        <v>2.2149999999999999</v>
      </c>
      <c r="F87" s="190">
        <v>0</v>
      </c>
      <c r="G87" s="190">
        <v>0</v>
      </c>
      <c r="H87" s="190">
        <f t="shared" si="36"/>
        <v>0</v>
      </c>
      <c r="I87" s="190">
        <v>2.4828731814318168</v>
      </c>
      <c r="J87" s="190">
        <v>14.988010796299161</v>
      </c>
      <c r="K87" s="190">
        <f t="shared" si="37"/>
        <v>17.470883977730978</v>
      </c>
      <c r="L87" s="190">
        <v>0</v>
      </c>
      <c r="M87" s="190">
        <v>0</v>
      </c>
      <c r="N87" s="190">
        <f t="shared" si="38"/>
        <v>0</v>
      </c>
      <c r="O87" s="190">
        <f t="shared" si="39"/>
        <v>2.4828731814318168</v>
      </c>
      <c r="P87" s="190">
        <f t="shared" si="33"/>
        <v>17.203010796299161</v>
      </c>
      <c r="Q87" s="190">
        <f t="shared" si="34"/>
        <v>19.685883977730978</v>
      </c>
      <c r="X87" s="5"/>
      <c r="Y87" s="5"/>
      <c r="Z87" s="5"/>
      <c r="AA87" s="5"/>
      <c r="AB87" s="5"/>
      <c r="AC87" s="5"/>
      <c r="AD87" s="5"/>
      <c r="AE87" s="5"/>
      <c r="AF87" s="5"/>
      <c r="AG87" s="5"/>
      <c r="AH87" s="5"/>
      <c r="AI87" s="5"/>
      <c r="AJ87" s="5"/>
      <c r="AK87" s="5"/>
    </row>
    <row r="88" spans="2:37" s="19" customFormat="1" x14ac:dyDescent="0.2">
      <c r="B88" s="182" t="s">
        <v>18</v>
      </c>
      <c r="C88" s="68">
        <v>3.1355349256342049E-2</v>
      </c>
      <c r="D88" s="68">
        <v>6.9861669925085188</v>
      </c>
      <c r="E88" s="68">
        <f t="shared" si="35"/>
        <v>7.0175223417648604</v>
      </c>
      <c r="F88" s="190">
        <v>0</v>
      </c>
      <c r="G88" s="190">
        <v>0</v>
      </c>
      <c r="H88" s="190">
        <f t="shared" si="36"/>
        <v>0</v>
      </c>
      <c r="I88" s="190">
        <v>0.8238438144511252</v>
      </c>
      <c r="J88" s="190">
        <v>8.8343486175667554</v>
      </c>
      <c r="K88" s="190">
        <f t="shared" si="37"/>
        <v>9.6581924320178807</v>
      </c>
      <c r="L88" s="190">
        <v>0</v>
      </c>
      <c r="M88" s="190">
        <v>0</v>
      </c>
      <c r="N88" s="190">
        <f t="shared" si="38"/>
        <v>0</v>
      </c>
      <c r="O88" s="190">
        <f t="shared" si="39"/>
        <v>0.85519916370746729</v>
      </c>
      <c r="P88" s="190">
        <f t="shared" si="33"/>
        <v>15.820515610075274</v>
      </c>
      <c r="Q88" s="190">
        <f t="shared" si="34"/>
        <v>16.67571477378274</v>
      </c>
      <c r="X88" s="5"/>
      <c r="Y88" s="5"/>
      <c r="Z88" s="5"/>
      <c r="AA88" s="5"/>
      <c r="AB88" s="5"/>
      <c r="AC88" s="5"/>
      <c r="AD88" s="5"/>
      <c r="AE88" s="5"/>
      <c r="AF88" s="5"/>
      <c r="AG88" s="5"/>
      <c r="AH88" s="5"/>
      <c r="AI88" s="5"/>
      <c r="AJ88" s="5"/>
      <c r="AK88" s="5"/>
    </row>
    <row r="89" spans="2:37" s="19" customFormat="1" x14ac:dyDescent="0.2">
      <c r="B89" s="184" t="s">
        <v>33</v>
      </c>
      <c r="C89" s="215">
        <f>SUM(C72:C88)</f>
        <v>123.94310384501591</v>
      </c>
      <c r="D89" s="215">
        <f t="shared" ref="D89:Q89" si="40">SUM(D72:D88)</f>
        <v>251.54103427296494</v>
      </c>
      <c r="E89" s="215">
        <f t="shared" si="40"/>
        <v>375.48413811798076</v>
      </c>
      <c r="F89" s="215">
        <f t="shared" si="40"/>
        <v>0.2287589439397737</v>
      </c>
      <c r="G89" s="215">
        <f t="shared" si="40"/>
        <v>1.9502735691747088</v>
      </c>
      <c r="H89" s="215">
        <f t="shared" si="40"/>
        <v>2.1790325131144828</v>
      </c>
      <c r="I89" s="215">
        <f t="shared" si="40"/>
        <v>17.139701950627618</v>
      </c>
      <c r="J89" s="215">
        <f t="shared" si="40"/>
        <v>169.37902893616331</v>
      </c>
      <c r="K89" s="215">
        <f t="shared" si="40"/>
        <v>186.51873088679093</v>
      </c>
      <c r="L89" s="215">
        <f t="shared" si="40"/>
        <v>363.1236856467209</v>
      </c>
      <c r="M89" s="215">
        <f t="shared" si="40"/>
        <v>87.000551995797011</v>
      </c>
      <c r="N89" s="215">
        <f t="shared" si="40"/>
        <v>450.12423764251787</v>
      </c>
      <c r="O89" s="215">
        <f t="shared" si="40"/>
        <v>504.43525038630418</v>
      </c>
      <c r="P89" s="215">
        <f t="shared" si="40"/>
        <v>509.87088877410008</v>
      </c>
      <c r="Q89" s="215">
        <f t="shared" si="40"/>
        <v>1014.3061391604043</v>
      </c>
      <c r="X89" s="5"/>
      <c r="Y89" s="5"/>
      <c r="Z89" s="5"/>
      <c r="AA89" s="5"/>
      <c r="AB89" s="5"/>
      <c r="AC89" s="5"/>
      <c r="AD89" s="5"/>
      <c r="AE89" s="5"/>
      <c r="AF89" s="5"/>
      <c r="AG89" s="5"/>
      <c r="AH89" s="5"/>
      <c r="AI89" s="5"/>
      <c r="AJ89" s="5"/>
      <c r="AK89" s="5"/>
    </row>
    <row r="90" spans="2:37" s="19" customFormat="1" x14ac:dyDescent="0.2">
      <c r="X90" s="5"/>
      <c r="Y90" s="5"/>
      <c r="Z90" s="5"/>
      <c r="AA90" s="5"/>
      <c r="AB90" s="5"/>
      <c r="AC90" s="5"/>
      <c r="AD90" s="5"/>
      <c r="AE90" s="5"/>
      <c r="AF90" s="5"/>
      <c r="AG90" s="5"/>
      <c r="AH90" s="5"/>
      <c r="AI90" s="5"/>
      <c r="AJ90" s="5"/>
      <c r="AK90" s="5"/>
    </row>
    <row r="91" spans="2:37" s="19" customFormat="1" x14ac:dyDescent="0.2">
      <c r="B91" s="191" t="s">
        <v>284</v>
      </c>
      <c r="C91" s="192"/>
      <c r="D91" s="192"/>
      <c r="E91" s="192"/>
      <c r="F91" s="192"/>
      <c r="G91" s="192"/>
      <c r="H91" s="192"/>
      <c r="I91" s="192"/>
      <c r="J91" s="192"/>
      <c r="K91" s="192"/>
      <c r="L91" s="192"/>
      <c r="M91" s="192"/>
      <c r="N91" s="192"/>
      <c r="O91" s="192"/>
      <c r="P91" s="192"/>
      <c r="Q91" s="192"/>
      <c r="X91" s="5"/>
      <c r="Y91" s="5"/>
      <c r="Z91" s="5"/>
      <c r="AA91" s="5"/>
      <c r="AB91" s="5"/>
      <c r="AC91" s="5"/>
      <c r="AD91" s="5"/>
      <c r="AE91" s="5"/>
      <c r="AF91" s="5"/>
      <c r="AG91" s="5"/>
      <c r="AH91" s="5"/>
      <c r="AI91" s="5"/>
      <c r="AJ91" s="5"/>
      <c r="AK91" s="5"/>
    </row>
    <row r="92" spans="2:37" s="19" customFormat="1" x14ac:dyDescent="0.2">
      <c r="X92" s="5"/>
      <c r="Y92" s="5"/>
      <c r="Z92" s="5"/>
      <c r="AA92" s="5"/>
      <c r="AB92" s="5"/>
      <c r="AC92" s="5"/>
      <c r="AD92" s="5"/>
      <c r="AE92" s="5"/>
      <c r="AF92" s="5"/>
      <c r="AG92" s="5"/>
      <c r="AH92" s="5"/>
      <c r="AI92" s="5"/>
      <c r="AJ92" s="5"/>
      <c r="AK92" s="5"/>
    </row>
    <row r="93" spans="2:37" s="19" customFormat="1" x14ac:dyDescent="0.2">
      <c r="B93" s="35" t="s">
        <v>20</v>
      </c>
      <c r="C93" s="19" t="s">
        <v>285</v>
      </c>
      <c r="D93" s="19" t="s">
        <v>286</v>
      </c>
      <c r="E93" s="19" t="s">
        <v>287</v>
      </c>
      <c r="F93" s="19" t="s">
        <v>288</v>
      </c>
      <c r="X93" s="5"/>
      <c r="Y93" s="5"/>
      <c r="Z93" s="5"/>
      <c r="AA93" s="5"/>
      <c r="AB93" s="5"/>
      <c r="AC93" s="5"/>
      <c r="AD93" s="5"/>
      <c r="AE93" s="5"/>
      <c r="AF93" s="5"/>
      <c r="AG93" s="5"/>
      <c r="AH93" s="5"/>
      <c r="AI93" s="5"/>
      <c r="AJ93" s="5"/>
      <c r="AK93" s="5"/>
    </row>
    <row r="94" spans="2:37" s="19" customFormat="1" x14ac:dyDescent="0.2">
      <c r="B94" s="182" t="s">
        <v>4</v>
      </c>
      <c r="C94" s="68">
        <f>SUMIFS('BP costs'!$J$7:$J$96,'BP costs'!$B$7:$B$96,$B94)</f>
        <v>1667.9523255333413</v>
      </c>
      <c r="F94" s="68">
        <f>SUMIF('Modelled costs'!$A$6:$A$105,$B94,'Modelled costs'!$N$6:$N$105)</f>
        <v>1359.7474811715879</v>
      </c>
      <c r="X94" s="5"/>
      <c r="Y94" s="5"/>
      <c r="Z94" s="5"/>
      <c r="AA94" s="5"/>
      <c r="AB94" s="5"/>
      <c r="AC94" s="5"/>
      <c r="AD94" s="5"/>
      <c r="AE94" s="5"/>
      <c r="AF94" s="5"/>
      <c r="AG94" s="5"/>
      <c r="AH94" s="5"/>
      <c r="AI94" s="5"/>
      <c r="AJ94" s="5"/>
      <c r="AK94" s="5"/>
    </row>
    <row r="95" spans="2:37" s="19" customFormat="1" x14ac:dyDescent="0.2">
      <c r="B95" s="182" t="s">
        <v>90</v>
      </c>
      <c r="C95" s="68">
        <f>SUMIFS('BP costs'!$J$7:$J$96,'BP costs'!$B$7:$B$96,$B95)</f>
        <v>95.498593321835614</v>
      </c>
      <c r="F95" s="68">
        <f>SUMIF('Modelled costs'!$A$6:$A$105,$B95,'Modelled costs'!$N$6:$N$105)</f>
        <v>106.70302501528849</v>
      </c>
      <c r="X95" s="5"/>
      <c r="Y95" s="5"/>
      <c r="Z95" s="5"/>
      <c r="AA95" s="5"/>
      <c r="AB95" s="5"/>
      <c r="AC95" s="5"/>
      <c r="AD95" s="5"/>
      <c r="AE95" s="5"/>
      <c r="AF95" s="5"/>
      <c r="AG95" s="5"/>
      <c r="AH95" s="5"/>
      <c r="AI95" s="5"/>
      <c r="AJ95" s="5"/>
      <c r="AK95" s="5"/>
    </row>
    <row r="96" spans="2:37" s="19" customFormat="1" x14ac:dyDescent="0.2">
      <c r="B96" s="182" t="s">
        <v>5</v>
      </c>
      <c r="C96" s="68">
        <f>SUMIFS('BP costs'!$J$7:$J$96,'BP costs'!$B$7:$B$96,$B96)</f>
        <v>1096.79</v>
      </c>
      <c r="F96" s="68">
        <f>SUMIF('Modelled costs'!$A$6:$A$105,$B96,'Modelled costs'!$N$6:$N$105)</f>
        <v>1206.8551285742819</v>
      </c>
      <c r="X96" s="5"/>
      <c r="Y96" s="5"/>
      <c r="Z96" s="5"/>
      <c r="AA96" s="5"/>
      <c r="AB96" s="5"/>
      <c r="AC96" s="5"/>
      <c r="AD96" s="5"/>
      <c r="AE96" s="5"/>
      <c r="AF96" s="5"/>
      <c r="AG96" s="5"/>
      <c r="AH96" s="5"/>
      <c r="AI96" s="5"/>
      <c r="AJ96" s="5"/>
      <c r="AK96" s="5"/>
    </row>
    <row r="97" spans="2:37" s="19" customFormat="1" x14ac:dyDescent="0.2">
      <c r="B97" s="182" t="s">
        <v>6</v>
      </c>
      <c r="C97" s="68">
        <f>SUMIFS('BP costs'!$J$7:$J$96,'BP costs'!$B$7:$B$96,$B97)</f>
        <v>1789.8996399742</v>
      </c>
      <c r="F97" s="68">
        <f>SUMIF('Modelled costs'!$A$6:$A$105,$B97,'Modelled costs'!$N$6:$N$105)</f>
        <v>2064.8066135345316</v>
      </c>
      <c r="X97" s="5"/>
      <c r="Y97" s="5"/>
      <c r="Z97" s="5"/>
      <c r="AA97" s="5"/>
      <c r="AB97" s="5"/>
      <c r="AC97" s="5"/>
      <c r="AD97" s="5"/>
      <c r="AE97" s="5"/>
      <c r="AF97" s="5"/>
      <c r="AG97" s="5"/>
      <c r="AH97" s="5"/>
      <c r="AI97" s="5"/>
      <c r="AJ97" s="5"/>
      <c r="AK97" s="5"/>
    </row>
    <row r="98" spans="2:37" s="19" customFormat="1" x14ac:dyDescent="0.2">
      <c r="B98" s="182" t="s">
        <v>7</v>
      </c>
      <c r="C98" s="68">
        <f>SUMIFS('BP costs'!$J$7:$J$96,'BP costs'!$B$7:$B$96,$B98)</f>
        <v>806.27499999999998</v>
      </c>
      <c r="F98" s="68">
        <f>SUMIF('Modelled costs'!$A$6:$A$105,$B98,'Modelled costs'!$N$6:$N$105)</f>
        <v>704.88468439400447</v>
      </c>
      <c r="X98" s="5"/>
      <c r="Y98" s="5"/>
      <c r="Z98" s="5"/>
      <c r="AA98" s="5"/>
      <c r="AB98" s="5"/>
      <c r="AC98" s="5"/>
      <c r="AD98" s="5"/>
      <c r="AE98" s="5"/>
      <c r="AF98" s="5"/>
      <c r="AG98" s="5"/>
      <c r="AH98" s="5"/>
      <c r="AI98" s="5"/>
      <c r="AJ98" s="5"/>
      <c r="AK98" s="5"/>
    </row>
    <row r="99" spans="2:37" s="19" customFormat="1" x14ac:dyDescent="0.2">
      <c r="B99" s="182" t="s">
        <v>89</v>
      </c>
      <c r="C99" s="68">
        <f>SUMIFS('BP costs'!$J$7:$J$96,'BP costs'!$B$7:$B$96,$B99)</f>
        <v>2260.4185474527885</v>
      </c>
      <c r="F99" s="68">
        <f>SUMIF('Modelled costs'!$A$6:$A$105,$B99,'Modelled costs'!$N$6:$N$105)</f>
        <v>2326.1055823492043</v>
      </c>
      <c r="X99" s="5"/>
      <c r="Y99" s="5"/>
      <c r="Z99" s="5"/>
      <c r="AA99" s="5"/>
      <c r="AB99" s="5"/>
      <c r="AC99" s="5"/>
      <c r="AD99" s="5"/>
      <c r="AE99" s="5"/>
      <c r="AF99" s="5"/>
      <c r="AG99" s="5"/>
      <c r="AH99" s="5"/>
      <c r="AI99" s="5"/>
      <c r="AJ99" s="5"/>
      <c r="AK99" s="5"/>
    </row>
    <row r="100" spans="2:37" s="19" customFormat="1" x14ac:dyDescent="0.2">
      <c r="B100" s="182" t="s">
        <v>19</v>
      </c>
      <c r="C100" s="68">
        <f>SUMIFS('BP costs'!$J$7:$J$96,'BP costs'!$B$7:$B$96,$B100)</f>
        <v>586.21699999999998</v>
      </c>
      <c r="F100" s="68">
        <f>SUMIF('Modelled costs'!$A$6:$A$105,$B100,'Modelled costs'!$N$6:$N$105)</f>
        <v>671.80104405009558</v>
      </c>
      <c r="X100" s="5"/>
      <c r="Y100" s="5"/>
      <c r="Z100" s="5"/>
      <c r="AA100" s="5"/>
      <c r="AB100" s="5"/>
      <c r="AC100" s="5"/>
      <c r="AD100" s="5"/>
      <c r="AE100" s="5"/>
      <c r="AF100" s="5"/>
      <c r="AG100" s="5"/>
      <c r="AH100" s="5"/>
      <c r="AI100" s="5"/>
      <c r="AJ100" s="5"/>
      <c r="AK100" s="5"/>
    </row>
    <row r="101" spans="2:37" s="19" customFormat="1" x14ac:dyDescent="0.2">
      <c r="B101" s="182" t="s">
        <v>9</v>
      </c>
      <c r="C101" s="68">
        <f>SUMIFS('BP costs'!$J$7:$J$96,'BP costs'!$B$7:$B$96,$B101)</f>
        <v>3642.4954192374307</v>
      </c>
      <c r="F101" s="68">
        <f>SUMIF('Modelled costs'!$A$6:$A$105,$B101,'Modelled costs'!$N$6:$N$105)</f>
        <v>3287.4556384411303</v>
      </c>
      <c r="X101" s="5"/>
      <c r="Y101" s="5"/>
      <c r="Z101" s="5"/>
      <c r="AA101" s="5"/>
      <c r="AB101" s="5"/>
      <c r="AC101" s="5"/>
      <c r="AD101" s="5"/>
      <c r="AE101" s="5"/>
      <c r="AF101" s="5"/>
      <c r="AG101" s="5"/>
      <c r="AH101" s="5"/>
      <c r="AI101" s="5"/>
      <c r="AJ101" s="5"/>
      <c r="AK101" s="5"/>
    </row>
    <row r="102" spans="2:37" s="19" customFormat="1" x14ac:dyDescent="0.2">
      <c r="B102" s="182" t="s">
        <v>23</v>
      </c>
      <c r="C102" s="68">
        <f>SUMIFS('BP costs'!$J$7:$J$96,'BP costs'!$B$7:$B$96,$B102)</f>
        <v>977.05199999999991</v>
      </c>
      <c r="F102" s="68">
        <f>SUMIF('Modelled costs'!$A$6:$A$105,$B102,'Modelled costs'!$N$6:$N$105)</f>
        <v>1071.4739210904429</v>
      </c>
      <c r="X102" s="5"/>
      <c r="Y102" s="5"/>
      <c r="Z102" s="5"/>
      <c r="AA102" s="5"/>
      <c r="AB102" s="5"/>
      <c r="AC102" s="5"/>
      <c r="AD102" s="5"/>
      <c r="AE102" s="5"/>
      <c r="AF102" s="5"/>
      <c r="AG102" s="5"/>
      <c r="AH102" s="5"/>
      <c r="AI102" s="5"/>
      <c r="AJ102" s="5"/>
      <c r="AK102" s="5"/>
    </row>
    <row r="103" spans="2:37" s="19" customFormat="1" x14ac:dyDescent="0.2">
      <c r="B103" s="182" t="s">
        <v>10</v>
      </c>
      <c r="C103" s="68">
        <f>SUMIFS('BP costs'!$J$7:$J$96,'BP costs'!$B$7:$B$96,$B103)</f>
        <v>465.61135574887771</v>
      </c>
      <c r="F103" s="68">
        <f>SUMIF('Modelled costs'!$A$6:$A$105,$B103,'Modelled costs'!$N$6:$N$105)</f>
        <v>500.21527282118814</v>
      </c>
      <c r="X103" s="5"/>
      <c r="Y103" s="5"/>
      <c r="Z103" s="5"/>
      <c r="AA103" s="5"/>
      <c r="AB103" s="5"/>
      <c r="AC103" s="5"/>
      <c r="AD103" s="5"/>
      <c r="AE103" s="5"/>
      <c r="AF103" s="5"/>
      <c r="AG103" s="5"/>
      <c r="AH103" s="5"/>
      <c r="AI103" s="5"/>
      <c r="AJ103" s="5"/>
      <c r="AK103" s="5"/>
    </row>
    <row r="104" spans="2:37" s="19" customFormat="1" x14ac:dyDescent="0.2">
      <c r="B104" s="182" t="s">
        <v>11</v>
      </c>
      <c r="C104" s="68">
        <f>SUMIFS('BP costs'!$J$7:$J$96,'BP costs'!$B$7:$B$96,$B104)</f>
        <v>1412.607</v>
      </c>
      <c r="F104" s="68">
        <f>SUMIF('Modelled costs'!$A$6:$A$105,$B104,'Modelled costs'!$N$6:$N$105)</f>
        <v>1422.7703252338365</v>
      </c>
      <c r="X104" s="5"/>
      <c r="Y104" s="5"/>
      <c r="Z104" s="5"/>
      <c r="AA104" s="5"/>
      <c r="AB104" s="5"/>
      <c r="AC104" s="5"/>
      <c r="AD104" s="5"/>
      <c r="AE104" s="5"/>
      <c r="AF104" s="5"/>
      <c r="AG104" s="5"/>
      <c r="AH104" s="5"/>
      <c r="AI104" s="5"/>
      <c r="AJ104" s="5"/>
      <c r="AK104" s="5"/>
    </row>
    <row r="105" spans="2:37" s="19" customFormat="1" x14ac:dyDescent="0.2">
      <c r="B105" s="182" t="s">
        <v>12</v>
      </c>
      <c r="C105" s="68">
        <f>SUMIFS('BP costs'!$J$7:$J$96,'BP costs'!$B$7:$B$96,$B105)</f>
        <v>1005.8486461108317</v>
      </c>
      <c r="F105" s="68">
        <f>SUMIF('Modelled costs'!$A$6:$A$105,$B105,'Modelled costs'!$N$6:$N$105)</f>
        <v>1028.8929717300261</v>
      </c>
      <c r="X105" s="5"/>
      <c r="Y105" s="5"/>
      <c r="Z105" s="5"/>
      <c r="AA105" s="5"/>
      <c r="AB105" s="5"/>
      <c r="AC105" s="5"/>
      <c r="AD105" s="5"/>
      <c r="AE105" s="5"/>
      <c r="AF105" s="5"/>
      <c r="AG105" s="5"/>
      <c r="AH105" s="5"/>
      <c r="AI105" s="5"/>
      <c r="AJ105" s="5"/>
      <c r="AK105" s="5"/>
    </row>
    <row r="106" spans="2:37" s="19" customFormat="1" x14ac:dyDescent="0.2">
      <c r="B106" s="182" t="s">
        <v>13</v>
      </c>
      <c r="C106" s="68">
        <f>SUMIFS('BP costs'!$J$7:$J$96,'BP costs'!$B$7:$B$96,$B106)</f>
        <v>383.27299999999997</v>
      </c>
      <c r="F106" s="68">
        <f>SUMIF('Modelled costs'!$A$6:$A$105,$B106,'Modelled costs'!$N$6:$N$105)</f>
        <v>355.09054253036118</v>
      </c>
      <c r="X106" s="5"/>
      <c r="Y106" s="5"/>
      <c r="Z106" s="5"/>
      <c r="AA106" s="5"/>
      <c r="AB106" s="5"/>
      <c r="AC106" s="5"/>
      <c r="AD106" s="5"/>
      <c r="AE106" s="5"/>
      <c r="AF106" s="5"/>
      <c r="AG106" s="5"/>
      <c r="AH106" s="5"/>
      <c r="AI106" s="5"/>
      <c r="AJ106" s="5"/>
      <c r="AK106" s="5"/>
    </row>
    <row r="107" spans="2:37" s="19" customFormat="1" x14ac:dyDescent="0.2">
      <c r="B107" s="182" t="s">
        <v>15</v>
      </c>
      <c r="C107" s="68">
        <f>SUMIFS('BP costs'!$J$7:$J$96,'BP costs'!$B$7:$B$96,$B107)</f>
        <v>126.607</v>
      </c>
      <c r="F107" s="68">
        <f>SUMIF('Modelled costs'!$A$6:$A$105,$B107,'Modelled costs'!$N$6:$N$105)</f>
        <v>165.16062050851457</v>
      </c>
      <c r="X107" s="5"/>
      <c r="Y107" s="5"/>
      <c r="Z107" s="5"/>
      <c r="AA107" s="5"/>
      <c r="AB107" s="5"/>
      <c r="AC107" s="5"/>
      <c r="AD107" s="5"/>
      <c r="AE107" s="5"/>
      <c r="AF107" s="5"/>
      <c r="AG107" s="5"/>
      <c r="AH107" s="5"/>
      <c r="AI107" s="5"/>
      <c r="AJ107" s="5"/>
      <c r="AK107" s="5"/>
    </row>
    <row r="108" spans="2:37" s="19" customFormat="1" x14ac:dyDescent="0.2">
      <c r="B108" s="182" t="s">
        <v>16</v>
      </c>
      <c r="C108" s="68">
        <f>SUMIFS('BP costs'!$J$7:$J$96,'BP costs'!$B$7:$B$96,$B108)</f>
        <v>182.666</v>
      </c>
      <c r="F108" s="68">
        <f>SUMIF('Modelled costs'!$A$6:$A$105,$B108,'Modelled costs'!$N$6:$N$105)</f>
        <v>170.843193143326</v>
      </c>
      <c r="X108" s="5"/>
      <c r="Y108" s="5"/>
      <c r="Z108" s="5"/>
      <c r="AA108" s="5"/>
      <c r="AB108" s="5"/>
      <c r="AC108" s="5"/>
      <c r="AD108" s="5"/>
      <c r="AE108" s="5"/>
      <c r="AF108" s="5"/>
      <c r="AG108" s="5"/>
      <c r="AH108" s="5"/>
      <c r="AI108" s="5"/>
      <c r="AJ108" s="5"/>
      <c r="AK108" s="5"/>
    </row>
    <row r="109" spans="2:37" s="19" customFormat="1" x14ac:dyDescent="0.2">
      <c r="B109" s="182" t="s">
        <v>17</v>
      </c>
      <c r="C109" s="68">
        <f>SUMIFS('BP costs'!$J$7:$J$96,'BP costs'!$B$7:$B$96,$B109)</f>
        <v>645.45136481287818</v>
      </c>
      <c r="F109" s="68">
        <f>SUMIF('Modelled costs'!$A$6:$A$105,$B109,'Modelled costs'!$N$6:$N$105)</f>
        <v>631.54678838550444</v>
      </c>
      <c r="X109" s="5"/>
      <c r="Y109" s="5"/>
      <c r="Z109" s="5"/>
      <c r="AA109" s="5"/>
      <c r="AB109" s="5"/>
      <c r="AC109" s="5"/>
      <c r="AD109" s="5"/>
      <c r="AE109" s="5"/>
      <c r="AF109" s="5"/>
      <c r="AG109" s="5"/>
      <c r="AH109" s="5"/>
      <c r="AI109" s="5"/>
      <c r="AJ109" s="5"/>
      <c r="AK109" s="5"/>
    </row>
    <row r="110" spans="2:37" s="19" customFormat="1" x14ac:dyDescent="0.2">
      <c r="B110" s="182" t="s">
        <v>18</v>
      </c>
      <c r="C110" s="68">
        <f>SUMIFS('BP costs'!$J$7:$J$96,'BP costs'!$B$7:$B$96,$B110)</f>
        <v>428.02152842073548</v>
      </c>
      <c r="F110" s="68">
        <f>SUMIF('Modelled costs'!$A$6:$A$105,$B110,'Modelled costs'!$N$6:$N$105)</f>
        <v>414.44545776467891</v>
      </c>
      <c r="X110" s="5"/>
      <c r="Y110" s="5"/>
      <c r="Z110" s="5"/>
      <c r="AA110" s="5"/>
      <c r="AB110" s="5"/>
      <c r="AC110" s="5"/>
      <c r="AD110" s="5"/>
      <c r="AE110" s="5"/>
      <c r="AF110" s="5"/>
      <c r="AG110" s="5"/>
      <c r="AH110" s="5"/>
      <c r="AI110" s="5"/>
      <c r="AJ110" s="5"/>
      <c r="AK110" s="5"/>
    </row>
  </sheetData>
  <sortState ref="B51:K68">
    <sortCondition descending="1" ref="G50"/>
  </sortState>
  <mergeCells count="1">
    <mergeCell ref="X3:AK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Cover</vt:lpstr>
      <vt:lpstr>Inputs&gt;&gt;</vt:lpstr>
      <vt:lpstr>Controls</vt:lpstr>
      <vt:lpstr>BP costs</vt:lpstr>
      <vt:lpstr>Forecast drivers</vt:lpstr>
      <vt:lpstr>Coeffs</vt:lpstr>
      <vt:lpstr>Outputs&gt;&gt;</vt:lpstr>
      <vt:lpstr>Modelled costs</vt:lpstr>
      <vt:lpstr>Final allowances</vt:lpstr>
      <vt:lpstr>Financial model inputs</vt:lpstr>
      <vt:lpstr>F_interface</vt:lpstr>
    </vt:vector>
  </TitlesOfParts>
  <Company>Water Services Regulation Authority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Imogen Turner</dc:creator>
  <cp:lastModifiedBy>Milton Salas</cp:lastModifiedBy>
  <dcterms:created xsi:type="dcterms:W3CDTF">2015-10-14T16:49:04Z</dcterms:created>
  <dcterms:modified xsi:type="dcterms:W3CDTF">2019-07-12T09:26:37Z</dcterms:modified>
</cp:coreProperties>
</file>