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mc:AlternateContent xmlns:mc="http://schemas.openxmlformats.org/markup-compatibility/2006">
    <mc:Choice Requires="x15">
      <x15ac:absPath xmlns:x15ac="http://schemas.microsoft.com/office/spreadsheetml/2010/11/ac" url="\\fpcl01\public\OFWSHARE\PR19 Modelling\Model runs\DD\Model Run 7 Publishable Models\Cost Assessment\Base Wholesale wastewater\"/>
    </mc:Choice>
  </mc:AlternateContent>
  <bookViews>
    <workbookView xWindow="0" yWindow="0" windowWidth="12000" windowHeight="3360" tabRatio="860"/>
  </bookViews>
  <sheets>
    <sheet name="Cover" sheetId="95" r:id="rId1"/>
    <sheet name="Controls" sheetId="73" r:id="rId2"/>
    <sheet name="Inputs&gt;&gt;" sheetId="15" r:id="rId3"/>
    <sheet name="BP costs" sheetId="88" r:id="rId4"/>
    <sheet name="Forecast drivers" sheetId="57" r:id="rId5"/>
    <sheet name="Model coeffs" sheetId="66" r:id="rId6"/>
    <sheet name="Outputs&gt;&gt;" sheetId="61" r:id="rId7"/>
    <sheet name="Modelled costs" sheetId="59" r:id="rId8"/>
    <sheet name="Apportion" sheetId="92" r:id="rId9"/>
    <sheet name="Final allowances" sheetId="85" r:id="rId10"/>
    <sheet name="Financial model inputs " sheetId="90" r:id="rId11"/>
    <sheet name="F_Interface" sheetId="64" r:id="rId12"/>
  </sheets>
  <externalReferences>
    <externalReference r:id="rId13"/>
    <externalReference r:id="rId14"/>
    <externalReference r:id="rId15"/>
    <externalReference r:id="rId16"/>
    <externalReference r:id="rId17"/>
    <externalReference r:id="rId18"/>
  </externalReferences>
  <definedNames>
    <definedName name="____net1" localSheetId="1" hidden="1">{"NET",#N/A,FALSE,"401C11"}</definedName>
    <definedName name="____net1" localSheetId="0" hidden="1">{"NET",#N/A,FALSE,"401C11"}</definedName>
    <definedName name="____net1" localSheetId="10" hidden="1">{"NET",#N/A,FALSE,"401C11"}</definedName>
    <definedName name="____net1" hidden="1">{"NET",#N/A,FALSE,"401C11"}</definedName>
    <definedName name="__123Graph_A" localSheetId="3" hidden="1">'[1]2002PCTs'!#REF!</definedName>
    <definedName name="__123Graph_A" localSheetId="9" hidden="1">'[1]2002PCTs'!#REF!</definedName>
    <definedName name="__123Graph_A" hidden="1">'[1]2002PCTs'!#REF!</definedName>
    <definedName name="__123Graph_B" localSheetId="3" hidden="1">[2]Dnurse!#REF!</definedName>
    <definedName name="__123Graph_B" localSheetId="9" hidden="1">[2]Dnurse!#REF!</definedName>
    <definedName name="__123Graph_B" hidden="1">[2]Dnurse!#REF!</definedName>
    <definedName name="__123Graph_C" localSheetId="3" hidden="1">[2]Dnurse!#REF!</definedName>
    <definedName name="__123Graph_C" localSheetId="9" hidden="1">[2]Dnurse!#REF!</definedName>
    <definedName name="__123Graph_C" hidden="1">[2]Dnurse!#REF!</definedName>
    <definedName name="__123Graph_X" localSheetId="3" hidden="1">[3]Aln!#REF!</definedName>
    <definedName name="__123Graph_X" localSheetId="9" hidden="1">[3]Aln!#REF!</definedName>
    <definedName name="__123Graph_X" hidden="1">[3]Aln!#REF!</definedName>
    <definedName name="__net1" localSheetId="1" hidden="1">{"NET",#N/A,FALSE,"401C11"}</definedName>
    <definedName name="__net1" localSheetId="0" hidden="1">{"NET",#N/A,FALSE,"401C11"}</definedName>
    <definedName name="__net1" localSheetId="10" hidden="1">{"NET",#N/A,FALSE,"401C11"}</definedName>
    <definedName name="__net1" hidden="1">{"NET",#N/A,FALSE,"401C11"}</definedName>
    <definedName name="_1_0__123Grap" localSheetId="3" hidden="1">'[4]#REF'!#REF!</definedName>
    <definedName name="_1_0__123Grap" localSheetId="9" hidden="1">'[4]#REF'!#REF!</definedName>
    <definedName name="_1_0__123Grap" hidden="1">'[4]#REF'!#REF!</definedName>
    <definedName name="_1_123Grap" localSheetId="3" hidden="1">'[5]#REF'!#REF!</definedName>
    <definedName name="_1_123Grap" localSheetId="9" hidden="1">'[5]#REF'!#REF!</definedName>
    <definedName name="_1_123Grap" hidden="1">'[5]#REF'!#REF!</definedName>
    <definedName name="_123Graph_F" hidden="1">'[6]Chelmsford '!$G$18:$G$28</definedName>
    <definedName name="_2_0__123Grap" localSheetId="3" hidden="1">'[5]#REF'!#REF!</definedName>
    <definedName name="_2_0__123Grap" localSheetId="1" hidden="1">'[5]#REF'!#REF!</definedName>
    <definedName name="_2_0__123Grap" localSheetId="9" hidden="1">'[5]#REF'!#REF!</definedName>
    <definedName name="_2_0__123Grap" localSheetId="10" hidden="1">'[5]#REF'!#REF!</definedName>
    <definedName name="_2_0__123Grap" hidden="1">'[5]#REF'!#REF!</definedName>
    <definedName name="_2_123Grap" localSheetId="3" hidden="1">'[2]#REF'!#REF!</definedName>
    <definedName name="_2_123Grap" localSheetId="1" hidden="1">'[2]#REF'!#REF!</definedName>
    <definedName name="_2_123Grap" localSheetId="9" hidden="1">'[2]#REF'!#REF!</definedName>
    <definedName name="_2_123Grap" hidden="1">'[2]#REF'!#REF!</definedName>
    <definedName name="_3_0_S" localSheetId="3" hidden="1">'[4]#REF'!#REF!</definedName>
    <definedName name="_3_0_S" localSheetId="1" hidden="1">'[4]#REF'!#REF!</definedName>
    <definedName name="_3_0_S" localSheetId="9" hidden="1">'[4]#REF'!#REF!</definedName>
    <definedName name="_3_0_S" hidden="1">'[4]#REF'!#REF!</definedName>
    <definedName name="_3_123Grap" localSheetId="3" hidden="1">'[5]#REF'!#REF!</definedName>
    <definedName name="_3_123Grap" localSheetId="1" hidden="1">'[5]#REF'!#REF!</definedName>
    <definedName name="_3_123Grap" localSheetId="9" hidden="1">'[5]#REF'!#REF!</definedName>
    <definedName name="_3_123Grap" hidden="1">'[5]#REF'!#REF!</definedName>
    <definedName name="_34_123Grap" localSheetId="3" hidden="1">'[5]#REF'!#REF!</definedName>
    <definedName name="_34_123Grap" localSheetId="9" hidden="1">'[5]#REF'!#REF!</definedName>
    <definedName name="_34_123Grap" hidden="1">'[5]#REF'!#REF!</definedName>
    <definedName name="_42S" localSheetId="3" hidden="1">'[5]#REF'!#REF!</definedName>
    <definedName name="_42S" localSheetId="9" hidden="1">'[5]#REF'!#REF!</definedName>
    <definedName name="_42S" hidden="1">'[5]#REF'!#REF!</definedName>
    <definedName name="_4S" localSheetId="3" hidden="1">'[5]#REF'!#REF!</definedName>
    <definedName name="_4S" localSheetId="9" hidden="1">'[5]#REF'!#REF!</definedName>
    <definedName name="_4S" hidden="1">'[5]#REF'!#REF!</definedName>
    <definedName name="_5_0__123Grap" localSheetId="3" hidden="1">'[5]#REF'!#REF!</definedName>
    <definedName name="_5_0__123Grap" localSheetId="9" hidden="1">'[5]#REF'!#REF!</definedName>
    <definedName name="_5_0__123Grap" hidden="1">'[5]#REF'!#REF!</definedName>
    <definedName name="_6_0_S" localSheetId="3" hidden="1">'[5]#REF'!#REF!</definedName>
    <definedName name="_6_0_S" localSheetId="9" hidden="1">'[5]#REF'!#REF!</definedName>
    <definedName name="_6_0_S" hidden="1">'[5]#REF'!#REF!</definedName>
    <definedName name="_6_123Grap" localSheetId="3" hidden="1">'[2]#REF'!#REF!</definedName>
    <definedName name="_6_123Grap" localSheetId="9" hidden="1">'[2]#REF'!#REF!</definedName>
    <definedName name="_6_123Grap" hidden="1">'[2]#REF'!#REF!</definedName>
    <definedName name="_8_123Grap" localSheetId="3" hidden="1">'[5]#REF'!#REF!</definedName>
    <definedName name="_8_123Grap" localSheetId="9" hidden="1">'[5]#REF'!#REF!</definedName>
    <definedName name="_8_123Grap" hidden="1">'[5]#REF'!#REF!</definedName>
    <definedName name="_8S" localSheetId="3" hidden="1">'[2]#REF'!#REF!</definedName>
    <definedName name="_8S" localSheetId="9" hidden="1">'[2]#REF'!#REF!</definedName>
    <definedName name="_8S" hidden="1">'[2]#REF'!#REF!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3" hidden="1">#REF!</definedName>
    <definedName name="_Dist_Values" localSheetId="1" hidden="1">#REF!</definedName>
    <definedName name="_Dist_Values" localSheetId="9" hidden="1">#REF!</definedName>
    <definedName name="_Dist_Values" hidden="1">#REF!</definedName>
    <definedName name="_Fill" localSheetId="3" hidden="1">#REF!</definedName>
    <definedName name="_Fill" localSheetId="1" hidden="1">#REF!</definedName>
    <definedName name="_Fill" localSheetId="9" hidden="1">#REF!</definedName>
    <definedName name="_Fill" hidden="1">#REF!</definedName>
    <definedName name="_xlnm._FilterDatabase" localSheetId="11" hidden="1">F_Interface!$A$2:$L$470</definedName>
    <definedName name="_xlnm._FilterDatabase" localSheetId="10" hidden="1">'Financial model inputs '!$A$4:$AJ$59</definedName>
    <definedName name="_Key1" localSheetId="3" hidden="1">#REF!</definedName>
    <definedName name="_Key1" localSheetId="1" hidden="1">#REF!</definedName>
    <definedName name="_Key1" localSheetId="9" hidden="1">#REF!</definedName>
    <definedName name="_Key1" hidden="1">#REF!</definedName>
    <definedName name="_Key2" localSheetId="3" hidden="1">#REF!</definedName>
    <definedName name="_Key2" localSheetId="1" hidden="1">#REF!</definedName>
    <definedName name="_Key2" localSheetId="9" hidden="1">#REF!</definedName>
    <definedName name="_Key2" hidden="1">#REF!</definedName>
    <definedName name="_net1" localSheetId="1" hidden="1">{"NET",#N/A,FALSE,"401C11"}</definedName>
    <definedName name="_net1" localSheetId="0" hidden="1">{"NET",#N/A,FALSE,"401C11"}</definedName>
    <definedName name="_net1" localSheetId="10" hidden="1">{"NET",#N/A,FALSE,"401C11"}</definedName>
    <definedName name="_net1" hidden="1">{"NET",#N/A,FALSE,"401C11"}</definedName>
    <definedName name="_Order1" hidden="1">255</definedName>
    <definedName name="_Order2" hidden="1">255</definedName>
    <definedName name="_Sort" localSheetId="3" hidden="1">#REF!</definedName>
    <definedName name="_Sort" localSheetId="1" hidden="1">#REF!</definedName>
    <definedName name="_Sort" localSheetId="9" hidden="1">#REF!</definedName>
    <definedName name="_Sort" hidden="1">#REF!</definedName>
    <definedName name="a" localSheetId="1" hidden="1">{"CHARGE",#N/A,FALSE,"401C11"}</definedName>
    <definedName name="a" localSheetId="0" hidden="1">{"CHARGE",#N/A,FALSE,"401C11"}</definedName>
    <definedName name="a" localSheetId="10" hidden="1">{"CHARGE",#N/A,FALSE,"401C11"}</definedName>
    <definedName name="a" hidden="1">{"CHARGE",#N/A,FALSE,"401C11"}</definedName>
    <definedName name="aa" localSheetId="1" hidden="1">{"CHARGE",#N/A,FALSE,"401C11"}</definedName>
    <definedName name="aa" localSheetId="0" hidden="1">{"CHARGE",#N/A,FALSE,"401C11"}</definedName>
    <definedName name="aa" localSheetId="10" hidden="1">{"CHARGE",#N/A,FALSE,"401C11"}</definedName>
    <definedName name="aa" hidden="1">{"CHARGE",#N/A,FALSE,"401C11"}</definedName>
    <definedName name="aaa" localSheetId="1" hidden="1">{"CHARGE",#N/A,FALSE,"401C11"}</definedName>
    <definedName name="aaa" localSheetId="0" hidden="1">{"CHARGE",#N/A,FALSE,"401C11"}</definedName>
    <definedName name="aaa" localSheetId="10" hidden="1">{"CHARGE",#N/A,FALSE,"401C11"}</definedName>
    <definedName name="aaa" hidden="1">{"CHARGE",#N/A,FALSE,"401C11"}</definedName>
    <definedName name="aaaa" localSheetId="1" hidden="1">{"CHARGE",#N/A,FALSE,"401C11"}</definedName>
    <definedName name="aaaa" localSheetId="0" hidden="1">{"CHARGE",#N/A,FALSE,"401C11"}</definedName>
    <definedName name="aaaa" localSheetId="10" hidden="1">{"CHARGE",#N/A,FALSE,"401C11"}</definedName>
    <definedName name="aaaa" hidden="1">{"CHARGE",#N/A,FALSE,"401C11"}</definedName>
    <definedName name="abc" localSheetId="1" hidden="1">{"NET",#N/A,FALSE,"401C11"}</definedName>
    <definedName name="abc" localSheetId="0" hidden="1">{"NET",#N/A,FALSE,"401C11"}</definedName>
    <definedName name="abc" localSheetId="10" hidden="1">{"NET",#N/A,FALSE,"401C11"}</definedName>
    <definedName name="abc" hidden="1">{"NET",#N/A,FALSE,"401C11"}</definedName>
    <definedName name="adbr" localSheetId="1" hidden="1">{"CHARGE",#N/A,FALSE,"401C11"}</definedName>
    <definedName name="adbr" localSheetId="0" hidden="1">{"CHARGE",#N/A,FALSE,"401C11"}</definedName>
    <definedName name="adbr" localSheetId="10" hidden="1">{"CHARGE",#N/A,FALSE,"401C11"}</definedName>
    <definedName name="adbr" hidden="1">{"CHARGE",#N/A,FALSE,"401C11"}</definedName>
    <definedName name="b" localSheetId="1" hidden="1">{"CHARGE",#N/A,FALSE,"401C11"}</definedName>
    <definedName name="b" localSheetId="0" hidden="1">{"CHARGE",#N/A,FALSE,"401C11"}</definedName>
    <definedName name="b" localSheetId="10" hidden="1">{"CHARGE",#N/A,FALSE,"401C11"}</definedName>
    <definedName name="b" hidden="1">{"CHARGE",#N/A,FALSE,"401C11"}</definedName>
    <definedName name="BMGHIndex" hidden="1">"O"</definedName>
    <definedName name="change1" localSheetId="1" hidden="1">{"CHARGE",#N/A,FALSE,"401C11"}</definedName>
    <definedName name="change1" localSheetId="0" hidden="1">{"CHARGE",#N/A,FALSE,"401C11"}</definedName>
    <definedName name="change1" localSheetId="10" hidden="1">{"CHARGE",#N/A,FALSE,"401C11"}</definedName>
    <definedName name="change1" hidden="1">{"CHARGE",#N/A,FALSE,"401C11"}</definedName>
    <definedName name="charge" localSheetId="1" hidden="1">{"CHARGE",#N/A,FALSE,"401C11"}</definedName>
    <definedName name="charge" localSheetId="0" hidden="1">{"CHARGE",#N/A,FALSE,"401C11"}</definedName>
    <definedName name="charge" localSheetId="10" hidden="1">{"CHARGE",#N/A,FALSE,"401C11"}</definedName>
    <definedName name="charge" hidden="1">{"CHARGE",#N/A,FALSE,"401C11"}</definedName>
    <definedName name="da" localSheetId="3" hidden="1">#REF!</definedName>
    <definedName name="da" localSheetId="9" hidden="1">#REF!</definedName>
    <definedName name="da" hidden="1">#REF!</definedName>
    <definedName name="dog" localSheetId="1" hidden="1">{"NET",#N/A,FALSE,"401C11"}</definedName>
    <definedName name="dog" localSheetId="0" hidden="1">{"NET",#N/A,FALSE,"401C11"}</definedName>
    <definedName name="dog" localSheetId="10" hidden="1">{"NET",#N/A,FALSE,"401C11"}</definedName>
    <definedName name="dog" hidden="1">{"NET",#N/A,FALSE,"401C11"}</definedName>
    <definedName name="EV__LASTREFTIME__" hidden="1">40339.4799074074</definedName>
    <definedName name="Expired" hidden="1">FALSE</definedName>
    <definedName name="F" localSheetId="1" hidden="1">{"bal",#N/A,FALSE,"working papers";"income",#N/A,FALSE,"working papers"}</definedName>
    <definedName name="F" localSheetId="0" hidden="1">{"bal",#N/A,FALSE,"working papers";"income",#N/A,FALSE,"working papers"}</definedName>
    <definedName name="F" localSheetId="10" hidden="1">{"bal",#N/A,FALSE,"working papers";"income",#N/A,FALSE,"working papers"}</definedName>
    <definedName name="F" hidden="1">{"bal",#N/A,FALSE,"working papers";"income",#N/A,FALSE,"working papers"}</definedName>
    <definedName name="fdraf" localSheetId="1" hidden="1">{"bal",#N/A,FALSE,"working papers";"income",#N/A,FALSE,"working papers"}</definedName>
    <definedName name="fdraf" localSheetId="0" hidden="1">{"bal",#N/A,FALSE,"working papers";"income",#N/A,FALSE,"working papers"}</definedName>
    <definedName name="fdraf" localSheetId="10" hidden="1">{"bal",#N/A,FALSE,"working papers";"income",#N/A,FALSE,"working papers"}</definedName>
    <definedName name="fdraf" hidden="1">{"bal",#N/A,FALSE,"working papers";"income",#N/A,FALSE,"working papers"}</definedName>
    <definedName name="Fdraft" localSheetId="1" hidden="1">{"bal",#N/A,FALSE,"working papers";"income",#N/A,FALSE,"working papers"}</definedName>
    <definedName name="Fdraft" localSheetId="0" hidden="1">{"bal",#N/A,FALSE,"working papers";"income",#N/A,FALSE,"working papers"}</definedName>
    <definedName name="Fdraft" localSheetId="10" hidden="1">{"bal",#N/A,FALSE,"working papers";"income",#N/A,FALSE,"working papers"}</definedName>
    <definedName name="Fdraft" hidden="1">{"bal",#N/A,FALSE,"working papers";"income",#N/A,FALSE,"working papers"}</definedName>
    <definedName name="Foutput" localSheetId="3" hidden="1">#REF!</definedName>
    <definedName name="Foutput" localSheetId="1" hidden="1">#REF!</definedName>
    <definedName name="Foutput" localSheetId="9" hidden="1">#REF!</definedName>
    <definedName name="Foutput" hidden="1">#REF!</definedName>
    <definedName name="fsdfffd" localSheetId="3" hidden="1">#REF!</definedName>
    <definedName name="fsdfffd" localSheetId="9" hidden="1">#REF!</definedName>
    <definedName name="fsdfffd" hidden="1">#REF!</definedName>
    <definedName name="fsdfsd" localSheetId="3" hidden="1">#REF!</definedName>
    <definedName name="fsdfsd" localSheetId="9" hidden="1">#REF!</definedName>
    <definedName name="fsdfsd" hidden="1">#REF!</definedName>
    <definedName name="fsfds" localSheetId="3" hidden="1">#REF!</definedName>
    <definedName name="fsfds" localSheetId="9" hidden="1">#REF!</definedName>
    <definedName name="fsfds" hidden="1">#REF!</definedName>
    <definedName name="fsfsd" localSheetId="3" hidden="1">#REF!</definedName>
    <definedName name="fsfsd" localSheetId="1" hidden="1">#REF!</definedName>
    <definedName name="fsfsd" localSheetId="9" hidden="1">#REF!</definedName>
    <definedName name="fsfsd" hidden="1">#REF!</definedName>
    <definedName name="gfff" localSheetId="1" hidden="1">{"CHARGE",#N/A,FALSE,"401C11"}</definedName>
    <definedName name="gfff" localSheetId="0" hidden="1">{"CHARGE",#N/A,FALSE,"401C11"}</definedName>
    <definedName name="gfff" localSheetId="10" hidden="1">{"CHARGE",#N/A,FALSE,"401C11"}</definedName>
    <definedName name="gfff" hidden="1">{"CHARGE",#N/A,FALSE,"401C11"}</definedName>
    <definedName name="gross" localSheetId="1" hidden="1">{"GROSS",#N/A,FALSE,"401C11"}</definedName>
    <definedName name="gross" localSheetId="0" hidden="1">{"GROSS",#N/A,FALSE,"401C11"}</definedName>
    <definedName name="gross" localSheetId="10" hidden="1">{"GROSS",#N/A,FALSE,"401C11"}</definedName>
    <definedName name="gross" hidden="1">{"GROSS",#N/A,FALSE,"401C11"}</definedName>
    <definedName name="gross1" localSheetId="1" hidden="1">{"GROSS",#N/A,FALSE,"401C11"}</definedName>
    <definedName name="gross1" localSheetId="0" hidden="1">{"GROSS",#N/A,FALSE,"401C11"}</definedName>
    <definedName name="gross1" localSheetId="10" hidden="1">{"GROSS",#N/A,FALSE,"401C11"}</definedName>
    <definedName name="gross1" hidden="1">{"GROSS",#N/A,FALSE,"401C11"}</definedName>
    <definedName name="hasdfjklhklj" localSheetId="1" hidden="1">{"NET",#N/A,FALSE,"401C11"}</definedName>
    <definedName name="hasdfjklhklj" localSheetId="0" hidden="1">{"NET",#N/A,FALSE,"401C11"}</definedName>
    <definedName name="hasdfjklhklj" localSheetId="10" hidden="1">{"NET",#N/A,FALSE,"401C11"}</definedName>
    <definedName name="hasdfjklhklj" hidden="1">{"NET",#N/A,FALSE,"401C11"}</definedName>
    <definedName name="help" localSheetId="1" hidden="1">{"CHARGE",#N/A,FALSE,"401C11"}</definedName>
    <definedName name="help" localSheetId="0" hidden="1">{"CHARGE",#N/A,FALSE,"401C11"}</definedName>
    <definedName name="help" localSheetId="10" hidden="1">{"CHARGE",#N/A,FALSE,"401C11"}</definedName>
    <definedName name="help" hidden="1">{"CHARGE",#N/A,FALSE,"401C11"}</definedName>
    <definedName name="hghghhj" localSheetId="1" hidden="1">{"CHARGE",#N/A,FALSE,"401C11"}</definedName>
    <definedName name="hghghhj" localSheetId="0" hidden="1">{"CHARGE",#N/A,FALSE,"401C11"}</definedName>
    <definedName name="hghghhj" localSheetId="10" hidden="1">{"CHARGE",#N/A,FALSE,"401C11"}</definedName>
    <definedName name="hghghhj" hidden="1">{"CHARGE",#N/A,FALSE,"401C11"}</definedName>
    <definedName name="HTML_CodePage" hidden="1">1252</definedName>
    <definedName name="HTML_Control" localSheetId="1" hidden="1">{"'Trust by name'!$A$6:$E$350","'Trust by name'!$A$1:$D$348"}</definedName>
    <definedName name="HTML_Control" localSheetId="0" hidden="1">{"'Trust by name'!$A$6:$E$350","'Trust by name'!$A$1:$D$348"}</definedName>
    <definedName name="HTML_Control" localSheetId="1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FELL" localSheetId="3" hidden="1">#REF!</definedName>
    <definedName name="JFELL" localSheetId="1" hidden="1">#REF!</definedName>
    <definedName name="JFELL" localSheetId="9" hidden="1">#REF!</definedName>
    <definedName name="JFELL" hidden="1">#REF!</definedName>
    <definedName name="New" localSheetId="3" hidden="1">#REF!</definedName>
    <definedName name="New" localSheetId="9" hidden="1">#REF!</definedName>
    <definedName name="New" hidden="1">#REF!</definedName>
    <definedName name="OISIII" localSheetId="3" hidden="1">#REF!</definedName>
    <definedName name="OISIII" localSheetId="1" hidden="1">#REF!</definedName>
    <definedName name="OISIII" localSheetId="9" hidden="1">#REF!</definedName>
    <definedName name="OISIII" hidden="1">#REF!</definedName>
    <definedName name="qfx" localSheetId="1" hidden="1">{"NET",#N/A,FALSE,"401C11"}</definedName>
    <definedName name="qfx" localSheetId="0" hidden="1">{"NET",#N/A,FALSE,"401C11"}</definedName>
    <definedName name="qfx" localSheetId="10" hidden="1">{"NET",#N/A,FALSE,"401C11"}</definedName>
    <definedName name="qfx" hidden="1">{"NET",#N/A,FALSE,"401C11"}</definedName>
    <definedName name="real" localSheetId="3" hidden="1">#REF!</definedName>
    <definedName name="real" localSheetId="9" hidden="1">#REF!</definedName>
    <definedName name="real"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ytry" localSheetId="1" hidden="1">{"NET",#N/A,FALSE,"401C11"}</definedName>
    <definedName name="rytry" localSheetId="0" hidden="1">{"NET",#N/A,FALSE,"401C11"}</definedName>
    <definedName name="rytry" localSheetId="10" hidden="1">{"NET",#N/A,FALSE,"401C11"}</definedName>
    <definedName name="rytry" hidden="1">{"NET",#N/A,FALSE,"401C11"}</definedName>
    <definedName name="SAPBEXrevision" hidden="1">1</definedName>
    <definedName name="SAPBEXsysID" hidden="1">"BWB"</definedName>
    <definedName name="SAPBEXwbID" hidden="1">"49ZLUKBQR0WG29D9LLI3IBIIT"</definedName>
    <definedName name="sort" localSheetId="3" hidden="1">#REF!</definedName>
    <definedName name="sort" localSheetId="9" hidden="1">#REF!</definedName>
    <definedName name="sort" hidden="1">#REF!</definedName>
    <definedName name="Table3.4" localSheetId="1" hidden="1">{"CHARGE",#N/A,FALSE,"401C11"}</definedName>
    <definedName name="Table3.4" localSheetId="0" hidden="1">{"CHARGE",#N/A,FALSE,"401C11"}</definedName>
    <definedName name="Table3.4" localSheetId="10" hidden="1">{"CHARGE",#N/A,FALSE,"401C11"}</definedName>
    <definedName name="Table3.4" hidden="1">{"CHARGE",#N/A,FALSE,"401C11"}</definedName>
    <definedName name="Test23" localSheetId="1" hidden="1">{"NET",#N/A,FALSE,"401C11"}</definedName>
    <definedName name="Test23" localSheetId="0" hidden="1">{"NET",#N/A,FALSE,"401C11"}</definedName>
    <definedName name="Test23" localSheetId="10" hidden="1">{"NET",#N/A,FALSE,"401C11"}</definedName>
    <definedName name="Test23" hidden="1">{"NET",#N/A,FALSE,"401C11"}</definedName>
    <definedName name="wert" localSheetId="1" hidden="1">{"GROSS",#N/A,FALSE,"401C11"}</definedName>
    <definedName name="wert" localSheetId="0" hidden="1">{"GROSS",#N/A,FALSE,"401C11"}</definedName>
    <definedName name="wert" localSheetId="10" hidden="1">{"GROSS",#N/A,FALSE,"401C11"}</definedName>
    <definedName name="wert" hidden="1">{"GROSS",#N/A,FALSE,"401C11"}</definedName>
    <definedName name="wombat" localSheetId="3" hidden="1">#REF!</definedName>
    <definedName name="wombat" localSheetId="1" hidden="1">#REF!</definedName>
    <definedName name="wombat" localSheetId="9" hidden="1">#REF!</definedName>
    <definedName name="wombat" hidden="1">#REF!</definedName>
    <definedName name="wotsthis" localSheetId="1" hidden="1">{"P&amp;L phased",#N/A,FALSE,"P and L";"Interest phased",#N/A,FALSE,"Interest";"Cshf phased",#N/A,FALSE,"Cashflow";"BSheet phased",#N/A,FALSE,"B Sheet";"Capex phased",#N/A,FALSE,"Capex"}</definedName>
    <definedName name="wotsthis" localSheetId="0" hidden="1">{"P&amp;L phased",#N/A,FALSE,"P and L";"Interest phased",#N/A,FALSE,"Interest";"Cshf phased",#N/A,FALSE,"Cashflow";"BSheet phased",#N/A,FALSE,"B Sheet";"Capex phased",#N/A,FALSE,"Capex"}</definedName>
    <definedName name="wotsthis" localSheetId="1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1" hidden="1">{"CHARGE",#N/A,FALSE,"401C11"}</definedName>
    <definedName name="wrn.CHARGE." localSheetId="0" hidden="1">{"CHARGE",#N/A,FALSE,"401C11"}</definedName>
    <definedName name="wrn.CHARGE." localSheetId="10" hidden="1">{"CHARGE",#N/A,FALSE,"401C11"}</definedName>
    <definedName name="wrn.CHARGE." hidden="1">{"CHARGE",#N/A,FALSE,"401C11"}</definedName>
    <definedName name="wrn.GROSS." localSheetId="1" hidden="1">{"GROSS",#N/A,FALSE,"401C11"}</definedName>
    <definedName name="wrn.GROSS." localSheetId="0" hidden="1">{"GROSS",#N/A,FALSE,"401C11"}</definedName>
    <definedName name="wrn.GROSS." localSheetId="10" hidden="1">{"GROSS",#N/A,FALSE,"401C11"}</definedName>
    <definedName name="wrn.GROSS." hidden="1">{"GROSS",#N/A,FALSE,"401C11"}</definedName>
    <definedName name="wrn.NET." localSheetId="1" hidden="1">{"NET",#N/A,FALSE,"401C11"}</definedName>
    <definedName name="wrn.NET." localSheetId="0" hidden="1">{"NET",#N/A,FALSE,"401C11"}</definedName>
    <definedName name="wrn.NET." localSheetId="10" hidden="1">{"NET",#N/A,FALSE,"401C11"}</definedName>
    <definedName name="wrn.NET." hidden="1">{"NET",#N/A,FALSE,"401C11"}</definedName>
    <definedName name="wrn.papersdraft" localSheetId="1" hidden="1">{"bal",#N/A,FALSE,"working papers";"income",#N/A,FALSE,"working papers"}</definedName>
    <definedName name="wrn.papersdraft" localSheetId="0" hidden="1">{"bal",#N/A,FALSE,"working papers";"income",#N/A,FALSE,"working papers"}</definedName>
    <definedName name="wrn.papersdraft" localSheetId="10" hidden="1">{"bal",#N/A,FALSE,"working papers";"income",#N/A,FALSE,"working papers"}</definedName>
    <definedName name="wrn.papersdraft" hidden="1">{"bal",#N/A,FALSE,"working papers";"income",#N/A,FALSE,"working papers"}</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1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1" hidden="1">{"P&amp;L phased",#N/A,FALSE,"P and L";"Interest phased",#N/A,FALSE,"Interest";"Cshf phased",#N/A,FALSE,"Cashflow";"BSheet phased",#N/A,FALSE,"B Sheet";"Capex phased",#N/A,FALSE,"Capex"}</definedName>
    <definedName name="wrn.Print._.Phased." localSheetId="0" hidden="1">{"P&amp;L phased",#N/A,FALSE,"P and L";"Interest phased",#N/A,FALSE,"Interest";"Cshf phased",#N/A,FALSE,"Cashflow";"BSheet phased",#N/A,FALSE,"B Sheet";"Capex phased",#N/A,FALSE,"Capex"}</definedName>
    <definedName name="wrn.Print._.Phased." localSheetId="1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1" hidden="1">{"bal",#N/A,FALSE,"working papers";"income",#N/A,FALSE,"working papers"}</definedName>
    <definedName name="wrn.wpapers." localSheetId="0" hidden="1">{"bal",#N/A,FALSE,"working papers";"income",#N/A,FALSE,"working papers"}</definedName>
    <definedName name="wrn.wpapers." localSheetId="10" hidden="1">{"bal",#N/A,FALSE,"working papers";"income",#N/A,FALSE,"working papers"}</definedName>
    <definedName name="wrn.wpapers." hidden="1">{"bal",#N/A,FALSE,"working papers";"income",#N/A,FALSE,"working papers"}</definedName>
    <definedName name="xxx" localSheetId="1" hidden="1">{"CHARGE",#N/A,FALSE,"401C11"}</definedName>
    <definedName name="xxx" localSheetId="0" hidden="1">{"CHARGE",#N/A,FALSE,"401C11"}</definedName>
    <definedName name="xxx" localSheetId="10" hidden="1">{"CHARGE",#N/A,FALSE,"401C11"}</definedName>
    <definedName name="xxx" hidden="1">{"CHARGE",#N/A,FALSE,"401C11"}</definedName>
    <definedName name="yyy" localSheetId="1" hidden="1">{"GROSS",#N/A,FALSE,"401C11"}</definedName>
    <definedName name="yyy" localSheetId="0" hidden="1">{"GROSS",#N/A,FALSE,"401C11"}</definedName>
    <definedName name="yyy" localSheetId="10" hidden="1">{"GROSS",#N/A,FALSE,"401C11"}</definedName>
    <definedName name="yyy" hidden="1">{"GROSS",#N/A,FALSE,"401C11"}</definedName>
    <definedName name="zzz" localSheetId="1" hidden="1">{"NET",#N/A,FALSE,"401C11"}</definedName>
    <definedName name="zzz" localSheetId="0" hidden="1">{"NET",#N/A,FALSE,"401C11"}</definedName>
    <definedName name="zzz" localSheetId="10" hidden="1">{"NET",#N/A,FALSE,"401C11"}</definedName>
    <definedName name="zzz" hidden="1">{"NET",#N/A,FALSE,"401C11"}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6" i="85" l="1"/>
  <c r="F66" i="85"/>
  <c r="D66" i="85"/>
  <c r="C66" i="85"/>
  <c r="AE15" i="59" l="1"/>
  <c r="AE14" i="59"/>
  <c r="AE13" i="59"/>
  <c r="AE12" i="59"/>
  <c r="AE11" i="59"/>
  <c r="AE10" i="59"/>
  <c r="AE9" i="59"/>
  <c r="AE8" i="59"/>
  <c r="AE7" i="59"/>
  <c r="AE6" i="59"/>
  <c r="I460" i="64" l="1"/>
  <c r="J460" i="64"/>
  <c r="K460" i="64"/>
  <c r="L460" i="64"/>
  <c r="H460" i="64"/>
  <c r="I459" i="64"/>
  <c r="J459" i="64"/>
  <c r="K459" i="64"/>
  <c r="L459" i="64"/>
  <c r="H459" i="64"/>
  <c r="I458" i="64"/>
  <c r="J458" i="64"/>
  <c r="K458" i="64"/>
  <c r="L458" i="64"/>
  <c r="H458" i="64"/>
  <c r="I457" i="64"/>
  <c r="J457" i="64"/>
  <c r="K457" i="64"/>
  <c r="L457" i="64"/>
  <c r="H457" i="64"/>
  <c r="C197" i="64" l="1"/>
  <c r="C196" i="64"/>
  <c r="C195" i="64"/>
  <c r="C194" i="64"/>
  <c r="C193" i="64"/>
  <c r="C192" i="64"/>
  <c r="C191" i="64"/>
  <c r="C190" i="64"/>
  <c r="C189" i="64"/>
  <c r="C188" i="64"/>
  <c r="C187" i="64"/>
  <c r="C186" i="64"/>
  <c r="C185" i="64"/>
  <c r="C470" i="64" l="1"/>
  <c r="C469" i="64"/>
  <c r="C468" i="64"/>
  <c r="C467" i="64"/>
  <c r="C466" i="64"/>
  <c r="C465" i="64"/>
  <c r="C464" i="64"/>
  <c r="C463" i="64"/>
  <c r="C462" i="64"/>
  <c r="C461" i="64"/>
  <c r="C460" i="64"/>
  <c r="C459" i="64"/>
  <c r="C458" i="64"/>
  <c r="C457" i="64"/>
  <c r="C456" i="64"/>
  <c r="C455" i="64"/>
  <c r="C454" i="64"/>
  <c r="C453" i="64"/>
  <c r="C452" i="64"/>
  <c r="C451" i="64"/>
  <c r="C450" i="64"/>
  <c r="C449" i="64"/>
  <c r="C448" i="64"/>
  <c r="C447" i="64"/>
  <c r="C445" i="64"/>
  <c r="C446" i="64"/>
  <c r="H431" i="64"/>
  <c r="I431" i="64"/>
  <c r="J431" i="64"/>
  <c r="K431" i="64"/>
  <c r="L431" i="64"/>
  <c r="H432" i="64"/>
  <c r="I432" i="64"/>
  <c r="J432" i="64"/>
  <c r="K432" i="64"/>
  <c r="L432" i="64"/>
  <c r="H433" i="64"/>
  <c r="I433" i="64"/>
  <c r="J433" i="64"/>
  <c r="K433" i="64"/>
  <c r="L433" i="64"/>
  <c r="H434" i="64"/>
  <c r="I434" i="64"/>
  <c r="J434" i="64"/>
  <c r="K434" i="64"/>
  <c r="L434" i="64"/>
  <c r="C444" i="64"/>
  <c r="C443" i="64"/>
  <c r="C442" i="64"/>
  <c r="C441" i="64"/>
  <c r="C440" i="64"/>
  <c r="C439" i="64"/>
  <c r="C438" i="64"/>
  <c r="C437" i="64"/>
  <c r="C436" i="64"/>
  <c r="C435" i="64"/>
  <c r="C434" i="64"/>
  <c r="C433" i="64"/>
  <c r="C432" i="64"/>
  <c r="C431" i="64"/>
  <c r="C430" i="64"/>
  <c r="C429" i="64"/>
  <c r="C428" i="64"/>
  <c r="C427" i="64"/>
  <c r="C426" i="64"/>
  <c r="C425" i="64"/>
  <c r="C424" i="64"/>
  <c r="C423" i="64"/>
  <c r="C422" i="64"/>
  <c r="C421" i="64"/>
  <c r="C419" i="64" l="1"/>
  <c r="C420" i="64"/>
  <c r="C31" i="85" l="1"/>
  <c r="D31" i="85"/>
  <c r="C29" i="85"/>
  <c r="D29" i="85"/>
  <c r="C24" i="85"/>
  <c r="C23" i="85"/>
  <c r="D23" i="85"/>
  <c r="D22" i="85"/>
  <c r="C25" i="85"/>
  <c r="D25" i="85"/>
  <c r="C27" i="85"/>
  <c r="D27" i="85"/>
  <c r="C22" i="85"/>
  <c r="C28" i="85"/>
  <c r="D28" i="85"/>
  <c r="C30" i="85"/>
  <c r="D30" i="85"/>
  <c r="C32" i="85"/>
  <c r="D32" i="85"/>
  <c r="D24" i="85"/>
  <c r="C26" i="85"/>
  <c r="D26" i="85"/>
  <c r="C16" i="85" l="1"/>
  <c r="C15" i="85"/>
  <c r="C14" i="85"/>
  <c r="C13" i="85"/>
  <c r="C12" i="85"/>
  <c r="C11" i="85"/>
  <c r="C10" i="85"/>
  <c r="C9" i="85"/>
  <c r="C8" i="85"/>
  <c r="C7" i="85"/>
  <c r="G18" i="73" l="1"/>
  <c r="G17" i="73"/>
  <c r="G16" i="73"/>
  <c r="G15" i="73"/>
  <c r="G14" i="73"/>
  <c r="F15" i="73"/>
  <c r="F14" i="73"/>
  <c r="F18" i="73"/>
  <c r="F17" i="73"/>
  <c r="F16" i="73"/>
  <c r="S57" i="90" l="1"/>
  <c r="S53" i="90"/>
  <c r="S41" i="90"/>
  <c r="S37" i="90"/>
  <c r="S25" i="90"/>
  <c r="S21" i="90"/>
  <c r="T59" i="90"/>
  <c r="S54" i="90"/>
  <c r="T51" i="90"/>
  <c r="S46" i="90"/>
  <c r="T43" i="90"/>
  <c r="S38" i="90"/>
  <c r="T35" i="90"/>
  <c r="S30" i="90"/>
  <c r="T27" i="90"/>
  <c r="S22" i="90"/>
  <c r="T19" i="90"/>
  <c r="S7" i="90"/>
  <c r="H8" i="90"/>
  <c r="S13" i="90"/>
  <c r="S9" i="90"/>
  <c r="H56" i="90"/>
  <c r="H52" i="90"/>
  <c r="H32" i="90"/>
  <c r="I58" i="90"/>
  <c r="I46" i="90"/>
  <c r="H45" i="90"/>
  <c r="H41" i="90"/>
  <c r="I30" i="90"/>
  <c r="H29" i="90"/>
  <c r="H25" i="90"/>
  <c r="H13" i="90"/>
  <c r="H34" i="90"/>
  <c r="C107" i="64"/>
  <c r="H24" i="90" l="1"/>
  <c r="H17" i="90"/>
  <c r="H49" i="90"/>
  <c r="I54" i="90"/>
  <c r="H40" i="90"/>
  <c r="T14" i="90"/>
  <c r="I51" i="90"/>
  <c r="I23" i="90"/>
  <c r="I50" i="90"/>
  <c r="AH61" i="88"/>
  <c r="H21" i="90"/>
  <c r="H37" i="90"/>
  <c r="H53" i="90"/>
  <c r="H48" i="90"/>
  <c r="I22" i="90"/>
  <c r="H33" i="90"/>
  <c r="T8" i="90"/>
  <c r="T55" i="90"/>
  <c r="AI61" i="88"/>
  <c r="AG65" i="88"/>
  <c r="AH65" i="88"/>
  <c r="T6" i="90"/>
  <c r="I6" i="90"/>
  <c r="I38" i="90"/>
  <c r="H44" i="90"/>
  <c r="H11" i="90"/>
  <c r="H27" i="90"/>
  <c r="H43" i="90"/>
  <c r="H59" i="90"/>
  <c r="H6" i="90"/>
  <c r="H38" i="90"/>
  <c r="S6" i="90"/>
  <c r="T11" i="90"/>
  <c r="S8" i="90"/>
  <c r="S24" i="90"/>
  <c r="S40" i="90"/>
  <c r="S56" i="90"/>
  <c r="S23" i="90"/>
  <c r="S39" i="90"/>
  <c r="S55" i="90"/>
  <c r="I15" i="90"/>
  <c r="H26" i="90"/>
  <c r="I47" i="90"/>
  <c r="H9" i="90"/>
  <c r="I14" i="90"/>
  <c r="H57" i="90"/>
  <c r="H12" i="90"/>
  <c r="H16" i="90"/>
  <c r="H36" i="90"/>
  <c r="H23" i="90"/>
  <c r="H39" i="90"/>
  <c r="H55" i="90"/>
  <c r="H30" i="90"/>
  <c r="H50" i="90"/>
  <c r="S18" i="90"/>
  <c r="T23" i="90"/>
  <c r="S34" i="90"/>
  <c r="T39" i="90"/>
  <c r="S50" i="90"/>
  <c r="S17" i="90"/>
  <c r="S33" i="90"/>
  <c r="S49" i="90"/>
  <c r="S20" i="90"/>
  <c r="S36" i="90"/>
  <c r="S52" i="90"/>
  <c r="S19" i="90"/>
  <c r="S35" i="90"/>
  <c r="S51" i="90"/>
  <c r="I7" i="90"/>
  <c r="H18" i="90"/>
  <c r="I39" i="90"/>
  <c r="H28" i="90"/>
  <c r="H19" i="90"/>
  <c r="H35" i="90"/>
  <c r="H51" i="90"/>
  <c r="H22" i="90"/>
  <c r="H58" i="90"/>
  <c r="S14" i="90"/>
  <c r="S29" i="90"/>
  <c r="S45" i="90"/>
  <c r="S16" i="90"/>
  <c r="S32" i="90"/>
  <c r="S48" i="90"/>
  <c r="S15" i="90"/>
  <c r="S31" i="90"/>
  <c r="S47" i="90"/>
  <c r="H10" i="90"/>
  <c r="I31" i="90"/>
  <c r="H42" i="90"/>
  <c r="I29" i="90"/>
  <c r="H20" i="90"/>
  <c r="I41" i="90"/>
  <c r="H5" i="90"/>
  <c r="H15" i="90"/>
  <c r="H31" i="90"/>
  <c r="H47" i="90"/>
  <c r="H14" i="90"/>
  <c r="H46" i="90"/>
  <c r="H54" i="90"/>
  <c r="S10" i="90"/>
  <c r="T15" i="90"/>
  <c r="S26" i="90"/>
  <c r="T31" i="90"/>
  <c r="S42" i="90"/>
  <c r="T47" i="90"/>
  <c r="S58" i="90"/>
  <c r="S12" i="90"/>
  <c r="S28" i="90"/>
  <c r="S44" i="90"/>
  <c r="S11" i="90"/>
  <c r="S27" i="90"/>
  <c r="S43" i="90"/>
  <c r="S59" i="90"/>
  <c r="I18" i="90"/>
  <c r="I34" i="90"/>
  <c r="I9" i="90"/>
  <c r="I21" i="90"/>
  <c r="I57" i="90"/>
  <c r="I13" i="90"/>
  <c r="I33" i="90"/>
  <c r="I16" i="90"/>
  <c r="I32" i="90"/>
  <c r="I48" i="90"/>
  <c r="I27" i="90"/>
  <c r="I55" i="90"/>
  <c r="S5" i="90"/>
  <c r="T26" i="90"/>
  <c r="T42" i="90"/>
  <c r="T58" i="90"/>
  <c r="T13" i="90"/>
  <c r="T29" i="90"/>
  <c r="T45" i="90"/>
  <c r="T12" i="90"/>
  <c r="T28" i="90"/>
  <c r="T44" i="90"/>
  <c r="I45" i="90"/>
  <c r="I53" i="90"/>
  <c r="I5" i="90"/>
  <c r="I25" i="90"/>
  <c r="H7" i="90"/>
  <c r="I12" i="90"/>
  <c r="I28" i="90"/>
  <c r="I44" i="90"/>
  <c r="I19" i="90"/>
  <c r="T7" i="90"/>
  <c r="T22" i="90"/>
  <c r="T38" i="90"/>
  <c r="T54" i="90"/>
  <c r="T9" i="90"/>
  <c r="T25" i="90"/>
  <c r="T41" i="90"/>
  <c r="T57" i="90"/>
  <c r="T24" i="90"/>
  <c r="T40" i="90"/>
  <c r="T56" i="90"/>
  <c r="AG61" i="88"/>
  <c r="I10" i="90"/>
  <c r="I26" i="90"/>
  <c r="I42" i="90"/>
  <c r="I37" i="90"/>
  <c r="I17" i="90"/>
  <c r="I49" i="90"/>
  <c r="I8" i="90"/>
  <c r="I24" i="90"/>
  <c r="I40" i="90"/>
  <c r="I56" i="90"/>
  <c r="I11" i="90"/>
  <c r="I43" i="90"/>
  <c r="T10" i="90"/>
  <c r="T18" i="90"/>
  <c r="T34" i="90"/>
  <c r="T50" i="90"/>
  <c r="T5" i="90"/>
  <c r="T21" i="90"/>
  <c r="T37" i="90"/>
  <c r="T53" i="90"/>
  <c r="T20" i="90"/>
  <c r="T36" i="90"/>
  <c r="T52" i="90"/>
  <c r="I20" i="90"/>
  <c r="I36" i="90"/>
  <c r="I52" i="90"/>
  <c r="I35" i="90"/>
  <c r="I59" i="90"/>
  <c r="T30" i="90"/>
  <c r="T46" i="90"/>
  <c r="T17" i="90"/>
  <c r="T33" i="90"/>
  <c r="T49" i="90"/>
  <c r="T16" i="90"/>
  <c r="T32" i="90"/>
  <c r="T48" i="90"/>
  <c r="Y4" i="59"/>
  <c r="X4" i="59"/>
  <c r="C12" i="73"/>
  <c r="AH57" i="88" l="1"/>
  <c r="AH60" i="88"/>
  <c r="AH62" i="88"/>
  <c r="AH58" i="88"/>
  <c r="AH59" i="88"/>
  <c r="AI65" i="88"/>
  <c r="AH66" i="88"/>
  <c r="AH64" i="88"/>
  <c r="AI64" i="88"/>
  <c r="AG64" i="88"/>
  <c r="AI62" i="88"/>
  <c r="AG62" i="88"/>
  <c r="AG63" i="88"/>
  <c r="AI63" i="88"/>
  <c r="AH63" i="88"/>
  <c r="AI58" i="88"/>
  <c r="AG58" i="88"/>
  <c r="AI60" i="88"/>
  <c r="AG60" i="88"/>
  <c r="AI57" i="88"/>
  <c r="E11" i="85" s="1"/>
  <c r="AG57" i="88"/>
  <c r="AI59" i="88"/>
  <c r="AG59" i="88"/>
  <c r="AI66" i="88"/>
  <c r="AG66" i="88"/>
  <c r="L36" i="64"/>
  <c r="K36" i="64"/>
  <c r="J36" i="64"/>
  <c r="I36" i="64"/>
  <c r="H36" i="64"/>
  <c r="L35" i="64"/>
  <c r="K35" i="64"/>
  <c r="J35" i="64"/>
  <c r="I35" i="64"/>
  <c r="H35" i="64"/>
  <c r="L23" i="64"/>
  <c r="K23" i="64"/>
  <c r="J23" i="64"/>
  <c r="I23" i="64"/>
  <c r="H23" i="64"/>
  <c r="L22" i="64"/>
  <c r="K22" i="64"/>
  <c r="J22" i="64"/>
  <c r="I22" i="64"/>
  <c r="H22" i="64"/>
  <c r="L10" i="64"/>
  <c r="K10" i="64"/>
  <c r="J10" i="64"/>
  <c r="I10" i="64"/>
  <c r="H10" i="64"/>
  <c r="L8" i="64"/>
  <c r="K8" i="64"/>
  <c r="J8" i="64"/>
  <c r="I8" i="64"/>
  <c r="H8" i="64"/>
  <c r="D7" i="85" l="1"/>
  <c r="E7" i="85"/>
  <c r="D11" i="85"/>
  <c r="C418" i="64"/>
  <c r="C417" i="64"/>
  <c r="C416" i="64"/>
  <c r="C415" i="64"/>
  <c r="C414" i="64"/>
  <c r="C413" i="64"/>
  <c r="C412" i="64"/>
  <c r="C411" i="64"/>
  <c r="C410" i="64"/>
  <c r="C409" i="64"/>
  <c r="C408" i="64"/>
  <c r="C407" i="64"/>
  <c r="C406" i="64"/>
  <c r="C405" i="64"/>
  <c r="C404" i="64"/>
  <c r="C403" i="64"/>
  <c r="C402" i="64"/>
  <c r="C401" i="64"/>
  <c r="C400" i="64"/>
  <c r="C399" i="64"/>
  <c r="C398" i="64"/>
  <c r="C397" i="64"/>
  <c r="C396" i="64"/>
  <c r="C395" i="64"/>
  <c r="C394" i="64"/>
  <c r="C393" i="64"/>
  <c r="C392" i="64"/>
  <c r="C391" i="64"/>
  <c r="C390" i="64"/>
  <c r="C389" i="64"/>
  <c r="C388" i="64"/>
  <c r="C387" i="64"/>
  <c r="C386" i="64"/>
  <c r="C385" i="64"/>
  <c r="C384" i="64"/>
  <c r="C383" i="64"/>
  <c r="C382" i="64"/>
  <c r="C381" i="64"/>
  <c r="C380" i="64"/>
  <c r="C379" i="64"/>
  <c r="C378" i="64"/>
  <c r="C377" i="64"/>
  <c r="C376" i="64"/>
  <c r="C375" i="64"/>
  <c r="C374" i="64"/>
  <c r="C373" i="64"/>
  <c r="C372" i="64"/>
  <c r="C371" i="64"/>
  <c r="C370" i="64"/>
  <c r="C369" i="64"/>
  <c r="C368" i="64"/>
  <c r="C367" i="64"/>
  <c r="C366" i="64"/>
  <c r="C365" i="64"/>
  <c r="C364" i="64"/>
  <c r="C363" i="64"/>
  <c r="C362" i="64"/>
  <c r="C361" i="64"/>
  <c r="C360" i="64"/>
  <c r="C359" i="64"/>
  <c r="C358" i="64"/>
  <c r="C357" i="64"/>
  <c r="C356" i="64"/>
  <c r="C355" i="64"/>
  <c r="C354" i="64"/>
  <c r="C353" i="64"/>
  <c r="C352" i="64"/>
  <c r="C351" i="64"/>
  <c r="C350" i="64"/>
  <c r="C349" i="64"/>
  <c r="C348" i="64"/>
  <c r="C347" i="64"/>
  <c r="C346" i="64"/>
  <c r="C345" i="64"/>
  <c r="C344" i="64"/>
  <c r="C343" i="64"/>
  <c r="C342" i="64"/>
  <c r="C341" i="64"/>
  <c r="C340" i="64"/>
  <c r="C339" i="64"/>
  <c r="C338" i="64"/>
  <c r="C337" i="64"/>
  <c r="C336" i="64"/>
  <c r="C335" i="64"/>
  <c r="C334" i="64"/>
  <c r="C333" i="64"/>
  <c r="C332" i="64"/>
  <c r="C331" i="64"/>
  <c r="C330" i="64"/>
  <c r="C329" i="64"/>
  <c r="C328" i="64"/>
  <c r="C327" i="64"/>
  <c r="C326" i="64"/>
  <c r="C325" i="64"/>
  <c r="C324" i="64"/>
  <c r="C323" i="64"/>
  <c r="C322" i="64"/>
  <c r="C321" i="64"/>
  <c r="C320" i="64"/>
  <c r="C319" i="64"/>
  <c r="C318" i="64"/>
  <c r="C317" i="64"/>
  <c r="C316" i="64"/>
  <c r="C315" i="64"/>
  <c r="C314" i="64"/>
  <c r="C313" i="64"/>
  <c r="C312" i="64"/>
  <c r="C311" i="64"/>
  <c r="C310" i="64"/>
  <c r="C309" i="64"/>
  <c r="C308" i="64"/>
  <c r="C307" i="64"/>
  <c r="C306" i="64"/>
  <c r="C305" i="64"/>
  <c r="C304" i="64"/>
  <c r="C303" i="64"/>
  <c r="C302" i="64"/>
  <c r="C301" i="64"/>
  <c r="C300" i="64"/>
  <c r="C299" i="64"/>
  <c r="C298" i="64"/>
  <c r="C297" i="64"/>
  <c r="C296" i="64"/>
  <c r="C295" i="64"/>
  <c r="C294" i="64"/>
  <c r="C293" i="64"/>
  <c r="C292" i="64"/>
  <c r="C291" i="64"/>
  <c r="C290" i="64"/>
  <c r="C289" i="64"/>
  <c r="C288" i="64"/>
  <c r="C287" i="64"/>
  <c r="C286" i="64"/>
  <c r="C285" i="64"/>
  <c r="C284" i="64"/>
  <c r="C283" i="64"/>
  <c r="C282" i="64"/>
  <c r="C281" i="64"/>
  <c r="C280" i="64"/>
  <c r="C279" i="64"/>
  <c r="C278" i="64"/>
  <c r="C277" i="64"/>
  <c r="C276" i="64"/>
  <c r="C275" i="64"/>
  <c r="C274" i="64"/>
  <c r="C273" i="64"/>
  <c r="C272" i="64"/>
  <c r="C271" i="64"/>
  <c r="C270" i="64"/>
  <c r="C269" i="64"/>
  <c r="C268" i="64"/>
  <c r="C267" i="64"/>
  <c r="C266" i="64"/>
  <c r="C265" i="64"/>
  <c r="C264" i="64"/>
  <c r="C263" i="64"/>
  <c r="C262" i="64"/>
  <c r="C261" i="64"/>
  <c r="C260" i="64"/>
  <c r="C259" i="64"/>
  <c r="C258" i="64"/>
  <c r="C257" i="64"/>
  <c r="C256" i="64"/>
  <c r="C255" i="64"/>
  <c r="C254" i="64"/>
  <c r="C253" i="64"/>
  <c r="C252" i="64"/>
  <c r="C251" i="64"/>
  <c r="C250" i="64"/>
  <c r="C249" i="64"/>
  <c r="C248" i="64"/>
  <c r="C247" i="64"/>
  <c r="C246" i="64"/>
  <c r="C245" i="64"/>
  <c r="C244" i="64"/>
  <c r="C243" i="64"/>
  <c r="C242" i="64"/>
  <c r="C241" i="64"/>
  <c r="C240" i="64"/>
  <c r="C239" i="64"/>
  <c r="C238" i="64"/>
  <c r="C237" i="64"/>
  <c r="C236" i="64"/>
  <c r="C235" i="64"/>
  <c r="C234" i="64"/>
  <c r="C233" i="64"/>
  <c r="C232" i="64"/>
  <c r="C231" i="64"/>
  <c r="C230" i="64"/>
  <c r="C229" i="64"/>
  <c r="C228" i="64"/>
  <c r="C227" i="64"/>
  <c r="C226" i="64"/>
  <c r="C225" i="64"/>
  <c r="C224" i="64"/>
  <c r="C223" i="64"/>
  <c r="C222" i="64"/>
  <c r="C221" i="64"/>
  <c r="C220" i="64"/>
  <c r="C219" i="64"/>
  <c r="C218" i="64"/>
  <c r="C217" i="64"/>
  <c r="C216" i="64"/>
  <c r="C215" i="64"/>
  <c r="C214" i="64"/>
  <c r="C213" i="64"/>
  <c r="C212" i="64"/>
  <c r="C211" i="64"/>
  <c r="C210" i="64"/>
  <c r="C209" i="64"/>
  <c r="C208" i="64"/>
  <c r="C207" i="64"/>
  <c r="C206" i="64"/>
  <c r="C205" i="64"/>
  <c r="C204" i="64"/>
  <c r="C203" i="64"/>
  <c r="C202" i="64"/>
  <c r="C201" i="64"/>
  <c r="C200" i="64"/>
  <c r="C199" i="64"/>
  <c r="C198" i="64"/>
  <c r="C184" i="64"/>
  <c r="C183" i="64"/>
  <c r="C182" i="64"/>
  <c r="C181" i="64"/>
  <c r="C180" i="64"/>
  <c r="C179" i="64"/>
  <c r="C178" i="64"/>
  <c r="C177" i="64"/>
  <c r="C176" i="64"/>
  <c r="C175" i="64"/>
  <c r="C174" i="64"/>
  <c r="C173" i="64"/>
  <c r="C172" i="64"/>
  <c r="C171" i="64"/>
  <c r="C170" i="64"/>
  <c r="C169" i="64"/>
  <c r="C168" i="64"/>
  <c r="C167" i="64"/>
  <c r="C166" i="64"/>
  <c r="C165" i="64"/>
  <c r="C164" i="64"/>
  <c r="C163" i="64"/>
  <c r="C162" i="64"/>
  <c r="C161" i="64"/>
  <c r="C160" i="64"/>
  <c r="C159" i="64"/>
  <c r="C158" i="64"/>
  <c r="C157" i="64"/>
  <c r="C156" i="64"/>
  <c r="C155" i="64"/>
  <c r="C154" i="64"/>
  <c r="C153" i="64"/>
  <c r="C152" i="64"/>
  <c r="C151" i="64"/>
  <c r="C150" i="64"/>
  <c r="C149" i="64"/>
  <c r="C148" i="64"/>
  <c r="C147" i="64"/>
  <c r="C146" i="64"/>
  <c r="C145" i="64"/>
  <c r="C144" i="64"/>
  <c r="C143" i="64"/>
  <c r="C142" i="64"/>
  <c r="C141" i="64"/>
  <c r="C140" i="64"/>
  <c r="C139" i="64"/>
  <c r="C138" i="64"/>
  <c r="C137" i="64"/>
  <c r="C136" i="64"/>
  <c r="C135" i="64"/>
  <c r="C134" i="64"/>
  <c r="C133" i="64"/>
  <c r="C132" i="64"/>
  <c r="C131" i="64"/>
  <c r="C130" i="64"/>
  <c r="C129" i="64"/>
  <c r="C128" i="64"/>
  <c r="C127" i="64"/>
  <c r="C126" i="64"/>
  <c r="C125" i="64"/>
  <c r="C124" i="64"/>
  <c r="C123" i="64"/>
  <c r="C122" i="64"/>
  <c r="C121" i="64"/>
  <c r="C120" i="64"/>
  <c r="C119" i="64"/>
  <c r="C118" i="64"/>
  <c r="C117" i="64"/>
  <c r="C116" i="64"/>
  <c r="C115" i="64"/>
  <c r="C114" i="64"/>
  <c r="C113" i="64"/>
  <c r="C112" i="64"/>
  <c r="C111" i="64"/>
  <c r="C110" i="64"/>
  <c r="C109" i="64"/>
  <c r="C108" i="64"/>
  <c r="C106" i="64"/>
  <c r="C105" i="64"/>
  <c r="C104" i="64"/>
  <c r="C103" i="64"/>
  <c r="C102" i="64"/>
  <c r="C101" i="64"/>
  <c r="C100" i="64"/>
  <c r="C99" i="64"/>
  <c r="C98" i="64"/>
  <c r="C97" i="64"/>
  <c r="C96" i="64"/>
  <c r="C95" i="64"/>
  <c r="C94" i="64"/>
  <c r="C93" i="64"/>
  <c r="C92" i="64"/>
  <c r="C91" i="64"/>
  <c r="C90" i="64"/>
  <c r="C89" i="64"/>
  <c r="C88" i="64"/>
  <c r="C87" i="64"/>
  <c r="C86" i="64"/>
  <c r="C85" i="64"/>
  <c r="C84" i="64"/>
  <c r="C83" i="64"/>
  <c r="C82" i="64"/>
  <c r="C81" i="64"/>
  <c r="C80" i="64"/>
  <c r="C79" i="64"/>
  <c r="C78" i="64"/>
  <c r="C77" i="64"/>
  <c r="C76" i="64"/>
  <c r="C75" i="64"/>
  <c r="C74" i="64"/>
  <c r="C73" i="64"/>
  <c r="C72" i="64"/>
  <c r="C71" i="64"/>
  <c r="C70" i="64"/>
  <c r="C69" i="64"/>
  <c r="C68" i="64"/>
  <c r="C67" i="64"/>
  <c r="C66" i="64"/>
  <c r="C65" i="64"/>
  <c r="C64" i="64"/>
  <c r="C63" i="64"/>
  <c r="C62" i="64"/>
  <c r="C61" i="64"/>
  <c r="C60" i="64"/>
  <c r="C59" i="64"/>
  <c r="C58" i="64"/>
  <c r="C57" i="64"/>
  <c r="C56" i="64"/>
  <c r="C55" i="64"/>
  <c r="C54" i="64"/>
  <c r="C53" i="64"/>
  <c r="C52" i="64"/>
  <c r="C51" i="64"/>
  <c r="C50" i="64"/>
  <c r="C49" i="64"/>
  <c r="C48" i="64"/>
  <c r="C47" i="64"/>
  <c r="C46" i="64"/>
  <c r="C45" i="64"/>
  <c r="C44" i="64"/>
  <c r="C43" i="64"/>
  <c r="C42" i="64"/>
  <c r="C41" i="64"/>
  <c r="C40" i="64"/>
  <c r="C39" i="64"/>
  <c r="C38" i="64"/>
  <c r="C37" i="64"/>
  <c r="C36" i="64"/>
  <c r="C35" i="64"/>
  <c r="C34" i="64"/>
  <c r="C33" i="64"/>
  <c r="C32" i="64"/>
  <c r="C31" i="64"/>
  <c r="C30" i="64"/>
  <c r="C29" i="64"/>
  <c r="C28" i="64"/>
  <c r="C27" i="64"/>
  <c r="C26" i="64"/>
  <c r="C25" i="64"/>
  <c r="C24" i="64"/>
  <c r="C23" i="64"/>
  <c r="C22" i="64"/>
  <c r="C21" i="64"/>
  <c r="C20" i="64"/>
  <c r="C19" i="64"/>
  <c r="C18" i="64"/>
  <c r="C17" i="64"/>
  <c r="C16" i="64"/>
  <c r="C15" i="64"/>
  <c r="C14" i="64"/>
  <c r="C13" i="64"/>
  <c r="C12" i="64"/>
  <c r="C11" i="64"/>
  <c r="C10" i="64"/>
  <c r="C9" i="64"/>
  <c r="C8" i="64"/>
  <c r="C7" i="64"/>
  <c r="C6" i="64"/>
  <c r="C5" i="64"/>
  <c r="C4" i="64"/>
  <c r="C3" i="64" l="1"/>
  <c r="L413" i="64"/>
  <c r="K413" i="64"/>
  <c r="J413" i="64"/>
  <c r="I413" i="64"/>
  <c r="H413" i="64"/>
  <c r="L412" i="64"/>
  <c r="K412" i="64"/>
  <c r="J412" i="64"/>
  <c r="I412" i="64"/>
  <c r="H412" i="64"/>
  <c r="L400" i="64"/>
  <c r="K400" i="64"/>
  <c r="J400" i="64"/>
  <c r="I400" i="64"/>
  <c r="H400" i="64"/>
  <c r="L399" i="64"/>
  <c r="K399" i="64"/>
  <c r="J399" i="64"/>
  <c r="I399" i="64"/>
  <c r="H399" i="64"/>
  <c r="L387" i="64"/>
  <c r="K387" i="64"/>
  <c r="J387" i="64"/>
  <c r="I387" i="64"/>
  <c r="H387" i="64"/>
  <c r="L386" i="64"/>
  <c r="K386" i="64"/>
  <c r="J386" i="64"/>
  <c r="I386" i="64"/>
  <c r="H386" i="64"/>
  <c r="L379" i="64"/>
  <c r="K379" i="64"/>
  <c r="J379" i="64"/>
  <c r="I379" i="64"/>
  <c r="H379" i="64"/>
  <c r="L378" i="64"/>
  <c r="K378" i="64"/>
  <c r="J378" i="64"/>
  <c r="I378" i="64"/>
  <c r="H378" i="64"/>
  <c r="L377" i="64"/>
  <c r="K377" i="64"/>
  <c r="J377" i="64"/>
  <c r="I377" i="64"/>
  <c r="H377" i="64"/>
  <c r="L375" i="64"/>
  <c r="K375" i="64"/>
  <c r="J375" i="64"/>
  <c r="I375" i="64"/>
  <c r="H375" i="64"/>
  <c r="L374" i="64"/>
  <c r="K374" i="64"/>
  <c r="J374" i="64"/>
  <c r="I374" i="64"/>
  <c r="H374" i="64"/>
  <c r="L373" i="64"/>
  <c r="K373" i="64"/>
  <c r="J373" i="64"/>
  <c r="I373" i="64"/>
  <c r="H373" i="64"/>
  <c r="L372" i="64"/>
  <c r="K372" i="64"/>
  <c r="J372" i="64"/>
  <c r="I372" i="64"/>
  <c r="H372" i="64"/>
  <c r="L371" i="64"/>
  <c r="K371" i="64"/>
  <c r="J371" i="64"/>
  <c r="I371" i="64"/>
  <c r="H371" i="64"/>
  <c r="L370" i="64"/>
  <c r="K370" i="64"/>
  <c r="J370" i="64"/>
  <c r="I370" i="64"/>
  <c r="H370" i="64"/>
  <c r="L369" i="64"/>
  <c r="K369" i="64"/>
  <c r="J369" i="64"/>
  <c r="I369" i="64"/>
  <c r="H369" i="64"/>
  <c r="L368" i="64"/>
  <c r="K368" i="64"/>
  <c r="J368" i="64"/>
  <c r="I368" i="64"/>
  <c r="H368" i="64"/>
  <c r="L367" i="64"/>
  <c r="K367" i="64"/>
  <c r="J367" i="64"/>
  <c r="I367" i="64"/>
  <c r="H367" i="64"/>
  <c r="L366" i="64"/>
  <c r="K366" i="64"/>
  <c r="J366" i="64"/>
  <c r="I366" i="64"/>
  <c r="H366" i="64"/>
  <c r="L365" i="64"/>
  <c r="K365" i="64"/>
  <c r="J365" i="64"/>
  <c r="I365" i="64"/>
  <c r="H365" i="64"/>
  <c r="L364" i="64"/>
  <c r="K364" i="64"/>
  <c r="J364" i="64"/>
  <c r="I364" i="64"/>
  <c r="H364" i="64"/>
  <c r="L362" i="64"/>
  <c r="K362" i="64"/>
  <c r="J362" i="64"/>
  <c r="I362" i="64"/>
  <c r="H362" i="64"/>
  <c r="L361" i="64"/>
  <c r="K361" i="64"/>
  <c r="J361" i="64"/>
  <c r="I361" i="64"/>
  <c r="H361" i="64"/>
  <c r="L360" i="64"/>
  <c r="K360" i="64"/>
  <c r="J360" i="64"/>
  <c r="I360" i="64"/>
  <c r="H360" i="64"/>
  <c r="L359" i="64"/>
  <c r="K359" i="64"/>
  <c r="J359" i="64"/>
  <c r="I359" i="64"/>
  <c r="H359" i="64"/>
  <c r="L358" i="64"/>
  <c r="K358" i="64"/>
  <c r="J358" i="64"/>
  <c r="I358" i="64"/>
  <c r="H358" i="64"/>
  <c r="L357" i="64"/>
  <c r="K357" i="64"/>
  <c r="J357" i="64"/>
  <c r="I357" i="64"/>
  <c r="H357" i="64"/>
  <c r="L356" i="64"/>
  <c r="K356" i="64"/>
  <c r="J356" i="64"/>
  <c r="I356" i="64"/>
  <c r="H356" i="64"/>
  <c r="L355" i="64"/>
  <c r="K355" i="64"/>
  <c r="J355" i="64"/>
  <c r="I355" i="64"/>
  <c r="H355" i="64"/>
  <c r="L354" i="64"/>
  <c r="K354" i="64"/>
  <c r="J354" i="64"/>
  <c r="I354" i="64"/>
  <c r="H354" i="64"/>
  <c r="L353" i="64"/>
  <c r="K353" i="64"/>
  <c r="J353" i="64"/>
  <c r="I353" i="64"/>
  <c r="H353" i="64"/>
  <c r="L352" i="64"/>
  <c r="K352" i="64"/>
  <c r="J352" i="64"/>
  <c r="I352" i="64"/>
  <c r="H352" i="64"/>
  <c r="L351" i="64"/>
  <c r="K351" i="64"/>
  <c r="J351" i="64"/>
  <c r="I351" i="64"/>
  <c r="H351" i="64"/>
  <c r="L349" i="64"/>
  <c r="K349" i="64"/>
  <c r="J349" i="64"/>
  <c r="I349" i="64"/>
  <c r="H349" i="64"/>
  <c r="L348" i="64"/>
  <c r="K348" i="64"/>
  <c r="J348" i="64"/>
  <c r="I348" i="64"/>
  <c r="H348" i="64"/>
  <c r="L347" i="64"/>
  <c r="K347" i="64"/>
  <c r="J347" i="64"/>
  <c r="I347" i="64"/>
  <c r="H347" i="64"/>
  <c r="L346" i="64"/>
  <c r="K346" i="64"/>
  <c r="J346" i="64"/>
  <c r="I346" i="64"/>
  <c r="H346" i="64"/>
  <c r="L345" i="64"/>
  <c r="K345" i="64"/>
  <c r="J345" i="64"/>
  <c r="I345" i="64"/>
  <c r="H345" i="64"/>
  <c r="L344" i="64"/>
  <c r="K344" i="64"/>
  <c r="J344" i="64"/>
  <c r="I344" i="64"/>
  <c r="H344" i="64"/>
  <c r="L343" i="64"/>
  <c r="K343" i="64"/>
  <c r="J343" i="64"/>
  <c r="I343" i="64"/>
  <c r="H343" i="64"/>
  <c r="L342" i="64"/>
  <c r="K342" i="64"/>
  <c r="J342" i="64"/>
  <c r="I342" i="64"/>
  <c r="H342" i="64"/>
  <c r="L341" i="64"/>
  <c r="K341" i="64"/>
  <c r="J341" i="64"/>
  <c r="I341" i="64"/>
  <c r="H341" i="64"/>
  <c r="L335" i="64"/>
  <c r="K335" i="64"/>
  <c r="J335" i="64"/>
  <c r="I335" i="64"/>
  <c r="H335" i="64"/>
  <c r="L334" i="64"/>
  <c r="K334" i="64"/>
  <c r="J334" i="64"/>
  <c r="I334" i="64"/>
  <c r="H334" i="64"/>
  <c r="L322" i="64"/>
  <c r="K322" i="64"/>
  <c r="J322" i="64"/>
  <c r="I322" i="64"/>
  <c r="H322" i="64"/>
  <c r="L321" i="64"/>
  <c r="K321" i="64"/>
  <c r="J321" i="64"/>
  <c r="I321" i="64"/>
  <c r="H321" i="64"/>
  <c r="L309" i="64"/>
  <c r="K309" i="64"/>
  <c r="J309" i="64"/>
  <c r="I309" i="64"/>
  <c r="H309" i="64"/>
  <c r="L308" i="64"/>
  <c r="K308" i="64"/>
  <c r="J308" i="64"/>
  <c r="I308" i="64"/>
  <c r="H308" i="64"/>
  <c r="L296" i="64"/>
  <c r="K296" i="64"/>
  <c r="J296" i="64"/>
  <c r="I296" i="64"/>
  <c r="H296" i="64"/>
  <c r="L295" i="64"/>
  <c r="K295" i="64"/>
  <c r="J295" i="64"/>
  <c r="I295" i="64"/>
  <c r="H295" i="64"/>
  <c r="L283" i="64"/>
  <c r="K283" i="64"/>
  <c r="J283" i="64"/>
  <c r="I283" i="64"/>
  <c r="H283" i="64"/>
  <c r="L282" i="64"/>
  <c r="K282" i="64"/>
  <c r="J282" i="64"/>
  <c r="I282" i="64"/>
  <c r="H282" i="64"/>
  <c r="L270" i="64"/>
  <c r="K270" i="64"/>
  <c r="J270" i="64"/>
  <c r="I270" i="64"/>
  <c r="H270" i="64"/>
  <c r="L269" i="64"/>
  <c r="K269" i="64"/>
  <c r="J269" i="64"/>
  <c r="I269" i="64"/>
  <c r="H269" i="64"/>
  <c r="L262" i="64" l="1"/>
  <c r="K262" i="64"/>
  <c r="J262" i="64"/>
  <c r="I262" i="64"/>
  <c r="H262" i="64"/>
  <c r="L261" i="64"/>
  <c r="K261" i="64"/>
  <c r="J261" i="64"/>
  <c r="I261" i="64"/>
  <c r="H261" i="64"/>
  <c r="L260" i="64"/>
  <c r="K260" i="64"/>
  <c r="J260" i="64"/>
  <c r="I260" i="64"/>
  <c r="H260" i="64"/>
  <c r="L259" i="64"/>
  <c r="K259" i="64"/>
  <c r="J259" i="64"/>
  <c r="I259" i="64"/>
  <c r="H259" i="64"/>
  <c r="L258" i="64"/>
  <c r="K258" i="64"/>
  <c r="J258" i="64"/>
  <c r="I258" i="64"/>
  <c r="H258" i="64"/>
  <c r="L257" i="64"/>
  <c r="K257" i="64"/>
  <c r="J257" i="64"/>
  <c r="I257" i="64"/>
  <c r="H257" i="64"/>
  <c r="L256" i="64"/>
  <c r="K256" i="64"/>
  <c r="J256" i="64"/>
  <c r="I256" i="64"/>
  <c r="H256" i="64"/>
  <c r="L255" i="64"/>
  <c r="K255" i="64"/>
  <c r="J255" i="64"/>
  <c r="I255" i="64"/>
  <c r="H255" i="64"/>
  <c r="L254" i="64"/>
  <c r="K254" i="64"/>
  <c r="J254" i="64"/>
  <c r="I254" i="64"/>
  <c r="H254" i="64"/>
  <c r="L253" i="64"/>
  <c r="K253" i="64"/>
  <c r="J253" i="64"/>
  <c r="I253" i="64"/>
  <c r="H253" i="64"/>
  <c r="L252" i="64"/>
  <c r="K252" i="64"/>
  <c r="J252" i="64"/>
  <c r="I252" i="64"/>
  <c r="H252" i="64"/>
  <c r="L251" i="64"/>
  <c r="K251" i="64"/>
  <c r="J251" i="64"/>
  <c r="I251" i="64"/>
  <c r="H251" i="64"/>
  <c r="L250" i="64"/>
  <c r="K250" i="64"/>
  <c r="J250" i="64"/>
  <c r="I250" i="64"/>
  <c r="H250" i="64"/>
  <c r="L249" i="64"/>
  <c r="K249" i="64"/>
  <c r="J249" i="64"/>
  <c r="I249" i="64"/>
  <c r="H249" i="64"/>
  <c r="L248" i="64"/>
  <c r="K248" i="64"/>
  <c r="J248" i="64"/>
  <c r="I248" i="64"/>
  <c r="H248" i="64"/>
  <c r="L247" i="64"/>
  <c r="K247" i="64"/>
  <c r="J247" i="64"/>
  <c r="I247" i="64"/>
  <c r="H247" i="64"/>
  <c r="L246" i="64"/>
  <c r="K246" i="64"/>
  <c r="J246" i="64"/>
  <c r="I246" i="64"/>
  <c r="H246" i="64"/>
  <c r="L245" i="64"/>
  <c r="K245" i="64"/>
  <c r="J245" i="64"/>
  <c r="I245" i="64"/>
  <c r="H245" i="64"/>
  <c r="L244" i="64"/>
  <c r="K244" i="64"/>
  <c r="J244" i="64"/>
  <c r="I244" i="64"/>
  <c r="H244" i="64"/>
  <c r="L243" i="64"/>
  <c r="K243" i="64"/>
  <c r="J243" i="64"/>
  <c r="I243" i="64"/>
  <c r="H243" i="64"/>
  <c r="L242" i="64"/>
  <c r="K242" i="64"/>
  <c r="J242" i="64"/>
  <c r="I242" i="64"/>
  <c r="H242" i="64"/>
  <c r="L241" i="64"/>
  <c r="K241" i="64"/>
  <c r="J241" i="64"/>
  <c r="I241" i="64"/>
  <c r="H241" i="64"/>
  <c r="L240" i="64"/>
  <c r="K240" i="64"/>
  <c r="J240" i="64"/>
  <c r="I240" i="64"/>
  <c r="H240" i="64"/>
  <c r="L239" i="64"/>
  <c r="K239" i="64"/>
  <c r="J239" i="64"/>
  <c r="I239" i="64"/>
  <c r="H239" i="64"/>
  <c r="L238" i="64"/>
  <c r="K238" i="64"/>
  <c r="J238" i="64"/>
  <c r="I238" i="64"/>
  <c r="H238" i="64"/>
  <c r="L237" i="64"/>
  <c r="K237" i="64"/>
  <c r="J237" i="64"/>
  <c r="I237" i="64"/>
  <c r="H237" i="64"/>
  <c r="L376" i="64" l="1"/>
  <c r="L350" i="64"/>
  <c r="K363" i="64"/>
  <c r="K350" i="64"/>
  <c r="J376" i="64"/>
  <c r="J350" i="64"/>
  <c r="I363" i="64"/>
  <c r="I350" i="64"/>
  <c r="I376" i="64" l="1"/>
  <c r="L363" i="64"/>
  <c r="J363" i="64"/>
  <c r="K376" i="64"/>
  <c r="C53" i="88" l="1"/>
  <c r="C54" i="88"/>
  <c r="C55" i="88"/>
  <c r="C56" i="88"/>
  <c r="C8" i="88"/>
  <c r="C9" i="88"/>
  <c r="C10" i="88"/>
  <c r="C11" i="88"/>
  <c r="C12" i="88"/>
  <c r="C13" i="88"/>
  <c r="C14" i="88"/>
  <c r="C15" i="88"/>
  <c r="C16" i="88"/>
  <c r="C17" i="88"/>
  <c r="C18" i="88"/>
  <c r="C19" i="88"/>
  <c r="C20" i="88"/>
  <c r="C21" i="88"/>
  <c r="C22" i="88"/>
  <c r="C23" i="88"/>
  <c r="C24" i="88"/>
  <c r="C25" i="88"/>
  <c r="C26" i="88"/>
  <c r="C27" i="88"/>
  <c r="C28" i="88"/>
  <c r="C29" i="88"/>
  <c r="C30" i="88"/>
  <c r="C31" i="88"/>
  <c r="C32" i="88"/>
  <c r="C33" i="88"/>
  <c r="C34" i="88"/>
  <c r="C35" i="88"/>
  <c r="C36" i="88"/>
  <c r="C37" i="88"/>
  <c r="C38" i="88"/>
  <c r="C39" i="88"/>
  <c r="C40" i="88"/>
  <c r="C41" i="88"/>
  <c r="C42" i="88"/>
  <c r="C43" i="88"/>
  <c r="C44" i="88"/>
  <c r="C45" i="88"/>
  <c r="C46" i="88"/>
  <c r="C47" i="88"/>
  <c r="C48" i="88"/>
  <c r="C49" i="88"/>
  <c r="C50" i="88"/>
  <c r="C51" i="88"/>
  <c r="C52" i="88"/>
  <c r="C7" i="88"/>
  <c r="B53" i="88"/>
  <c r="B54" i="88"/>
  <c r="A54" i="88" s="1"/>
  <c r="B55" i="88"/>
  <c r="B56" i="88"/>
  <c r="B8" i="88"/>
  <c r="B9" i="88"/>
  <c r="B10" i="88"/>
  <c r="B11" i="88"/>
  <c r="B12" i="88"/>
  <c r="B13" i="88"/>
  <c r="B14" i="88"/>
  <c r="B15" i="88"/>
  <c r="B16" i="88"/>
  <c r="B17" i="88"/>
  <c r="B18" i="88"/>
  <c r="B19" i="88"/>
  <c r="B20" i="88"/>
  <c r="B21" i="88"/>
  <c r="B22" i="88"/>
  <c r="B23" i="88"/>
  <c r="B24" i="88"/>
  <c r="B25" i="88"/>
  <c r="B26" i="88"/>
  <c r="B27" i="88"/>
  <c r="B28" i="88"/>
  <c r="B29" i="88"/>
  <c r="B30" i="88"/>
  <c r="B31" i="88"/>
  <c r="B32" i="88"/>
  <c r="B33" i="88"/>
  <c r="A33" i="88" s="1"/>
  <c r="B34" i="88"/>
  <c r="B35" i="88"/>
  <c r="B36" i="88"/>
  <c r="B37" i="88"/>
  <c r="B38" i="88"/>
  <c r="B39" i="88"/>
  <c r="B40" i="88"/>
  <c r="B41" i="88"/>
  <c r="B42" i="88"/>
  <c r="B43" i="88"/>
  <c r="B44" i="88"/>
  <c r="B45" i="88"/>
  <c r="B46" i="88"/>
  <c r="B47" i="88"/>
  <c r="B48" i="88"/>
  <c r="B49" i="88"/>
  <c r="B50" i="88"/>
  <c r="B51" i="88"/>
  <c r="B52" i="88"/>
  <c r="B7" i="88"/>
  <c r="A22" i="88"/>
  <c r="A57" i="88"/>
  <c r="A58" i="88"/>
  <c r="A59" i="88"/>
  <c r="A60" i="88"/>
  <c r="A61" i="88"/>
  <c r="A62" i="88"/>
  <c r="A63" i="88"/>
  <c r="A64" i="88"/>
  <c r="A65" i="88"/>
  <c r="A66" i="88"/>
  <c r="A47" i="88" l="1"/>
  <c r="A35" i="88"/>
  <c r="A27" i="88"/>
  <c r="A24" i="88"/>
  <c r="A51" i="88"/>
  <c r="A39" i="88"/>
  <c r="A31" i="88"/>
  <c r="A16" i="88"/>
  <c r="A12" i="88"/>
  <c r="A53" i="88"/>
  <c r="C77" i="85"/>
  <c r="C73" i="85"/>
  <c r="A43" i="88"/>
  <c r="A52" i="88"/>
  <c r="A48" i="88"/>
  <c r="A44" i="88"/>
  <c r="A40" i="88"/>
  <c r="A32" i="88"/>
  <c r="A28" i="88"/>
  <c r="A25" i="88"/>
  <c r="A17" i="88"/>
  <c r="A13" i="88"/>
  <c r="C74" i="85"/>
  <c r="A9" i="88"/>
  <c r="AS8" i="88"/>
  <c r="AR12" i="88"/>
  <c r="AT8" i="88"/>
  <c r="AT12" i="88"/>
  <c r="AR8" i="88"/>
  <c r="AS12" i="88"/>
  <c r="AV12" i="88"/>
  <c r="AW12" i="88"/>
  <c r="AV8" i="88"/>
  <c r="AW8" i="88"/>
  <c r="A42" i="88"/>
  <c r="A34" i="88"/>
  <c r="A15" i="88"/>
  <c r="A49" i="88"/>
  <c r="A37" i="88"/>
  <c r="A10" i="88"/>
  <c r="A55" i="88"/>
  <c r="A45" i="88"/>
  <c r="A41" i="88"/>
  <c r="A29" i="88"/>
  <c r="A26" i="88"/>
  <c r="A18" i="88"/>
  <c r="A14" i="88"/>
  <c r="A7" i="88"/>
  <c r="A36" i="88"/>
  <c r="A21" i="88"/>
  <c r="A20" i="88"/>
  <c r="A8" i="88"/>
  <c r="A56" i="88"/>
  <c r="A50" i="88"/>
  <c r="A46" i="88"/>
  <c r="A38" i="88"/>
  <c r="A30" i="88"/>
  <c r="A23" i="88"/>
  <c r="A19" i="88"/>
  <c r="A11" i="88"/>
  <c r="C79" i="85" l="1"/>
  <c r="AG16" i="88"/>
  <c r="AI54" i="88"/>
  <c r="AH48" i="88"/>
  <c r="AG41" i="88"/>
  <c r="AH18" i="88"/>
  <c r="AH56" i="88"/>
  <c r="AH38" i="88"/>
  <c r="AG33" i="88"/>
  <c r="AH27" i="88"/>
  <c r="AI19" i="88"/>
  <c r="AH20" i="88"/>
  <c r="AH11" i="88"/>
  <c r="AH9" i="88"/>
  <c r="AH17" i="88"/>
  <c r="AG25" i="88"/>
  <c r="C78" i="85"/>
  <c r="AI44" i="88"/>
  <c r="C81" i="85"/>
  <c r="AI18" i="88"/>
  <c r="C80" i="85"/>
  <c r="AH49" i="88"/>
  <c r="AG56" i="88"/>
  <c r="AI50" i="88"/>
  <c r="AG8" i="88"/>
  <c r="C82" i="85"/>
  <c r="AH47" i="88"/>
  <c r="AG28" i="88"/>
  <c r="AH52" i="88"/>
  <c r="AH43" i="88"/>
  <c r="AG43" i="88"/>
  <c r="AG26" i="88"/>
  <c r="AI12" i="88"/>
  <c r="AI24" i="88"/>
  <c r="C75" i="85"/>
  <c r="AH21" i="88"/>
  <c r="AH55" i="88"/>
  <c r="AG55" i="88"/>
  <c r="AG39" i="88"/>
  <c r="AH42" i="88"/>
  <c r="AH35" i="88"/>
  <c r="C76" i="85"/>
  <c r="AI29" i="88"/>
  <c r="AI37" i="88"/>
  <c r="AH45" i="88"/>
  <c r="C72" i="85"/>
  <c r="AH53" i="88"/>
  <c r="AI53" i="88"/>
  <c r="AI46" i="88"/>
  <c r="AI17" i="88"/>
  <c r="AG17" i="88"/>
  <c r="AI36" i="88"/>
  <c r="AG36" i="88"/>
  <c r="AI10" i="88"/>
  <c r="AI11" i="88"/>
  <c r="AG11" i="88"/>
  <c r="AH50" i="88"/>
  <c r="AG27" i="88"/>
  <c r="AG9" i="88"/>
  <c r="AI9" i="88"/>
  <c r="AG52" i="88"/>
  <c r="AI43" i="88"/>
  <c r="AI22" i="88"/>
  <c r="AG22" i="88"/>
  <c r="AI26" i="88"/>
  <c r="AI23" i="88"/>
  <c r="AG23" i="88"/>
  <c r="AH36" i="88"/>
  <c r="AG31" i="88"/>
  <c r="AI31" i="88"/>
  <c r="AG47" i="88"/>
  <c r="AH22" i="88"/>
  <c r="AG30" i="88"/>
  <c r="AG32" i="88"/>
  <c r="AI32" i="88"/>
  <c r="AG34" i="88"/>
  <c r="AI34" i="88"/>
  <c r="AH46" i="88"/>
  <c r="AH10" i="88"/>
  <c r="AH19" i="88"/>
  <c r="AH23" i="88"/>
  <c r="AH30" i="88"/>
  <c r="AG38" i="88"/>
  <c r="AH8" i="88"/>
  <c r="AG21" i="88"/>
  <c r="AH26" i="88"/>
  <c r="AH37" i="88"/>
  <c r="AH39" i="88"/>
  <c r="AH33" i="88"/>
  <c r="AH31" i="88"/>
  <c r="AH24" i="88"/>
  <c r="AI13" i="88"/>
  <c r="AG40" i="88"/>
  <c r="AG20" i="88"/>
  <c r="AH40" i="88"/>
  <c r="AH34" i="88"/>
  <c r="AN8" i="88"/>
  <c r="AU12" i="88"/>
  <c r="AL8" i="88"/>
  <c r="AL12" i="88"/>
  <c r="AM8" i="88"/>
  <c r="AM12" i="88"/>
  <c r="AN9" i="88"/>
  <c r="AN12" i="88"/>
  <c r="AN15" i="88"/>
  <c r="AM15" i="88"/>
  <c r="AL15" i="88"/>
  <c r="AL16" i="88"/>
  <c r="AL17" i="88"/>
  <c r="AN13" i="88"/>
  <c r="AN14" i="88"/>
  <c r="AL14" i="88"/>
  <c r="D9" i="85" l="1"/>
  <c r="AI28" i="88"/>
  <c r="AH14" i="88"/>
  <c r="AI56" i="88"/>
  <c r="AI41" i="88"/>
  <c r="AG48" i="88"/>
  <c r="AG10" i="88"/>
  <c r="AI40" i="88"/>
  <c r="AH13" i="88"/>
  <c r="AI15" i="88"/>
  <c r="AI20" i="88"/>
  <c r="AH41" i="88"/>
  <c r="D14" i="85" s="1"/>
  <c r="AG44" i="88"/>
  <c r="AG50" i="88"/>
  <c r="AI49" i="88"/>
  <c r="AI21" i="88"/>
  <c r="AI39" i="88"/>
  <c r="AG14" i="88"/>
  <c r="AI47" i="88"/>
  <c r="AG45" i="88"/>
  <c r="AH51" i="88"/>
  <c r="D16" i="85" s="1"/>
  <c r="AI33" i="88"/>
  <c r="AH54" i="88"/>
  <c r="AI38" i="88"/>
  <c r="AG19" i="88"/>
  <c r="AI55" i="88"/>
  <c r="AG49" i="88"/>
  <c r="AI14" i="88"/>
  <c r="AI27" i="88"/>
  <c r="AH28" i="88"/>
  <c r="AG12" i="88"/>
  <c r="AI48" i="88"/>
  <c r="AG35" i="88"/>
  <c r="AG54" i="88"/>
  <c r="AI8" i="88"/>
  <c r="AG18" i="88"/>
  <c r="AH15" i="88"/>
  <c r="AI16" i="88"/>
  <c r="AI25" i="88"/>
  <c r="E10" i="85" s="1"/>
  <c r="AG51" i="88"/>
  <c r="AH32" i="88"/>
  <c r="D13" i="85" s="1"/>
  <c r="AG13" i="88"/>
  <c r="AH16" i="88"/>
  <c r="AG24" i="88"/>
  <c r="AI52" i="88"/>
  <c r="AH44" i="88"/>
  <c r="D15" i="85" s="1"/>
  <c r="AI30" i="88"/>
  <c r="AG37" i="88"/>
  <c r="AH12" i="88"/>
  <c r="AG29" i="88"/>
  <c r="AH29" i="88"/>
  <c r="D12" i="85" s="1"/>
  <c r="AG15" i="88"/>
  <c r="AI35" i="88"/>
  <c r="AI51" i="88"/>
  <c r="AI42" i="88"/>
  <c r="E15" i="85" s="1"/>
  <c r="AG46" i="88"/>
  <c r="AG53" i="88"/>
  <c r="AI45" i="88"/>
  <c r="AH25" i="88"/>
  <c r="D10" i="85" s="1"/>
  <c r="AG42" i="88"/>
  <c r="AL13" i="88"/>
  <c r="AM14" i="88"/>
  <c r="AM13" i="88"/>
  <c r="AL9" i="88"/>
  <c r="AL11" i="88"/>
  <c r="AM9" i="88"/>
  <c r="AM11" i="88"/>
  <c r="AN10" i="88"/>
  <c r="AN7" i="88"/>
  <c r="AM7" i="88"/>
  <c r="AU8" i="88"/>
  <c r="AM16" i="88"/>
  <c r="AM10" i="88"/>
  <c r="AN17" i="88"/>
  <c r="AL7" i="88"/>
  <c r="AL10" i="88"/>
  <c r="AN11" i="88"/>
  <c r="AM17" i="88"/>
  <c r="AN16" i="88"/>
  <c r="E14" i="85" l="1"/>
  <c r="E16" i="85"/>
  <c r="E9" i="85"/>
  <c r="E13" i="85"/>
  <c r="D8" i="85"/>
  <c r="E8" i="85"/>
  <c r="E12" i="85"/>
  <c r="AR9" i="88"/>
  <c r="AT9" i="88"/>
  <c r="AT13" i="88"/>
  <c r="AH7" i="88"/>
  <c r="AT7" i="88"/>
  <c r="AS17" i="88"/>
  <c r="AR17" i="88"/>
  <c r="AT17" i="88"/>
  <c r="AR14" i="88"/>
  <c r="AT14" i="88"/>
  <c r="AT15" i="88"/>
  <c r="AR13" i="88"/>
  <c r="AG7" i="88"/>
  <c r="AS14" i="88"/>
  <c r="AS16" i="88"/>
  <c r="AT16" i="88"/>
  <c r="C6" i="85"/>
  <c r="AS9" i="88"/>
  <c r="AS15" i="88"/>
  <c r="AS7" i="88"/>
  <c r="AR15" i="88"/>
  <c r="AR16" i="88"/>
  <c r="AU14" i="88"/>
  <c r="AR7" i="88"/>
  <c r="AR10" i="88"/>
  <c r="AR11" i="88"/>
  <c r="AT11" i="88"/>
  <c r="AS11" i="88"/>
  <c r="AT10" i="88"/>
  <c r="AU13" i="88"/>
  <c r="AS10" i="88"/>
  <c r="AI7" i="88"/>
  <c r="E6" i="85" s="1"/>
  <c r="AS13" i="88"/>
  <c r="AU9" i="88" l="1"/>
  <c r="AU11" i="88"/>
  <c r="AU16" i="88"/>
  <c r="AW15" i="88"/>
  <c r="AW17" i="88"/>
  <c r="AV10" i="88"/>
  <c r="AW14" i="88"/>
  <c r="AV13" i="88"/>
  <c r="AV7" i="88"/>
  <c r="AV17" i="88"/>
  <c r="AV11" i="88"/>
  <c r="AU17" i="88"/>
  <c r="AU10" i="88"/>
  <c r="AW16" i="88"/>
  <c r="AW11" i="88"/>
  <c r="AW7" i="88"/>
  <c r="AU15" i="88"/>
  <c r="AV16" i="88"/>
  <c r="AW13" i="88"/>
  <c r="AU7" i="88"/>
  <c r="AW9" i="88"/>
  <c r="D6" i="85"/>
  <c r="AV15" i="88"/>
  <c r="AW10" i="88"/>
  <c r="C17" i="85"/>
  <c r="AV14" i="88"/>
  <c r="AV9" i="88"/>
  <c r="D17" i="85" l="1"/>
  <c r="E17" i="85" l="1"/>
  <c r="C57" i="59" l="1"/>
  <c r="C58" i="59"/>
  <c r="C59" i="59"/>
  <c r="C60" i="59"/>
  <c r="C61" i="59"/>
  <c r="C62" i="59"/>
  <c r="C63" i="59"/>
  <c r="C64" i="59"/>
  <c r="C65" i="59"/>
  <c r="C56" i="59"/>
  <c r="B55" i="59"/>
  <c r="A55" i="59"/>
  <c r="B54" i="59"/>
  <c r="A54" i="59"/>
  <c r="B53" i="59"/>
  <c r="A53" i="59"/>
  <c r="B52" i="59"/>
  <c r="A52" i="59"/>
  <c r="B51" i="59"/>
  <c r="A51" i="59"/>
  <c r="B50" i="59"/>
  <c r="A50" i="59"/>
  <c r="B49" i="59"/>
  <c r="A49" i="59"/>
  <c r="B48" i="59"/>
  <c r="A48" i="59"/>
  <c r="B47" i="59"/>
  <c r="A47" i="59"/>
  <c r="B46" i="59"/>
  <c r="A46" i="59"/>
  <c r="B45" i="59"/>
  <c r="A45" i="59"/>
  <c r="B44" i="59"/>
  <c r="A44" i="59"/>
  <c r="B43" i="59"/>
  <c r="A43" i="59"/>
  <c r="B42" i="59"/>
  <c r="A42" i="59"/>
  <c r="B41" i="59"/>
  <c r="A41" i="59"/>
  <c r="B40" i="59"/>
  <c r="A40" i="59"/>
  <c r="B39" i="59"/>
  <c r="A39" i="59"/>
  <c r="B38" i="59"/>
  <c r="A38" i="59"/>
  <c r="B37" i="59"/>
  <c r="A37" i="59"/>
  <c r="B36" i="59"/>
  <c r="A36" i="59"/>
  <c r="B35" i="59"/>
  <c r="A35" i="59"/>
  <c r="B34" i="59"/>
  <c r="A34" i="59"/>
  <c r="B33" i="59"/>
  <c r="A33" i="59"/>
  <c r="B32" i="59"/>
  <c r="A32" i="59"/>
  <c r="B31" i="59"/>
  <c r="A31" i="59"/>
  <c r="B30" i="59"/>
  <c r="A30" i="59"/>
  <c r="B29" i="59"/>
  <c r="A29" i="59"/>
  <c r="B28" i="59"/>
  <c r="A28" i="59"/>
  <c r="B27" i="59"/>
  <c r="A27" i="59"/>
  <c r="B26" i="59"/>
  <c r="A26" i="59"/>
  <c r="B25" i="59"/>
  <c r="A25" i="59"/>
  <c r="B24" i="59"/>
  <c r="A24" i="59"/>
  <c r="B23" i="59"/>
  <c r="A23" i="59"/>
  <c r="B22" i="59"/>
  <c r="A22" i="59"/>
  <c r="B21" i="59"/>
  <c r="A21" i="59"/>
  <c r="B20" i="59"/>
  <c r="A20" i="59"/>
  <c r="B19" i="59"/>
  <c r="A19" i="59"/>
  <c r="B18" i="59"/>
  <c r="A18" i="59"/>
  <c r="B17" i="59"/>
  <c r="A17" i="59"/>
  <c r="B16" i="59"/>
  <c r="A16" i="59"/>
  <c r="B15" i="59"/>
  <c r="A15" i="59"/>
  <c r="B14" i="59"/>
  <c r="A14" i="59"/>
  <c r="B13" i="59"/>
  <c r="A13" i="59"/>
  <c r="B12" i="59"/>
  <c r="A12" i="59"/>
  <c r="B11" i="59"/>
  <c r="A11" i="59"/>
  <c r="B10" i="59"/>
  <c r="A10" i="59"/>
  <c r="B9" i="59"/>
  <c r="A9" i="59"/>
  <c r="B8" i="59"/>
  <c r="A8" i="59"/>
  <c r="B7" i="59"/>
  <c r="A7" i="59"/>
  <c r="B6" i="59"/>
  <c r="A6" i="59"/>
  <c r="C5" i="59"/>
  <c r="B5" i="59"/>
  <c r="A5" i="59"/>
  <c r="U4" i="59"/>
  <c r="T4" i="59" l="1"/>
  <c r="K236" i="64"/>
  <c r="L235" i="64"/>
  <c r="H235" i="64"/>
  <c r="I234" i="64"/>
  <c r="J233" i="64"/>
  <c r="K232" i="64"/>
  <c r="L231" i="64"/>
  <c r="H231" i="64"/>
  <c r="I230" i="64"/>
  <c r="J229" i="64"/>
  <c r="K228" i="64"/>
  <c r="L227" i="64"/>
  <c r="H227" i="64"/>
  <c r="I226" i="64"/>
  <c r="J225" i="64"/>
  <c r="K224" i="64"/>
  <c r="J236" i="64"/>
  <c r="K235" i="64"/>
  <c r="L234" i="64"/>
  <c r="H234" i="64"/>
  <c r="I233" i="64"/>
  <c r="J232" i="64"/>
  <c r="K231" i="64"/>
  <c r="L230" i="64"/>
  <c r="H230" i="64"/>
  <c r="I229" i="64"/>
  <c r="J228" i="64"/>
  <c r="K227" i="64"/>
  <c r="L226" i="64"/>
  <c r="H226" i="64"/>
  <c r="I225" i="64"/>
  <c r="J224" i="64"/>
  <c r="H224" i="64"/>
  <c r="I236" i="64"/>
  <c r="J235" i="64"/>
  <c r="K234" i="64"/>
  <c r="L233" i="64"/>
  <c r="H233" i="64"/>
  <c r="I232" i="64"/>
  <c r="J231" i="64"/>
  <c r="K230" i="64"/>
  <c r="L229" i="64"/>
  <c r="H229" i="64"/>
  <c r="I228" i="64"/>
  <c r="J227" i="64"/>
  <c r="K226" i="64"/>
  <c r="L225" i="64"/>
  <c r="H225" i="64"/>
  <c r="I224" i="64"/>
  <c r="L236" i="64"/>
  <c r="H236" i="64"/>
  <c r="I235" i="64"/>
  <c r="J234" i="64"/>
  <c r="K233" i="64"/>
  <c r="L232" i="64"/>
  <c r="H232" i="64"/>
  <c r="I231" i="64"/>
  <c r="J230" i="64"/>
  <c r="K229" i="64"/>
  <c r="L228" i="64"/>
  <c r="H228" i="64"/>
  <c r="I227" i="64"/>
  <c r="J226" i="64"/>
  <c r="K225" i="64"/>
  <c r="L224" i="64"/>
  <c r="A57" i="57" l="1"/>
  <c r="C55" i="59" s="1"/>
  <c r="A56" i="57"/>
  <c r="C54" i="59" s="1"/>
  <c r="A55" i="57"/>
  <c r="C53" i="59" s="1"/>
  <c r="A54" i="57"/>
  <c r="C52" i="59" s="1"/>
  <c r="A53" i="57"/>
  <c r="C51" i="59" s="1"/>
  <c r="A52" i="57"/>
  <c r="C50" i="59" s="1"/>
  <c r="A51" i="57"/>
  <c r="C49" i="59" s="1"/>
  <c r="A50" i="57"/>
  <c r="C48" i="59" s="1"/>
  <c r="A49" i="57"/>
  <c r="C47" i="59" s="1"/>
  <c r="A48" i="57"/>
  <c r="C46" i="59" s="1"/>
  <c r="A47" i="57"/>
  <c r="C45" i="59" s="1"/>
  <c r="A46" i="57"/>
  <c r="C44" i="59" s="1"/>
  <c r="A45" i="57"/>
  <c r="C43" i="59" s="1"/>
  <c r="A44" i="57"/>
  <c r="C42" i="59" s="1"/>
  <c r="A43" i="57"/>
  <c r="C41" i="59" s="1"/>
  <c r="A42" i="57"/>
  <c r="C40" i="59" s="1"/>
  <c r="A41" i="57"/>
  <c r="C39" i="59" s="1"/>
  <c r="A40" i="57"/>
  <c r="C38" i="59" s="1"/>
  <c r="A39" i="57"/>
  <c r="C37" i="59" s="1"/>
  <c r="A38" i="57"/>
  <c r="C36" i="59" s="1"/>
  <c r="A37" i="57"/>
  <c r="C35" i="59" s="1"/>
  <c r="A36" i="57"/>
  <c r="C34" i="59" s="1"/>
  <c r="A35" i="57"/>
  <c r="C33" i="59" s="1"/>
  <c r="A34" i="57"/>
  <c r="C32" i="59" s="1"/>
  <c r="A33" i="57"/>
  <c r="C31" i="59" s="1"/>
  <c r="A32" i="57"/>
  <c r="C30" i="59" s="1"/>
  <c r="A31" i="57"/>
  <c r="C29" i="59" s="1"/>
  <c r="A30" i="57"/>
  <c r="C28" i="59" s="1"/>
  <c r="A29" i="57"/>
  <c r="C27" i="59" s="1"/>
  <c r="A28" i="57"/>
  <c r="C26" i="59" s="1"/>
  <c r="A27" i="57"/>
  <c r="C25" i="59" s="1"/>
  <c r="A26" i="57"/>
  <c r="C24" i="59" s="1"/>
  <c r="A25" i="57"/>
  <c r="C23" i="59" s="1"/>
  <c r="A24" i="57"/>
  <c r="C22" i="59" s="1"/>
  <c r="A23" i="57"/>
  <c r="C21" i="59" s="1"/>
  <c r="A22" i="57"/>
  <c r="C20" i="59" s="1"/>
  <c r="A21" i="57"/>
  <c r="C19" i="59" s="1"/>
  <c r="A20" i="57"/>
  <c r="C18" i="59" s="1"/>
  <c r="A19" i="57"/>
  <c r="C17" i="59" s="1"/>
  <c r="A18" i="57"/>
  <c r="C16" i="59" s="1"/>
  <c r="A17" i="57"/>
  <c r="C15" i="59" s="1"/>
  <c r="A16" i="57"/>
  <c r="C14" i="59" s="1"/>
  <c r="A15" i="57"/>
  <c r="C13" i="59" s="1"/>
  <c r="A14" i="57"/>
  <c r="C12" i="59" s="1"/>
  <c r="A13" i="57"/>
  <c r="C11" i="59" s="1"/>
  <c r="A12" i="57"/>
  <c r="C10" i="59" s="1"/>
  <c r="A11" i="57"/>
  <c r="C9" i="59" s="1"/>
  <c r="A10" i="57"/>
  <c r="C8" i="59" s="1"/>
  <c r="A9" i="57"/>
  <c r="C7" i="59" s="1"/>
  <c r="A8" i="57"/>
  <c r="J151" i="64" l="1"/>
  <c r="K147" i="64"/>
  <c r="L138" i="64"/>
  <c r="H138" i="64"/>
  <c r="I134" i="64"/>
  <c r="J125" i="64"/>
  <c r="K121" i="64"/>
  <c r="J177" i="64"/>
  <c r="K173" i="64"/>
  <c r="L164" i="64"/>
  <c r="H164" i="64"/>
  <c r="I160" i="64"/>
  <c r="J112" i="64"/>
  <c r="K108" i="64"/>
  <c r="J99" i="64"/>
  <c r="K95" i="64"/>
  <c r="L86" i="64"/>
  <c r="H86" i="64"/>
  <c r="I82" i="64"/>
  <c r="J73" i="64"/>
  <c r="K69" i="64"/>
  <c r="L60" i="64"/>
  <c r="H60" i="64"/>
  <c r="I56" i="64"/>
  <c r="J47" i="64"/>
  <c r="K43" i="64"/>
  <c r="I151" i="64"/>
  <c r="J147" i="64"/>
  <c r="K138" i="64"/>
  <c r="L134" i="64"/>
  <c r="H134" i="64"/>
  <c r="I125" i="64"/>
  <c r="J121" i="64"/>
  <c r="I177" i="64"/>
  <c r="J173" i="64"/>
  <c r="K164" i="64"/>
  <c r="L160" i="64"/>
  <c r="H160" i="64"/>
  <c r="I112" i="64"/>
  <c r="J108" i="64"/>
  <c r="I99" i="64"/>
  <c r="J95" i="64"/>
  <c r="K86" i="64"/>
  <c r="L82" i="64"/>
  <c r="H82" i="64"/>
  <c r="I73" i="64"/>
  <c r="J69" i="64"/>
  <c r="K60" i="64"/>
  <c r="L56" i="64"/>
  <c r="H56" i="64"/>
  <c r="L151" i="64"/>
  <c r="H151" i="64"/>
  <c r="I147" i="64"/>
  <c r="J138" i="64"/>
  <c r="K134" i="64"/>
  <c r="L125" i="64"/>
  <c r="H125" i="64"/>
  <c r="I121" i="64"/>
  <c r="L177" i="64"/>
  <c r="H177" i="64"/>
  <c r="I173" i="64"/>
  <c r="J164" i="64"/>
  <c r="K160" i="64"/>
  <c r="L112" i="64"/>
  <c r="H112" i="64"/>
  <c r="I108" i="64"/>
  <c r="L99" i="64"/>
  <c r="H99" i="64"/>
  <c r="I95" i="64"/>
  <c r="J86" i="64"/>
  <c r="K82" i="64"/>
  <c r="L73" i="64"/>
  <c r="H73" i="64"/>
  <c r="I69" i="64"/>
  <c r="J60" i="64"/>
  <c r="K56" i="64"/>
  <c r="L47" i="64"/>
  <c r="H47" i="64"/>
  <c r="I43" i="64"/>
  <c r="H43" i="64"/>
  <c r="I47" i="64"/>
  <c r="K151" i="64"/>
  <c r="L147" i="64"/>
  <c r="H147" i="64"/>
  <c r="I138" i="64"/>
  <c r="J134" i="64"/>
  <c r="K125" i="64"/>
  <c r="L121" i="64"/>
  <c r="H121" i="64"/>
  <c r="K177" i="64"/>
  <c r="L173" i="64"/>
  <c r="H173" i="64"/>
  <c r="I164" i="64"/>
  <c r="J160" i="64"/>
  <c r="K112" i="64"/>
  <c r="L108" i="64"/>
  <c r="H108" i="64"/>
  <c r="K99" i="64"/>
  <c r="L95" i="64"/>
  <c r="H95" i="64"/>
  <c r="I86" i="64"/>
  <c r="J82" i="64"/>
  <c r="K73" i="64"/>
  <c r="L69" i="64"/>
  <c r="H69" i="64"/>
  <c r="I60" i="64"/>
  <c r="J56" i="64"/>
  <c r="K47" i="64"/>
  <c r="L43" i="64"/>
  <c r="J43" i="64"/>
  <c r="C6" i="59"/>
  <c r="AQ17" i="88" l="1"/>
  <c r="AQ11" i="88"/>
  <c r="AQ10" i="88"/>
  <c r="AQ16" i="88"/>
  <c r="AQ14" i="88"/>
  <c r="AP14" i="88" l="1"/>
  <c r="AP16" i="88"/>
  <c r="AO14" i="88"/>
  <c r="AO17" i="88"/>
  <c r="AO11" i="88"/>
  <c r="AP10" i="88"/>
  <c r="AP11" i="88"/>
  <c r="AP17" i="88"/>
  <c r="AO16" i="88"/>
  <c r="AO10" i="88"/>
  <c r="AP7" i="88" l="1"/>
  <c r="AQ7" i="88"/>
  <c r="AO7" i="88"/>
  <c r="AP15" i="88" l="1"/>
  <c r="AQ15" i="88"/>
  <c r="AO15" i="88"/>
  <c r="AP8" i="88" l="1"/>
  <c r="AQ8" i="88"/>
  <c r="AO8" i="88"/>
  <c r="AP9" i="88" l="1"/>
  <c r="AQ9" i="88"/>
  <c r="AO9" i="88"/>
  <c r="AP12" i="88" l="1"/>
  <c r="AQ12" i="88"/>
  <c r="AO12" i="88"/>
  <c r="AP13" i="88" l="1"/>
  <c r="AQ13" i="88"/>
  <c r="AO13" i="88"/>
  <c r="AE16" i="59" l="1"/>
  <c r="H350" i="64" l="1"/>
  <c r="H363" i="64" l="1"/>
  <c r="H376" i="64"/>
  <c r="L88" i="64" l="1"/>
  <c r="H88" i="64" l="1"/>
  <c r="K88" i="64" l="1"/>
  <c r="I88" i="64" l="1"/>
  <c r="J88" i="64" l="1"/>
  <c r="J385" i="64" l="1"/>
  <c r="I385" i="64"/>
  <c r="J390" i="64"/>
  <c r="J380" i="64"/>
  <c r="I381" i="64"/>
  <c r="K390" i="64"/>
  <c r="K380" i="64"/>
  <c r="H385" i="64"/>
  <c r="L390" i="64"/>
  <c r="H390" i="64"/>
  <c r="L381" i="64"/>
  <c r="L385" i="64"/>
  <c r="H381" i="64"/>
  <c r="K385" i="64"/>
  <c r="J381" i="64"/>
  <c r="I380" i="64"/>
  <c r="L380" i="64"/>
  <c r="I390" i="64"/>
  <c r="H380" i="64"/>
  <c r="K381" i="64"/>
  <c r="H382" i="64" l="1"/>
  <c r="K391" i="64"/>
  <c r="K383" i="64"/>
  <c r="K389" i="64"/>
  <c r="H391" i="64"/>
  <c r="L384" i="64"/>
  <c r="I391" i="64"/>
  <c r="I392" i="64"/>
  <c r="J382" i="64"/>
  <c r="I388" i="64"/>
  <c r="H383" i="64"/>
  <c r="L383" i="64"/>
  <c r="L389" i="64"/>
  <c r="J388" i="64"/>
  <c r="J384" i="64"/>
  <c r="L388" i="64"/>
  <c r="L392" i="64"/>
  <c r="K388" i="64"/>
  <c r="J389" i="64"/>
  <c r="K382" i="64"/>
  <c r="J391" i="64"/>
  <c r="J392" i="64"/>
  <c r="H388" i="64"/>
  <c r="I384" i="64"/>
  <c r="J383" i="64"/>
  <c r="L382" i="64"/>
  <c r="H384" i="64"/>
  <c r="K392" i="64"/>
  <c r="K384" i="64"/>
  <c r="I383" i="64"/>
  <c r="I389" i="64"/>
  <c r="H389" i="64"/>
  <c r="L391" i="64"/>
  <c r="H392" i="64"/>
  <c r="I382" i="64"/>
  <c r="L416" i="64" l="1"/>
  <c r="I407" i="64"/>
  <c r="I398" i="64"/>
  <c r="L411" i="64"/>
  <c r="J416" i="64"/>
  <c r="L393" i="64"/>
  <c r="J393" i="64"/>
  <c r="J398" i="64"/>
  <c r="H411" i="64"/>
  <c r="H406" i="64"/>
  <c r="I416" i="64"/>
  <c r="I393" i="64"/>
  <c r="K416" i="64"/>
  <c r="J394" i="64"/>
  <c r="J403" i="64"/>
  <c r="L406" i="64"/>
  <c r="J406" i="64"/>
  <c r="J407" i="64"/>
  <c r="K394" i="64"/>
  <c r="H407" i="64"/>
  <c r="I394" i="64"/>
  <c r="J411" i="64"/>
  <c r="I411" i="64"/>
  <c r="K398" i="64"/>
  <c r="H398" i="64"/>
  <c r="H393" i="64"/>
  <c r="L407" i="64"/>
  <c r="L398" i="64"/>
  <c r="H403" i="64"/>
  <c r="K393" i="64"/>
  <c r="L403" i="64"/>
  <c r="H394" i="64"/>
  <c r="K411" i="64"/>
  <c r="I403" i="64"/>
  <c r="L394" i="64"/>
  <c r="K406" i="64"/>
  <c r="I406" i="64"/>
  <c r="K403" i="64"/>
  <c r="K407" i="64"/>
  <c r="H416" i="64"/>
  <c r="K404" i="64" l="1"/>
  <c r="I408" i="64"/>
  <c r="I404" i="64"/>
  <c r="L396" i="64"/>
  <c r="J410" i="64"/>
  <c r="K397" i="64"/>
  <c r="K418" i="64"/>
  <c r="J405" i="64"/>
  <c r="J414" i="64"/>
  <c r="L401" i="64"/>
  <c r="L418" i="64"/>
  <c r="J417" i="64"/>
  <c r="H409" i="64"/>
  <c r="I401" i="64"/>
  <c r="K408" i="64"/>
  <c r="H417" i="64"/>
  <c r="H401" i="64"/>
  <c r="I410" i="64"/>
  <c r="H408" i="64"/>
  <c r="I417" i="64"/>
  <c r="H402" i="64"/>
  <c r="J418" i="64"/>
  <c r="J401" i="64"/>
  <c r="H397" i="64"/>
  <c r="J415" i="64"/>
  <c r="J408" i="64"/>
  <c r="I395" i="64"/>
  <c r="H395" i="64"/>
  <c r="H415" i="64"/>
  <c r="K414" i="64"/>
  <c r="J397" i="64"/>
  <c r="L410" i="64"/>
  <c r="I418" i="64"/>
  <c r="L405" i="64"/>
  <c r="L395" i="64"/>
  <c r="L402" i="64"/>
  <c r="I402" i="64"/>
  <c r="H396" i="64"/>
  <c r="I414" i="64"/>
  <c r="K396" i="64"/>
  <c r="K395" i="64"/>
  <c r="J409" i="64"/>
  <c r="H418" i="64"/>
  <c r="I397" i="64"/>
  <c r="K417" i="64"/>
  <c r="L404" i="64"/>
  <c r="K410" i="64"/>
  <c r="I405" i="64"/>
  <c r="L408" i="64"/>
  <c r="K402" i="64"/>
  <c r="I396" i="64"/>
  <c r="H414" i="64"/>
  <c r="H405" i="64"/>
  <c r="L417" i="64"/>
  <c r="J395" i="64"/>
  <c r="L409" i="64"/>
  <c r="K401" i="64"/>
  <c r="L397" i="64"/>
  <c r="K405" i="64"/>
  <c r="L414" i="64"/>
  <c r="J404" i="64"/>
  <c r="L415" i="64"/>
  <c r="I415" i="64"/>
  <c r="H410" i="64"/>
  <c r="J402" i="64"/>
  <c r="K409" i="64"/>
  <c r="H404" i="64"/>
  <c r="K415" i="64"/>
  <c r="I409" i="64"/>
  <c r="J396" i="64"/>
  <c r="K4" i="59" l="1"/>
  <c r="J4" i="59"/>
  <c r="I4" i="59"/>
  <c r="G4" i="59"/>
  <c r="F4" i="59"/>
  <c r="E4" i="59"/>
  <c r="D4" i="59"/>
  <c r="I222" i="64" l="1"/>
  <c r="H219" i="64"/>
  <c r="L215" i="64"/>
  <c r="K212" i="64"/>
  <c r="L222" i="64"/>
  <c r="K219" i="64"/>
  <c r="J216" i="64"/>
  <c r="I213" i="64"/>
  <c r="K222" i="64"/>
  <c r="J219" i="64"/>
  <c r="I216" i="64"/>
  <c r="H213" i="64"/>
  <c r="J222" i="64"/>
  <c r="I219" i="64"/>
  <c r="H216" i="64"/>
  <c r="L212" i="64"/>
  <c r="H223" i="64"/>
  <c r="L219" i="64"/>
  <c r="K216" i="64"/>
  <c r="J213" i="64"/>
  <c r="K223" i="64"/>
  <c r="J220" i="64"/>
  <c r="I217" i="64"/>
  <c r="H214" i="64"/>
  <c r="J223" i="64"/>
  <c r="I220" i="64"/>
  <c r="H217" i="64"/>
  <c r="L213" i="64"/>
  <c r="I223" i="64"/>
  <c r="H220" i="64"/>
  <c r="L216" i="64"/>
  <c r="K213" i="64"/>
  <c r="H4" i="59"/>
  <c r="J221" i="64"/>
  <c r="I218" i="64"/>
  <c r="H215" i="64"/>
  <c r="L211" i="64"/>
  <c r="H222" i="64"/>
  <c r="L218" i="64"/>
  <c r="K215" i="64"/>
  <c r="J212" i="64"/>
  <c r="L221" i="64"/>
  <c r="K218" i="64"/>
  <c r="J215" i="64"/>
  <c r="I212" i="64"/>
  <c r="K221" i="64"/>
  <c r="J218" i="64"/>
  <c r="I215" i="64"/>
  <c r="H212" i="64"/>
  <c r="L223" i="64"/>
  <c r="K220" i="64"/>
  <c r="J217" i="64"/>
  <c r="I214" i="64"/>
  <c r="H211" i="64"/>
  <c r="I221" i="64"/>
  <c r="H218" i="64"/>
  <c r="L214" i="64"/>
  <c r="K211" i="64"/>
  <c r="H221" i="64"/>
  <c r="L217" i="64"/>
  <c r="K214" i="64"/>
  <c r="J211" i="64"/>
  <c r="L220" i="64"/>
  <c r="K217" i="64"/>
  <c r="J214" i="64"/>
  <c r="I211" i="64"/>
  <c r="L127" i="64" l="1"/>
  <c r="I140" i="64"/>
  <c r="I153" i="64"/>
  <c r="K62" i="64"/>
  <c r="H62" i="64"/>
  <c r="L114" i="64"/>
  <c r="I166" i="64"/>
  <c r="K166" i="64"/>
  <c r="J127" i="64"/>
  <c r="K127" i="64"/>
  <c r="J140" i="64"/>
  <c r="H153" i="64"/>
  <c r="K153" i="64"/>
  <c r="L62" i="64"/>
  <c r="H114" i="64"/>
  <c r="L166" i="64"/>
  <c r="I127" i="64"/>
  <c r="H127" i="64"/>
  <c r="H140" i="64"/>
  <c r="K140" i="64"/>
  <c r="I62" i="64"/>
  <c r="J114" i="64"/>
  <c r="H166" i="64"/>
  <c r="L140" i="64"/>
  <c r="J153" i="64"/>
  <c r="L153" i="64"/>
  <c r="J62" i="64"/>
  <c r="K114" i="64"/>
  <c r="I114" i="64"/>
  <c r="J166" i="64"/>
  <c r="H101" i="64" l="1"/>
  <c r="L49" i="64"/>
  <c r="J101" i="64"/>
  <c r="L75" i="64"/>
  <c r="I75" i="64"/>
  <c r="K75" i="64"/>
  <c r="H49" i="64"/>
  <c r="I101" i="64"/>
  <c r="K101" i="64"/>
  <c r="J75" i="64"/>
  <c r="L179" i="64"/>
  <c r="I49" i="64"/>
  <c r="K49" i="64"/>
  <c r="L101" i="64"/>
  <c r="J49" i="64"/>
  <c r="H75" i="64"/>
  <c r="H179" i="64" l="1"/>
  <c r="K179" i="64" l="1"/>
  <c r="I179" i="64" l="1"/>
  <c r="J179" i="64" l="1"/>
  <c r="M30" i="57" l="1"/>
  <c r="J167" i="64"/>
  <c r="M32" i="57"/>
  <c r="L167" i="64"/>
  <c r="M29" i="57"/>
  <c r="I167" i="64"/>
  <c r="M31" i="57"/>
  <c r="K167" i="64"/>
  <c r="M28" i="57"/>
  <c r="H167" i="64"/>
  <c r="M12" i="57" l="1"/>
  <c r="L159" i="64"/>
  <c r="H159" i="64"/>
  <c r="M8" i="57"/>
  <c r="M10" i="57"/>
  <c r="J159" i="64"/>
  <c r="M9" i="57"/>
  <c r="I159" i="64"/>
  <c r="M11" i="57"/>
  <c r="K159" i="64"/>
  <c r="M52" i="57" l="1"/>
  <c r="L171" i="64"/>
  <c r="M24" i="57"/>
  <c r="I163" i="64"/>
  <c r="M55" i="57"/>
  <c r="J165" i="64"/>
  <c r="M40" i="57"/>
  <c r="J169" i="64"/>
  <c r="M50" i="57"/>
  <c r="J171" i="64"/>
  <c r="M51" i="57"/>
  <c r="K171" i="64"/>
  <c r="M37" i="57"/>
  <c r="L168" i="64"/>
  <c r="M33" i="57"/>
  <c r="H168" i="64"/>
  <c r="M44" i="57"/>
  <c r="I170" i="64"/>
  <c r="M47" i="57"/>
  <c r="L170" i="64"/>
  <c r="M21" i="57"/>
  <c r="K162" i="64"/>
  <c r="M46" i="57"/>
  <c r="K170" i="64"/>
  <c r="M18" i="57"/>
  <c r="H162" i="64"/>
  <c r="M39" i="57"/>
  <c r="I169" i="64"/>
  <c r="M48" i="57"/>
  <c r="H171" i="64"/>
  <c r="M49" i="57"/>
  <c r="I171" i="64"/>
  <c r="M34" i="57"/>
  <c r="I168" i="64"/>
  <c r="M36" i="57"/>
  <c r="K168" i="64"/>
  <c r="M43" i="57"/>
  <c r="H170" i="64"/>
  <c r="M26" i="57"/>
  <c r="K163" i="64"/>
  <c r="M53" i="57"/>
  <c r="H165" i="64"/>
  <c r="M54" i="57"/>
  <c r="I165" i="64"/>
  <c r="M38" i="57"/>
  <c r="H169" i="64"/>
  <c r="M20" i="57"/>
  <c r="J162" i="64"/>
  <c r="M23" i="57"/>
  <c r="H163" i="64"/>
  <c r="M57" i="57"/>
  <c r="L165" i="64"/>
  <c r="M41" i="57"/>
  <c r="K169" i="64"/>
  <c r="M42" i="57"/>
  <c r="L169" i="64"/>
  <c r="M35" i="57"/>
  <c r="J168" i="64"/>
  <c r="M45" i="57"/>
  <c r="J170" i="64"/>
  <c r="M19" i="57"/>
  <c r="I162" i="64"/>
  <c r="M22" i="57"/>
  <c r="L162" i="64"/>
  <c r="M25" i="57"/>
  <c r="J163" i="64"/>
  <c r="M27" i="57"/>
  <c r="L163" i="64"/>
  <c r="M56" i="57"/>
  <c r="K165" i="64"/>
  <c r="M16" i="57" l="1"/>
  <c r="K161" i="64"/>
  <c r="M15" i="57"/>
  <c r="J161" i="64"/>
  <c r="M14" i="57"/>
  <c r="I161" i="64"/>
  <c r="M17" i="57"/>
  <c r="L161" i="64"/>
  <c r="M13" i="57"/>
  <c r="H161" i="64"/>
  <c r="I197" i="64" l="1"/>
  <c r="K197" i="64"/>
  <c r="H197" i="64"/>
  <c r="H188" i="64"/>
  <c r="L187" i="64"/>
  <c r="L186" i="64"/>
  <c r="J186" i="64"/>
  <c r="K186" i="64"/>
  <c r="J197" i="64"/>
  <c r="I189" i="64"/>
  <c r="K189" i="64"/>
  <c r="H189" i="64"/>
  <c r="K192" i="64"/>
  <c r="J188" i="64"/>
  <c r="L188" i="64"/>
  <c r="I188" i="64"/>
  <c r="J189" i="64"/>
  <c r="K187" i="64"/>
  <c r="J187" i="64"/>
  <c r="J190" i="64"/>
  <c r="J192" i="64"/>
  <c r="I192" i="64"/>
  <c r="H192" i="64"/>
  <c r="I190" i="64"/>
  <c r="H194" i="64"/>
  <c r="J194" i="64"/>
  <c r="L193" i="64"/>
  <c r="J185" i="64"/>
  <c r="J196" i="64"/>
  <c r="L196" i="64"/>
  <c r="I196" i="64"/>
  <c r="H195" i="64"/>
  <c r="H186" i="64"/>
  <c r="K185" i="64"/>
  <c r="L185" i="64"/>
  <c r="I194" i="64"/>
  <c r="I185" i="64"/>
  <c r="L197" i="64"/>
  <c r="H185" i="64"/>
  <c r="H191" i="64"/>
  <c r="I187" i="64"/>
  <c r="I186" i="64"/>
  <c r="H190" i="64"/>
  <c r="L195" i="64"/>
  <c r="L192" i="64"/>
  <c r="K191" i="64"/>
  <c r="J191" i="64"/>
  <c r="L190" i="64"/>
  <c r="I191" i="64"/>
  <c r="K190" i="64"/>
  <c r="H187" i="64"/>
  <c r="I193" i="64"/>
  <c r="K193" i="64"/>
  <c r="H193" i="64"/>
  <c r="K196" i="64"/>
  <c r="K195" i="64"/>
  <c r="H196" i="64"/>
  <c r="J195" i="64"/>
  <c r="L191" i="64"/>
  <c r="L194" i="64"/>
  <c r="I195" i="64"/>
  <c r="K194" i="64"/>
  <c r="K188" i="64"/>
  <c r="G12" i="73"/>
  <c r="L189" i="64"/>
  <c r="J193" i="64"/>
  <c r="J207" i="64"/>
  <c r="K209" i="64"/>
  <c r="L207" i="64"/>
  <c r="H210" i="64"/>
  <c r="J203" i="64"/>
  <c r="K205" i="64"/>
  <c r="H202" i="64"/>
  <c r="K200" i="64"/>
  <c r="H203" i="64"/>
  <c r="H204" i="64"/>
  <c r="I202" i="64"/>
  <c r="J199" i="64"/>
  <c r="K201" i="64"/>
  <c r="H206" i="64"/>
  <c r="K198" i="64"/>
  <c r="L198" i="64"/>
  <c r="L199" i="64"/>
  <c r="H201" i="64"/>
  <c r="L209" i="64"/>
  <c r="I199" i="64"/>
  <c r="I198" i="64"/>
  <c r="J204" i="64"/>
  <c r="H208" i="64"/>
  <c r="H199" i="64"/>
  <c r="H200" i="64"/>
  <c r="K206" i="64"/>
  <c r="I209" i="64"/>
  <c r="J205" i="64"/>
  <c r="L203" i="64"/>
  <c r="L204" i="64"/>
  <c r="H205" i="64"/>
  <c r="J201" i="64"/>
  <c r="I204" i="64"/>
  <c r="J206" i="64"/>
  <c r="K203" i="64"/>
  <c r="I206" i="64"/>
  <c r="I200" i="64"/>
  <c r="J202" i="64"/>
  <c r="K207" i="64"/>
  <c r="K204" i="64"/>
  <c r="I208" i="64"/>
  <c r="I205" i="64"/>
  <c r="H209" i="64"/>
  <c r="K208" i="64"/>
  <c r="J198" i="64"/>
  <c r="K199" i="64"/>
  <c r="I207" i="64"/>
  <c r="H198" i="64"/>
  <c r="I203" i="64"/>
  <c r="L210" i="64"/>
  <c r="I210" i="64"/>
  <c r="I201" i="64"/>
  <c r="L201" i="64"/>
  <c r="L205" i="64"/>
  <c r="L206" i="64"/>
  <c r="L200" i="64"/>
  <c r="J208" i="64"/>
  <c r="K210" i="64"/>
  <c r="L202" i="64"/>
  <c r="L208" i="64"/>
  <c r="H207" i="64"/>
  <c r="J210" i="64"/>
  <c r="K202" i="64"/>
  <c r="J200" i="64"/>
  <c r="J209" i="64"/>
  <c r="E11" i="57" l="1"/>
  <c r="K55" i="64"/>
  <c r="F8" i="57"/>
  <c r="H68" i="64"/>
  <c r="F10" i="57"/>
  <c r="J68" i="64"/>
  <c r="K10" i="57"/>
  <c r="J133" i="64"/>
  <c r="F12" i="57"/>
  <c r="L68" i="64"/>
  <c r="L55" i="64"/>
  <c r="E12" i="57"/>
  <c r="F9" i="57"/>
  <c r="I68" i="64"/>
  <c r="K12" i="57"/>
  <c r="L133" i="64"/>
  <c r="K68" i="64"/>
  <c r="F11" i="57"/>
  <c r="E10" i="57"/>
  <c r="J55" i="64"/>
  <c r="K9" i="57"/>
  <c r="I133" i="64"/>
  <c r="K8" i="57"/>
  <c r="H133" i="64"/>
  <c r="I55" i="64"/>
  <c r="E9" i="57"/>
  <c r="H55" i="64"/>
  <c r="E8" i="57"/>
  <c r="K11" i="57"/>
  <c r="K133" i="64"/>
  <c r="J9" i="57" l="1"/>
  <c r="I120" i="64"/>
  <c r="H11" i="57"/>
  <c r="K94" i="64"/>
  <c r="I107" i="64"/>
  <c r="I9" i="57"/>
  <c r="H146" i="64"/>
  <c r="L8" i="57"/>
  <c r="K6" i="59" s="1"/>
  <c r="H10" i="57"/>
  <c r="J94" i="64"/>
  <c r="I42" i="64"/>
  <c r="D9" i="57"/>
  <c r="I94" i="64"/>
  <c r="H9" i="57"/>
  <c r="D7" i="59" s="1"/>
  <c r="L12" i="57"/>
  <c r="L146" i="64"/>
  <c r="K42" i="64"/>
  <c r="D11" i="57"/>
  <c r="H12" i="57"/>
  <c r="L94" i="64"/>
  <c r="L9" i="57"/>
  <c r="K7" i="59" s="1"/>
  <c r="I146" i="64"/>
  <c r="J146" i="64"/>
  <c r="L10" i="57"/>
  <c r="I8" i="57"/>
  <c r="H107" i="64"/>
  <c r="J8" i="57"/>
  <c r="H120" i="64"/>
  <c r="G6" i="59"/>
  <c r="F6" i="59"/>
  <c r="K146" i="64"/>
  <c r="L11" i="57"/>
  <c r="G9" i="59" s="1"/>
  <c r="E7" i="59"/>
  <c r="D12" i="57"/>
  <c r="L42" i="64"/>
  <c r="J120" i="64"/>
  <c r="J10" i="57"/>
  <c r="J8" i="59" s="1"/>
  <c r="D8" i="57"/>
  <c r="H42" i="64"/>
  <c r="D10" i="57"/>
  <c r="J42" i="64"/>
  <c r="H8" i="57"/>
  <c r="H94" i="64"/>
  <c r="J12" i="57"/>
  <c r="F10" i="59" s="1"/>
  <c r="L120" i="64"/>
  <c r="I10" i="57"/>
  <c r="J107" i="64"/>
  <c r="J11" i="57"/>
  <c r="K120" i="64"/>
  <c r="I12" i="57"/>
  <c r="E10" i="59" s="1"/>
  <c r="L107" i="64"/>
  <c r="I11" i="57"/>
  <c r="D9" i="59" s="1"/>
  <c r="K107" i="64"/>
  <c r="F7" i="59"/>
  <c r="J7" i="59"/>
  <c r="G7" i="59"/>
  <c r="G10" i="59"/>
  <c r="K10" i="59"/>
  <c r="G8" i="59"/>
  <c r="K8" i="59"/>
  <c r="D8" i="59" l="1"/>
  <c r="F8" i="59"/>
  <c r="N6" i="59"/>
  <c r="E9" i="59"/>
  <c r="M9" i="59" s="1"/>
  <c r="K9" i="59"/>
  <c r="D6" i="59"/>
  <c r="M7" i="59"/>
  <c r="G25" i="57"/>
  <c r="J85" i="64"/>
  <c r="H93" i="64"/>
  <c r="G48" i="57"/>
  <c r="G20" i="57"/>
  <c r="J84" i="64"/>
  <c r="H91" i="64"/>
  <c r="G38" i="57"/>
  <c r="G33" i="57"/>
  <c r="H90" i="64"/>
  <c r="L89" i="64"/>
  <c r="G32" i="57"/>
  <c r="G46" i="57"/>
  <c r="K92" i="64"/>
  <c r="I141" i="64"/>
  <c r="K29" i="57"/>
  <c r="K30" i="57"/>
  <c r="J141" i="64"/>
  <c r="E8" i="59"/>
  <c r="L92" i="64"/>
  <c r="G47" i="57"/>
  <c r="L85" i="64"/>
  <c r="G27" i="57"/>
  <c r="G21" i="57"/>
  <c r="K84" i="64"/>
  <c r="J92" i="64"/>
  <c r="G45" i="57"/>
  <c r="K91" i="64"/>
  <c r="G41" i="57"/>
  <c r="G24" i="57"/>
  <c r="I85" i="64"/>
  <c r="G44" i="57"/>
  <c r="I92" i="64"/>
  <c r="K90" i="64"/>
  <c r="G36" i="57"/>
  <c r="G18" i="57"/>
  <c r="H84" i="64"/>
  <c r="H141" i="64"/>
  <c r="K28" i="57"/>
  <c r="K32" i="57"/>
  <c r="L141" i="64"/>
  <c r="N10" i="59"/>
  <c r="G42" i="57"/>
  <c r="L91" i="64"/>
  <c r="J93" i="64"/>
  <c r="G50" i="57"/>
  <c r="G35" i="57"/>
  <c r="J90" i="64"/>
  <c r="L90" i="64"/>
  <c r="G37" i="57"/>
  <c r="G23" i="57"/>
  <c r="H85" i="64"/>
  <c r="Q8" i="59"/>
  <c r="Q7" i="59"/>
  <c r="J9" i="59"/>
  <c r="D10" i="59"/>
  <c r="M10" i="59" s="1"/>
  <c r="E6" i="59"/>
  <c r="M6" i="59" s="1"/>
  <c r="G52" i="57"/>
  <c r="L93" i="64"/>
  <c r="G49" i="57"/>
  <c r="I93" i="64"/>
  <c r="I90" i="64"/>
  <c r="G34" i="57"/>
  <c r="G43" i="57"/>
  <c r="H92" i="64"/>
  <c r="J36" i="57"/>
  <c r="K129" i="64"/>
  <c r="G19" i="57"/>
  <c r="I84" i="64"/>
  <c r="K85" i="64"/>
  <c r="G26" i="57"/>
  <c r="G51" i="57"/>
  <c r="K93" i="64"/>
  <c r="L84" i="64"/>
  <c r="G22" i="57"/>
  <c r="K31" i="57"/>
  <c r="K141" i="64"/>
  <c r="N8" i="59"/>
  <c r="J10" i="59"/>
  <c r="Q10" i="59" s="1"/>
  <c r="N7" i="59"/>
  <c r="O7" i="59" s="1"/>
  <c r="F9" i="59"/>
  <c r="N9" i="59" s="1"/>
  <c r="J6" i="59"/>
  <c r="Q6" i="59" s="1"/>
  <c r="M8" i="59" l="1"/>
  <c r="H34" i="59"/>
  <c r="Q9" i="59"/>
  <c r="U9" i="59" s="1"/>
  <c r="R10" i="59"/>
  <c r="U8" i="59"/>
  <c r="O8" i="59"/>
  <c r="B8" i="92"/>
  <c r="U6" i="59"/>
  <c r="O6" i="59"/>
  <c r="E53" i="57"/>
  <c r="H61" i="64"/>
  <c r="D56" i="57"/>
  <c r="K48" i="64"/>
  <c r="D57" i="57"/>
  <c r="L48" i="64"/>
  <c r="N51" i="57"/>
  <c r="K184" i="64"/>
  <c r="N20" i="57"/>
  <c r="J175" i="64"/>
  <c r="J25" i="57"/>
  <c r="H23" i="59" s="1"/>
  <c r="J124" i="64"/>
  <c r="J26" i="57"/>
  <c r="H24" i="59" s="1"/>
  <c r="K124" i="64"/>
  <c r="N33" i="57"/>
  <c r="H181" i="64"/>
  <c r="N47" i="57"/>
  <c r="L183" i="64"/>
  <c r="L46" i="57"/>
  <c r="K157" i="64"/>
  <c r="L30" i="57"/>
  <c r="J154" i="64"/>
  <c r="I29" i="57"/>
  <c r="I115" i="64"/>
  <c r="I38" i="57"/>
  <c r="H117" i="64"/>
  <c r="I42" i="57"/>
  <c r="L117" i="64"/>
  <c r="L41" i="57"/>
  <c r="K156" i="64"/>
  <c r="J40" i="57"/>
  <c r="J130" i="64"/>
  <c r="J41" i="57"/>
  <c r="H39" i="59" s="1"/>
  <c r="K130" i="64"/>
  <c r="L50" i="57"/>
  <c r="J158" i="64"/>
  <c r="K18" i="57"/>
  <c r="H136" i="64"/>
  <c r="J21" i="57"/>
  <c r="H19" i="59" s="1"/>
  <c r="K123" i="64"/>
  <c r="L19" i="57"/>
  <c r="I149" i="64"/>
  <c r="J49" i="57"/>
  <c r="H47" i="59" s="1"/>
  <c r="I132" i="64"/>
  <c r="K25" i="57"/>
  <c r="J137" i="64"/>
  <c r="K23" i="57"/>
  <c r="H137" i="64"/>
  <c r="K46" i="57"/>
  <c r="K144" i="64"/>
  <c r="K43" i="57"/>
  <c r="H144" i="64"/>
  <c r="K37" i="57"/>
  <c r="L142" i="64"/>
  <c r="K33" i="57"/>
  <c r="H142" i="64"/>
  <c r="K51" i="57"/>
  <c r="K145" i="64"/>
  <c r="K52" i="57"/>
  <c r="L145" i="64"/>
  <c r="L34" i="57"/>
  <c r="I155" i="64"/>
  <c r="L36" i="57"/>
  <c r="K155" i="64"/>
  <c r="L25" i="57"/>
  <c r="J150" i="64"/>
  <c r="N25" i="57"/>
  <c r="J176" i="64"/>
  <c r="N23" i="57"/>
  <c r="I21" i="59" s="1"/>
  <c r="H176" i="64"/>
  <c r="I50" i="57"/>
  <c r="J119" i="64"/>
  <c r="F31" i="57"/>
  <c r="K76" i="64"/>
  <c r="C8" i="92"/>
  <c r="E56" i="57"/>
  <c r="K61" i="64"/>
  <c r="D50" i="57"/>
  <c r="J54" i="64"/>
  <c r="E55" i="57"/>
  <c r="J61" i="64"/>
  <c r="E57" i="57"/>
  <c r="L61" i="64"/>
  <c r="N18" i="57"/>
  <c r="I16" i="59" s="1"/>
  <c r="H175" i="64"/>
  <c r="N46" i="57"/>
  <c r="I44" i="59" s="1"/>
  <c r="K183" i="64"/>
  <c r="L45" i="57"/>
  <c r="J157" i="64"/>
  <c r="D31" i="57"/>
  <c r="K50" i="64"/>
  <c r="L31" i="57"/>
  <c r="K154" i="64"/>
  <c r="L29" i="57"/>
  <c r="I154" i="64"/>
  <c r="J28" i="57"/>
  <c r="H128" i="64"/>
  <c r="K38" i="57"/>
  <c r="H143" i="64"/>
  <c r="K39" i="57"/>
  <c r="I143" i="64"/>
  <c r="J44" i="57"/>
  <c r="H42" i="59" s="1"/>
  <c r="I131" i="64"/>
  <c r="I41" i="57"/>
  <c r="K117" i="64"/>
  <c r="J39" i="57"/>
  <c r="I130" i="64"/>
  <c r="L52" i="57"/>
  <c r="L158" i="64"/>
  <c r="K21" i="57"/>
  <c r="K136" i="64"/>
  <c r="J19" i="57"/>
  <c r="H17" i="59" s="1"/>
  <c r="I123" i="64"/>
  <c r="J18" i="57"/>
  <c r="H16" i="59" s="1"/>
  <c r="H123" i="64"/>
  <c r="J37" i="57"/>
  <c r="H35" i="59" s="1"/>
  <c r="L129" i="64"/>
  <c r="J33" i="57"/>
  <c r="H31" i="59" s="1"/>
  <c r="H129" i="64"/>
  <c r="L21" i="57"/>
  <c r="K149" i="64"/>
  <c r="L18" i="57"/>
  <c r="H149" i="64"/>
  <c r="J51" i="57"/>
  <c r="H49" i="59" s="1"/>
  <c r="K132" i="64"/>
  <c r="J52" i="57"/>
  <c r="H50" i="59" s="1"/>
  <c r="L132" i="64"/>
  <c r="K24" i="57"/>
  <c r="I137" i="64"/>
  <c r="K27" i="57"/>
  <c r="L137" i="64"/>
  <c r="K45" i="57"/>
  <c r="J144" i="64"/>
  <c r="N32" i="57"/>
  <c r="I30" i="59" s="1"/>
  <c r="L180" i="64"/>
  <c r="K35" i="57"/>
  <c r="J142" i="64"/>
  <c r="D28" i="57"/>
  <c r="H50" i="64"/>
  <c r="I18" i="57"/>
  <c r="H110" i="64"/>
  <c r="K50" i="57"/>
  <c r="J145" i="64"/>
  <c r="L35" i="57"/>
  <c r="J155" i="64"/>
  <c r="L27" i="57"/>
  <c r="L150" i="64"/>
  <c r="L24" i="57"/>
  <c r="I150" i="64"/>
  <c r="G17" i="57"/>
  <c r="L83" i="64"/>
  <c r="F29" i="57"/>
  <c r="I76" i="64"/>
  <c r="H76" i="64"/>
  <c r="F28" i="57"/>
  <c r="I49" i="59"/>
  <c r="O10" i="59"/>
  <c r="U10" i="59"/>
  <c r="R7" i="59"/>
  <c r="Y7" i="59" s="1"/>
  <c r="N19" i="57"/>
  <c r="I17" i="59" s="1"/>
  <c r="I175" i="64"/>
  <c r="J23" i="57"/>
  <c r="H21" i="59" s="1"/>
  <c r="H124" i="64"/>
  <c r="N43" i="57"/>
  <c r="I41" i="59" s="1"/>
  <c r="H183" i="64"/>
  <c r="L44" i="57"/>
  <c r="I157" i="64"/>
  <c r="L47" i="57"/>
  <c r="L157" i="64"/>
  <c r="L32" i="57"/>
  <c r="L154" i="64"/>
  <c r="J31" i="57"/>
  <c r="K128" i="64"/>
  <c r="J32" i="57"/>
  <c r="H30" i="59" s="1"/>
  <c r="L128" i="64"/>
  <c r="K42" i="57"/>
  <c r="L143" i="64"/>
  <c r="K40" i="57"/>
  <c r="J143" i="64"/>
  <c r="I35" i="57"/>
  <c r="J116" i="64"/>
  <c r="J47" i="57"/>
  <c r="H45" i="59" s="1"/>
  <c r="L131" i="64"/>
  <c r="J43" i="57"/>
  <c r="H41" i="59" s="1"/>
  <c r="H131" i="64"/>
  <c r="I39" i="57"/>
  <c r="I117" i="64"/>
  <c r="L42" i="57"/>
  <c r="L156" i="64"/>
  <c r="L38" i="57"/>
  <c r="H156" i="64"/>
  <c r="J42" i="57"/>
  <c r="H40" i="59" s="1"/>
  <c r="L130" i="64"/>
  <c r="L49" i="57"/>
  <c r="I158" i="64"/>
  <c r="K19" i="57"/>
  <c r="I136" i="64"/>
  <c r="K20" i="57"/>
  <c r="J136" i="64"/>
  <c r="J22" i="57"/>
  <c r="H20" i="59" s="1"/>
  <c r="L123" i="64"/>
  <c r="J20" i="57"/>
  <c r="H18" i="59" s="1"/>
  <c r="J123" i="64"/>
  <c r="J34" i="57"/>
  <c r="H32" i="59" s="1"/>
  <c r="I129" i="64"/>
  <c r="J35" i="57"/>
  <c r="H33" i="59" s="1"/>
  <c r="J129" i="64"/>
  <c r="I33" i="57"/>
  <c r="H116" i="64"/>
  <c r="J50" i="57"/>
  <c r="H48" i="59" s="1"/>
  <c r="J132" i="64"/>
  <c r="K34" i="57"/>
  <c r="I142" i="64"/>
  <c r="D32" i="57"/>
  <c r="L50" i="64"/>
  <c r="K49" i="57"/>
  <c r="I145" i="64"/>
  <c r="K48" i="57"/>
  <c r="H145" i="64"/>
  <c r="L26" i="57"/>
  <c r="K150" i="64"/>
  <c r="N24" i="57"/>
  <c r="I22" i="59" s="1"/>
  <c r="I176" i="64"/>
  <c r="I49" i="57"/>
  <c r="I119" i="64"/>
  <c r="I51" i="57"/>
  <c r="K119" i="64"/>
  <c r="L76" i="64"/>
  <c r="F32" i="57"/>
  <c r="R8" i="59"/>
  <c r="U7" i="59"/>
  <c r="I31" i="59"/>
  <c r="I18" i="59"/>
  <c r="I23" i="59"/>
  <c r="O9" i="59"/>
  <c r="D53" i="57"/>
  <c r="H48" i="64"/>
  <c r="D55" i="57"/>
  <c r="J48" i="64"/>
  <c r="E54" i="57"/>
  <c r="I61" i="64"/>
  <c r="D54" i="57"/>
  <c r="I48" i="64"/>
  <c r="G57" i="57"/>
  <c r="L87" i="64"/>
  <c r="J24" i="57"/>
  <c r="H22" i="59" s="1"/>
  <c r="I124" i="64"/>
  <c r="J27" i="57"/>
  <c r="H25" i="59" s="1"/>
  <c r="L124" i="64"/>
  <c r="N36" i="57"/>
  <c r="I34" i="59" s="1"/>
  <c r="P34" i="59" s="1"/>
  <c r="K181" i="64"/>
  <c r="N35" i="57"/>
  <c r="I33" i="59" s="1"/>
  <c r="J181" i="64"/>
  <c r="D44" i="57"/>
  <c r="I53" i="64"/>
  <c r="L43" i="57"/>
  <c r="H157" i="64"/>
  <c r="L28" i="57"/>
  <c r="H154" i="64"/>
  <c r="J29" i="57"/>
  <c r="I128" i="64"/>
  <c r="J30" i="57"/>
  <c r="J128" i="64"/>
  <c r="K41" i="57"/>
  <c r="K143" i="64"/>
  <c r="J45" i="57"/>
  <c r="H43" i="59" s="1"/>
  <c r="J131" i="64"/>
  <c r="J46" i="57"/>
  <c r="H44" i="59" s="1"/>
  <c r="K131" i="64"/>
  <c r="I40" i="57"/>
  <c r="J117" i="64"/>
  <c r="L39" i="57"/>
  <c r="I156" i="64"/>
  <c r="L40" i="57"/>
  <c r="J156" i="64"/>
  <c r="J38" i="57"/>
  <c r="H36" i="59" s="1"/>
  <c r="H130" i="64"/>
  <c r="D30" i="57"/>
  <c r="J50" i="64"/>
  <c r="L48" i="57"/>
  <c r="H158" i="64"/>
  <c r="L51" i="57"/>
  <c r="K158" i="64"/>
  <c r="K22" i="57"/>
  <c r="L136" i="64"/>
  <c r="L20" i="57"/>
  <c r="J149" i="64"/>
  <c r="L22" i="57"/>
  <c r="L149" i="64"/>
  <c r="J48" i="57"/>
  <c r="H46" i="59" s="1"/>
  <c r="H132" i="64"/>
  <c r="K26" i="57"/>
  <c r="K137" i="64"/>
  <c r="K47" i="57"/>
  <c r="L144" i="64"/>
  <c r="K44" i="57"/>
  <c r="I144" i="64"/>
  <c r="K36" i="57"/>
  <c r="K142" i="64"/>
  <c r="L37" i="57"/>
  <c r="L155" i="64"/>
  <c r="L33" i="57"/>
  <c r="H155" i="64"/>
  <c r="L23" i="57"/>
  <c r="H150" i="64"/>
  <c r="I48" i="57"/>
  <c r="H119" i="64"/>
  <c r="I52" i="57"/>
  <c r="L119" i="64"/>
  <c r="D29" i="57"/>
  <c r="I50" i="64"/>
  <c r="F30" i="57"/>
  <c r="J76" i="64"/>
  <c r="F8" i="92"/>
  <c r="R6" i="59"/>
  <c r="I45" i="59"/>
  <c r="R9" i="59" l="1"/>
  <c r="P22" i="59"/>
  <c r="I55" i="57"/>
  <c r="J113" i="64"/>
  <c r="F56" i="57"/>
  <c r="K74" i="64"/>
  <c r="L176" i="64"/>
  <c r="N27" i="57"/>
  <c r="I25" i="59" s="1"/>
  <c r="J67" i="64"/>
  <c r="E50" i="57"/>
  <c r="L53" i="64"/>
  <c r="D47" i="57"/>
  <c r="N49" i="57"/>
  <c r="I47" i="59" s="1"/>
  <c r="I184" i="64"/>
  <c r="H41" i="57"/>
  <c r="K104" i="64"/>
  <c r="N48" i="57"/>
  <c r="I46" i="59" s="1"/>
  <c r="H184" i="64"/>
  <c r="I118" i="64"/>
  <c r="I44" i="57"/>
  <c r="L111" i="64"/>
  <c r="I27" i="57"/>
  <c r="K102" i="64"/>
  <c r="H31" i="57"/>
  <c r="L106" i="64"/>
  <c r="H52" i="57"/>
  <c r="H32" i="57"/>
  <c r="L102" i="64"/>
  <c r="D43" i="57"/>
  <c r="H53" i="64"/>
  <c r="D49" i="57"/>
  <c r="I54" i="64"/>
  <c r="I34" i="57"/>
  <c r="I116" i="64"/>
  <c r="F15" i="57"/>
  <c r="J70" i="64"/>
  <c r="K57" i="64"/>
  <c r="E16" i="57"/>
  <c r="F19" i="57"/>
  <c r="I71" i="64"/>
  <c r="F45" i="57"/>
  <c r="J79" i="64"/>
  <c r="F27" i="57"/>
  <c r="L72" i="64"/>
  <c r="F21" i="57"/>
  <c r="K71" i="64"/>
  <c r="I64" i="64"/>
  <c r="E34" i="57"/>
  <c r="H64" i="64"/>
  <c r="E33" i="57"/>
  <c r="J64" i="64"/>
  <c r="E35" i="57"/>
  <c r="K63" i="64"/>
  <c r="E31" i="57"/>
  <c r="L14" i="57"/>
  <c r="I148" i="64"/>
  <c r="J16" i="57"/>
  <c r="K122" i="64"/>
  <c r="L15" i="57"/>
  <c r="J148" i="64"/>
  <c r="F55" i="57"/>
  <c r="J74" i="64"/>
  <c r="I56" i="57"/>
  <c r="K113" i="64"/>
  <c r="L55" i="57"/>
  <c r="J152" i="64"/>
  <c r="J139" i="64"/>
  <c r="K55" i="57"/>
  <c r="I57" i="57"/>
  <c r="L113" i="64"/>
  <c r="I54" i="57"/>
  <c r="E52" i="59" s="1"/>
  <c r="I113" i="64"/>
  <c r="J53" i="57"/>
  <c r="H126" i="64"/>
  <c r="H29" i="57"/>
  <c r="I102" i="64"/>
  <c r="I46" i="64"/>
  <c r="D24" i="57"/>
  <c r="H50" i="57"/>
  <c r="J106" i="64"/>
  <c r="N44" i="57"/>
  <c r="I42" i="59" s="1"/>
  <c r="I183" i="64"/>
  <c r="K105" i="64"/>
  <c r="H46" i="57"/>
  <c r="H22" i="57"/>
  <c r="L97" i="64"/>
  <c r="I19" i="57"/>
  <c r="I110" i="64"/>
  <c r="D41" i="57"/>
  <c r="K52" i="64"/>
  <c r="I51" i="64"/>
  <c r="D34" i="57"/>
  <c r="H21" i="57"/>
  <c r="K97" i="64"/>
  <c r="N37" i="57"/>
  <c r="I35" i="59" s="1"/>
  <c r="L181" i="64"/>
  <c r="H25" i="57"/>
  <c r="J98" i="64"/>
  <c r="L175" i="64"/>
  <c r="N22" i="57"/>
  <c r="I20" i="59" s="1"/>
  <c r="P20" i="59" s="1"/>
  <c r="I31" i="57"/>
  <c r="K115" i="64"/>
  <c r="I45" i="57"/>
  <c r="J118" i="64"/>
  <c r="D42" i="57"/>
  <c r="L52" i="64"/>
  <c r="K51" i="64"/>
  <c r="D36" i="57"/>
  <c r="D52" i="57"/>
  <c r="L54" i="64"/>
  <c r="H26" i="57"/>
  <c r="K98" i="64"/>
  <c r="L110" i="64"/>
  <c r="I22" i="57"/>
  <c r="H40" i="57"/>
  <c r="J104" i="64"/>
  <c r="H48" i="57"/>
  <c r="H106" i="64"/>
  <c r="I28" i="57"/>
  <c r="H115" i="64"/>
  <c r="E17" i="57"/>
  <c r="L57" i="64"/>
  <c r="F48" i="57"/>
  <c r="H80" i="64"/>
  <c r="H79" i="64"/>
  <c r="F43" i="57"/>
  <c r="F44" i="57"/>
  <c r="I79" i="64"/>
  <c r="K80" i="64"/>
  <c r="F51" i="57"/>
  <c r="F25" i="57"/>
  <c r="J72" i="64"/>
  <c r="F46" i="57"/>
  <c r="K79" i="64"/>
  <c r="F24" i="57"/>
  <c r="I72" i="64"/>
  <c r="J71" i="64"/>
  <c r="F20" i="57"/>
  <c r="K67" i="64"/>
  <c r="E51" i="57"/>
  <c r="E22" i="57"/>
  <c r="L58" i="64"/>
  <c r="E29" i="57"/>
  <c r="I63" i="64"/>
  <c r="E45" i="57"/>
  <c r="J66" i="64"/>
  <c r="E19" i="57"/>
  <c r="I58" i="64"/>
  <c r="H66" i="64"/>
  <c r="E43" i="57"/>
  <c r="E36" i="57"/>
  <c r="K64" i="64"/>
  <c r="E21" i="57"/>
  <c r="K58" i="64"/>
  <c r="N11" i="57"/>
  <c r="K172" i="64"/>
  <c r="J17" i="57"/>
  <c r="H15" i="59" s="1"/>
  <c r="L122" i="64"/>
  <c r="K14" i="57"/>
  <c r="I135" i="64"/>
  <c r="I14" i="57"/>
  <c r="I109" i="64"/>
  <c r="L17" i="57"/>
  <c r="L148" i="64"/>
  <c r="I15" i="57"/>
  <c r="J109" i="64"/>
  <c r="F28" i="59"/>
  <c r="J28" i="59"/>
  <c r="G28" i="59"/>
  <c r="K28" i="59"/>
  <c r="P44" i="59"/>
  <c r="P25" i="59"/>
  <c r="P33" i="59"/>
  <c r="P18" i="59"/>
  <c r="P45" i="59"/>
  <c r="P30" i="59"/>
  <c r="P21" i="59"/>
  <c r="F27" i="59"/>
  <c r="G27" i="59"/>
  <c r="J27" i="59"/>
  <c r="K27" i="59"/>
  <c r="P49" i="59"/>
  <c r="P35" i="59"/>
  <c r="P17" i="59"/>
  <c r="E53" i="59"/>
  <c r="E54" i="59"/>
  <c r="P47" i="59"/>
  <c r="P23" i="59"/>
  <c r="J56" i="57"/>
  <c r="K126" i="64"/>
  <c r="I53" i="57"/>
  <c r="H113" i="64"/>
  <c r="J54" i="57"/>
  <c r="I126" i="64"/>
  <c r="K53" i="57"/>
  <c r="H139" i="64"/>
  <c r="L54" i="57"/>
  <c r="I152" i="64"/>
  <c r="N34" i="57"/>
  <c r="I32" i="59" s="1"/>
  <c r="I181" i="64"/>
  <c r="D46" i="57"/>
  <c r="K53" i="64"/>
  <c r="H23" i="57"/>
  <c r="H98" i="64"/>
  <c r="I30" i="57"/>
  <c r="J115" i="64"/>
  <c r="H51" i="57"/>
  <c r="K106" i="64"/>
  <c r="E44" i="57"/>
  <c r="I66" i="64"/>
  <c r="N52" i="57"/>
  <c r="I50" i="59" s="1"/>
  <c r="L184" i="64"/>
  <c r="H35" i="57"/>
  <c r="J103" i="64"/>
  <c r="N17" i="57"/>
  <c r="L174" i="64"/>
  <c r="D40" i="57"/>
  <c r="J52" i="64"/>
  <c r="D48" i="57"/>
  <c r="H54" i="64"/>
  <c r="E15" i="57"/>
  <c r="J57" i="64"/>
  <c r="F17" i="57"/>
  <c r="L70" i="64"/>
  <c r="F13" i="57"/>
  <c r="H70" i="64"/>
  <c r="F26" i="57"/>
  <c r="K72" i="64"/>
  <c r="F40" i="57"/>
  <c r="J78" i="64"/>
  <c r="F49" i="57"/>
  <c r="I80" i="64"/>
  <c r="F57" i="57"/>
  <c r="L74" i="64"/>
  <c r="E38" i="57"/>
  <c r="H65" i="64"/>
  <c r="E42" i="57"/>
  <c r="L65" i="64"/>
  <c r="E18" i="57"/>
  <c r="H58" i="64"/>
  <c r="K17" i="57"/>
  <c r="L135" i="64"/>
  <c r="K15" i="57"/>
  <c r="J135" i="64"/>
  <c r="I17" i="57"/>
  <c r="L109" i="64"/>
  <c r="Y9" i="59"/>
  <c r="F30" i="59"/>
  <c r="G30" i="59"/>
  <c r="J30" i="59"/>
  <c r="K30" i="59"/>
  <c r="J26" i="59"/>
  <c r="F26" i="59"/>
  <c r="G26" i="59"/>
  <c r="K26" i="59"/>
  <c r="D8" i="92"/>
  <c r="Y6" i="59"/>
  <c r="Y8" i="59"/>
  <c r="N57" i="57"/>
  <c r="I55" i="59" s="1"/>
  <c r="L178" i="64"/>
  <c r="K54" i="57"/>
  <c r="I139" i="64"/>
  <c r="L53" i="57"/>
  <c r="H152" i="64"/>
  <c r="H55" i="57"/>
  <c r="D53" i="59" s="1"/>
  <c r="M53" i="59" s="1"/>
  <c r="J100" i="64"/>
  <c r="N26" i="57"/>
  <c r="I24" i="59" s="1"/>
  <c r="P24" i="59" s="1"/>
  <c r="K176" i="64"/>
  <c r="N50" i="57"/>
  <c r="I48" i="59" s="1"/>
  <c r="P48" i="59" s="1"/>
  <c r="J184" i="64"/>
  <c r="D22" i="57"/>
  <c r="L45" i="64"/>
  <c r="I21" i="57"/>
  <c r="K110" i="64"/>
  <c r="H33" i="57"/>
  <c r="H103" i="64"/>
  <c r="D21" i="57"/>
  <c r="K45" i="64"/>
  <c r="D25" i="57"/>
  <c r="J46" i="64"/>
  <c r="I47" i="57"/>
  <c r="L118" i="64"/>
  <c r="H38" i="57"/>
  <c r="H104" i="64"/>
  <c r="H45" i="57"/>
  <c r="J105" i="64"/>
  <c r="H19" i="57"/>
  <c r="I97" i="64"/>
  <c r="D26" i="57"/>
  <c r="K46" i="64"/>
  <c r="I37" i="57"/>
  <c r="L116" i="64"/>
  <c r="G12" i="57"/>
  <c r="L81" i="64"/>
  <c r="F52" i="57"/>
  <c r="L80" i="64"/>
  <c r="J77" i="64"/>
  <c r="F35" i="57"/>
  <c r="F36" i="57"/>
  <c r="K77" i="64"/>
  <c r="I77" i="64"/>
  <c r="F34" i="57"/>
  <c r="E46" i="57"/>
  <c r="K66" i="64"/>
  <c r="E25" i="57"/>
  <c r="J59" i="64"/>
  <c r="E23" i="57"/>
  <c r="H59" i="64"/>
  <c r="E20" i="57"/>
  <c r="J58" i="64"/>
  <c r="I13" i="57"/>
  <c r="H109" i="64"/>
  <c r="K16" i="57"/>
  <c r="K135" i="64"/>
  <c r="K13" i="57"/>
  <c r="H135" i="64"/>
  <c r="H53" i="57"/>
  <c r="H100" i="64"/>
  <c r="L57" i="57"/>
  <c r="L152" i="64"/>
  <c r="H54" i="57"/>
  <c r="D52" i="59" s="1"/>
  <c r="I100" i="64"/>
  <c r="F54" i="57"/>
  <c r="I74" i="64"/>
  <c r="J57" i="57"/>
  <c r="H55" i="59" s="1"/>
  <c r="L126" i="64"/>
  <c r="L56" i="57"/>
  <c r="K152" i="64"/>
  <c r="L139" i="64"/>
  <c r="K57" i="57"/>
  <c r="H57" i="57"/>
  <c r="L100" i="64"/>
  <c r="J55" i="57"/>
  <c r="J126" i="64"/>
  <c r="I20" i="57"/>
  <c r="J110" i="64"/>
  <c r="H47" i="57"/>
  <c r="L105" i="64"/>
  <c r="H97" i="64"/>
  <c r="H18" i="57"/>
  <c r="D23" i="57"/>
  <c r="H46" i="64"/>
  <c r="H28" i="57"/>
  <c r="H102" i="64"/>
  <c r="D33" i="57"/>
  <c r="H51" i="64"/>
  <c r="H20" i="57"/>
  <c r="J97" i="64"/>
  <c r="D51" i="57"/>
  <c r="K54" i="64"/>
  <c r="H44" i="57"/>
  <c r="I105" i="64"/>
  <c r="N38" i="57"/>
  <c r="I36" i="59" s="1"/>
  <c r="P36" i="59" s="1"/>
  <c r="H182" i="64"/>
  <c r="J102" i="64"/>
  <c r="H30" i="57"/>
  <c r="I46" i="57"/>
  <c r="K118" i="64"/>
  <c r="I24" i="57"/>
  <c r="I111" i="64"/>
  <c r="D38" i="57"/>
  <c r="H52" i="64"/>
  <c r="D45" i="57"/>
  <c r="J53" i="64"/>
  <c r="D35" i="57"/>
  <c r="J51" i="64"/>
  <c r="I45" i="64"/>
  <c r="D19" i="57"/>
  <c r="H27" i="57"/>
  <c r="L98" i="64"/>
  <c r="H39" i="57"/>
  <c r="I104" i="64"/>
  <c r="H43" i="57"/>
  <c r="H105" i="64"/>
  <c r="H37" i="57"/>
  <c r="L103" i="64"/>
  <c r="H49" i="57"/>
  <c r="I106" i="64"/>
  <c r="L115" i="64"/>
  <c r="I32" i="57"/>
  <c r="I23" i="57"/>
  <c r="H111" i="64"/>
  <c r="I26" i="57"/>
  <c r="K111" i="64"/>
  <c r="G11" i="57"/>
  <c r="K81" i="64"/>
  <c r="E13" i="57"/>
  <c r="H57" i="64"/>
  <c r="F16" i="57"/>
  <c r="K70" i="64"/>
  <c r="I70" i="64"/>
  <c r="F14" i="57"/>
  <c r="F38" i="57"/>
  <c r="H78" i="64"/>
  <c r="L77" i="64"/>
  <c r="F37" i="57"/>
  <c r="F22" i="57"/>
  <c r="L71" i="64"/>
  <c r="F42" i="57"/>
  <c r="L78" i="64"/>
  <c r="F18" i="57"/>
  <c r="H71" i="64"/>
  <c r="F47" i="57"/>
  <c r="L79" i="64"/>
  <c r="F33" i="57"/>
  <c r="H77" i="64"/>
  <c r="F23" i="57"/>
  <c r="H72" i="64"/>
  <c r="E37" i="57"/>
  <c r="L64" i="64"/>
  <c r="I65" i="64"/>
  <c r="E39" i="57"/>
  <c r="E28" i="57"/>
  <c r="H63" i="64"/>
  <c r="E24" i="57"/>
  <c r="I59" i="64"/>
  <c r="E48" i="57"/>
  <c r="H67" i="64"/>
  <c r="L59" i="64"/>
  <c r="E27" i="57"/>
  <c r="E52" i="57"/>
  <c r="L67" i="64"/>
  <c r="E40" i="57"/>
  <c r="J65" i="64"/>
  <c r="L16" i="57"/>
  <c r="K148" i="64"/>
  <c r="J14" i="57"/>
  <c r="I122" i="64"/>
  <c r="L13" i="57"/>
  <c r="H148" i="64"/>
  <c r="P46" i="59"/>
  <c r="P32" i="59"/>
  <c r="P41" i="59"/>
  <c r="I15" i="59"/>
  <c r="P50" i="59"/>
  <c r="P31" i="59"/>
  <c r="P16" i="59"/>
  <c r="P42" i="59"/>
  <c r="E55" i="59"/>
  <c r="D55" i="59"/>
  <c r="J29" i="59"/>
  <c r="F29" i="59"/>
  <c r="K29" i="59"/>
  <c r="G29" i="59"/>
  <c r="E51" i="59"/>
  <c r="K100" i="64"/>
  <c r="H56" i="57"/>
  <c r="D54" i="59" s="1"/>
  <c r="K56" i="57"/>
  <c r="K139" i="64"/>
  <c r="H74" i="64"/>
  <c r="F53" i="57"/>
  <c r="H24" i="57"/>
  <c r="I98" i="64"/>
  <c r="N41" i="57"/>
  <c r="I39" i="59" s="1"/>
  <c r="P39" i="59" s="1"/>
  <c r="K182" i="64"/>
  <c r="D18" i="57"/>
  <c r="H45" i="64"/>
  <c r="L182" i="64"/>
  <c r="N42" i="57"/>
  <c r="I40" i="59" s="1"/>
  <c r="P40" i="59" s="1"/>
  <c r="K175" i="64"/>
  <c r="N21" i="57"/>
  <c r="I19" i="59" s="1"/>
  <c r="P19" i="59" s="1"/>
  <c r="I103" i="64"/>
  <c r="H34" i="57"/>
  <c r="J45" i="64"/>
  <c r="D20" i="57"/>
  <c r="N45" i="57"/>
  <c r="I43" i="59" s="1"/>
  <c r="P43" i="59" s="1"/>
  <c r="J183" i="64"/>
  <c r="I43" i="57"/>
  <c r="H118" i="64"/>
  <c r="H42" i="57"/>
  <c r="L104" i="64"/>
  <c r="H36" i="57"/>
  <c r="K103" i="64"/>
  <c r="D27" i="57"/>
  <c r="L46" i="64"/>
  <c r="I52" i="64"/>
  <c r="D39" i="57"/>
  <c r="L51" i="64"/>
  <c r="D37" i="57"/>
  <c r="J111" i="64"/>
  <c r="I25" i="57"/>
  <c r="K116" i="64"/>
  <c r="I36" i="57"/>
  <c r="E14" i="57"/>
  <c r="I57" i="64"/>
  <c r="F41" i="57"/>
  <c r="K78" i="64"/>
  <c r="F50" i="57"/>
  <c r="J80" i="64"/>
  <c r="F39" i="57"/>
  <c r="I78" i="64"/>
  <c r="E49" i="57"/>
  <c r="I67" i="64"/>
  <c r="E30" i="57"/>
  <c r="J63" i="64"/>
  <c r="E47" i="57"/>
  <c r="L66" i="64"/>
  <c r="E26" i="57"/>
  <c r="K59" i="64"/>
  <c r="J13" i="57"/>
  <c r="H122" i="64"/>
  <c r="I16" i="57"/>
  <c r="K109" i="64"/>
  <c r="J15" i="57"/>
  <c r="J122" i="64"/>
  <c r="Y10" i="59"/>
  <c r="M54" i="59" l="1"/>
  <c r="N26" i="59"/>
  <c r="M52" i="59"/>
  <c r="M62" i="59" s="1"/>
  <c r="D51" i="59"/>
  <c r="M51" i="59" s="1"/>
  <c r="Q28" i="59"/>
  <c r="M55" i="59"/>
  <c r="N30" i="59"/>
  <c r="Q30" i="59"/>
  <c r="M58" i="59"/>
  <c r="M63" i="59"/>
  <c r="M64" i="59"/>
  <c r="M59" i="59"/>
  <c r="K65" i="64"/>
  <c r="E41" i="57"/>
  <c r="H15" i="57"/>
  <c r="D13" i="59" s="1"/>
  <c r="J96" i="64"/>
  <c r="G51" i="59"/>
  <c r="F51" i="59"/>
  <c r="J51" i="59"/>
  <c r="K51" i="59"/>
  <c r="N29" i="59"/>
  <c r="D50" i="59"/>
  <c r="E50" i="59"/>
  <c r="E46" i="59"/>
  <c r="D46" i="59"/>
  <c r="D26" i="59"/>
  <c r="E26" i="59"/>
  <c r="E35" i="59"/>
  <c r="D35" i="59"/>
  <c r="F31" i="59"/>
  <c r="G31" i="59"/>
  <c r="J31" i="59"/>
  <c r="K31" i="59"/>
  <c r="G16" i="59"/>
  <c r="J16" i="59"/>
  <c r="F16" i="59"/>
  <c r="K16" i="59"/>
  <c r="F20" i="59"/>
  <c r="J20" i="59"/>
  <c r="G20" i="59"/>
  <c r="K20" i="59"/>
  <c r="G36" i="59"/>
  <c r="J36" i="59"/>
  <c r="F36" i="59"/>
  <c r="K36" i="59"/>
  <c r="F14" i="59"/>
  <c r="J14" i="59"/>
  <c r="K14" i="59"/>
  <c r="G14" i="59"/>
  <c r="I9" i="59"/>
  <c r="H9" i="59"/>
  <c r="P55" i="59"/>
  <c r="D18" i="59"/>
  <c r="E18" i="59"/>
  <c r="E23" i="59"/>
  <c r="D23" i="59"/>
  <c r="H10" i="59"/>
  <c r="D41" i="59"/>
  <c r="E41" i="59"/>
  <c r="J18" i="59"/>
  <c r="F18" i="59"/>
  <c r="G18" i="59"/>
  <c r="K18" i="59"/>
  <c r="F49" i="59"/>
  <c r="G49" i="59"/>
  <c r="J49" i="59"/>
  <c r="K49" i="59"/>
  <c r="F41" i="59"/>
  <c r="J41" i="59"/>
  <c r="G41" i="59"/>
  <c r="K41" i="59"/>
  <c r="E29" i="59"/>
  <c r="D29" i="59"/>
  <c r="D31" i="59"/>
  <c r="E31" i="59"/>
  <c r="E14" i="59"/>
  <c r="D48" i="59"/>
  <c r="E48" i="59"/>
  <c r="D17" i="57"/>
  <c r="L44" i="64"/>
  <c r="D13" i="57"/>
  <c r="H44" i="64"/>
  <c r="H13" i="57"/>
  <c r="H96" i="64"/>
  <c r="H17" i="57"/>
  <c r="D15" i="59" s="1"/>
  <c r="L96" i="64"/>
  <c r="D14" i="57"/>
  <c r="I44" i="64"/>
  <c r="H14" i="57"/>
  <c r="D12" i="59" s="1"/>
  <c r="I96" i="64"/>
  <c r="E32" i="57"/>
  <c r="L63" i="64"/>
  <c r="D24" i="59"/>
  <c r="E24" i="59"/>
  <c r="E28" i="59"/>
  <c r="D28" i="59"/>
  <c r="J37" i="59"/>
  <c r="F37" i="59"/>
  <c r="G37" i="59"/>
  <c r="K37" i="59"/>
  <c r="F39" i="59"/>
  <c r="J39" i="59"/>
  <c r="G39" i="59"/>
  <c r="K39" i="59"/>
  <c r="Q29" i="59"/>
  <c r="E18" i="92"/>
  <c r="D25" i="59"/>
  <c r="E25" i="59"/>
  <c r="E37" i="59"/>
  <c r="D37" i="59"/>
  <c r="G35" i="59"/>
  <c r="J35" i="59"/>
  <c r="F35" i="59"/>
  <c r="K35" i="59"/>
  <c r="F12" i="59"/>
  <c r="G12" i="59"/>
  <c r="J12" i="59"/>
  <c r="K12" i="59"/>
  <c r="D40" i="59"/>
  <c r="E40" i="59"/>
  <c r="F55" i="59"/>
  <c r="G55" i="59"/>
  <c r="J55" i="59"/>
  <c r="K55" i="59"/>
  <c r="G38" i="59"/>
  <c r="F38" i="59"/>
  <c r="J38" i="59"/>
  <c r="K38" i="59"/>
  <c r="J11" i="59"/>
  <c r="F11" i="59"/>
  <c r="G11" i="59"/>
  <c r="K11" i="59"/>
  <c r="E13" i="59"/>
  <c r="D42" i="59"/>
  <c r="E42" i="59"/>
  <c r="N27" i="59"/>
  <c r="P15" i="59"/>
  <c r="D19" i="59"/>
  <c r="E19" i="59"/>
  <c r="D43" i="59"/>
  <c r="E43" i="59"/>
  <c r="D20" i="59"/>
  <c r="E20" i="59"/>
  <c r="J44" i="59"/>
  <c r="F44" i="59"/>
  <c r="G44" i="59"/>
  <c r="K44" i="59"/>
  <c r="E15" i="59"/>
  <c r="G53" i="59"/>
  <c r="J53" i="59"/>
  <c r="F53" i="59"/>
  <c r="K53" i="59"/>
  <c r="F19" i="59"/>
  <c r="J19" i="59"/>
  <c r="G19" i="59"/>
  <c r="K19" i="59"/>
  <c r="J43" i="59"/>
  <c r="F43" i="59"/>
  <c r="G43" i="59"/>
  <c r="K43" i="59"/>
  <c r="F54" i="59"/>
  <c r="J54" i="59"/>
  <c r="K54" i="59"/>
  <c r="G54" i="59"/>
  <c r="H16" i="57"/>
  <c r="D14" i="59" s="1"/>
  <c r="K96" i="64"/>
  <c r="M65" i="59"/>
  <c r="M60" i="59"/>
  <c r="E11" i="92"/>
  <c r="E38" i="59"/>
  <c r="D38" i="59"/>
  <c r="D22" i="59"/>
  <c r="E22" i="59"/>
  <c r="F21" i="59"/>
  <c r="J21" i="59"/>
  <c r="G21" i="59"/>
  <c r="K21" i="59"/>
  <c r="F45" i="59"/>
  <c r="J45" i="59"/>
  <c r="G45" i="59"/>
  <c r="K45" i="59"/>
  <c r="G40" i="59"/>
  <c r="F40" i="59"/>
  <c r="J40" i="59"/>
  <c r="K40" i="59"/>
  <c r="D11" i="59"/>
  <c r="E11" i="59"/>
  <c r="G52" i="59"/>
  <c r="F52" i="59"/>
  <c r="J52" i="59"/>
  <c r="K52" i="59"/>
  <c r="D21" i="59"/>
  <c r="E21" i="59"/>
  <c r="E44" i="59"/>
  <c r="D44" i="59"/>
  <c r="J34" i="59"/>
  <c r="F34" i="59"/>
  <c r="G34" i="59"/>
  <c r="K34" i="59"/>
  <c r="F50" i="59"/>
  <c r="J50" i="59"/>
  <c r="G50" i="59"/>
  <c r="K50" i="59"/>
  <c r="E12" i="92"/>
  <c r="D49" i="59"/>
  <c r="E49" i="59"/>
  <c r="D33" i="59"/>
  <c r="E33" i="59"/>
  <c r="E32" i="59"/>
  <c r="D32" i="59"/>
  <c r="J44" i="64"/>
  <c r="D15" i="57"/>
  <c r="D16" i="57"/>
  <c r="K44" i="64"/>
  <c r="E45" i="59"/>
  <c r="D45" i="59"/>
  <c r="D47" i="59"/>
  <c r="E47" i="59"/>
  <c r="J48" i="59"/>
  <c r="G48" i="59"/>
  <c r="F48" i="59"/>
  <c r="K48" i="59"/>
  <c r="E12" i="59"/>
  <c r="E15" i="92"/>
  <c r="E17" i="92"/>
  <c r="G32" i="59"/>
  <c r="F32" i="59"/>
  <c r="J32" i="59"/>
  <c r="K32" i="59"/>
  <c r="J33" i="59"/>
  <c r="F33" i="59"/>
  <c r="G33" i="59"/>
  <c r="K33" i="59"/>
  <c r="Q26" i="59"/>
  <c r="D16" i="59"/>
  <c r="E16" i="59"/>
  <c r="E36" i="59"/>
  <c r="D36" i="59"/>
  <c r="F47" i="59"/>
  <c r="G47" i="59"/>
  <c r="J47" i="59"/>
  <c r="K47" i="59"/>
  <c r="F24" i="59"/>
  <c r="J24" i="59"/>
  <c r="G24" i="59"/>
  <c r="K24" i="59"/>
  <c r="F15" i="59"/>
  <c r="J15" i="59"/>
  <c r="G15" i="59"/>
  <c r="K15" i="59"/>
  <c r="Q27" i="59"/>
  <c r="N28" i="59"/>
  <c r="R28" i="59" s="1"/>
  <c r="D34" i="59"/>
  <c r="E34" i="59"/>
  <c r="D17" i="59"/>
  <c r="E17" i="59"/>
  <c r="D27" i="59"/>
  <c r="E27" i="59"/>
  <c r="F22" i="59"/>
  <c r="J22" i="59"/>
  <c r="G22" i="59"/>
  <c r="K22" i="59"/>
  <c r="G23" i="59"/>
  <c r="F23" i="59"/>
  <c r="J23" i="59"/>
  <c r="K23" i="59"/>
  <c r="F42" i="59"/>
  <c r="G42" i="59"/>
  <c r="J42" i="59"/>
  <c r="K42" i="59"/>
  <c r="J46" i="59"/>
  <c r="F46" i="59"/>
  <c r="G46" i="59"/>
  <c r="K46" i="59"/>
  <c r="F25" i="59"/>
  <c r="G25" i="59"/>
  <c r="J25" i="59"/>
  <c r="K25" i="59"/>
  <c r="F17" i="59"/>
  <c r="J17" i="59"/>
  <c r="G17" i="59"/>
  <c r="K17" i="59"/>
  <c r="G13" i="59"/>
  <c r="F13" i="59"/>
  <c r="J13" i="59"/>
  <c r="K13" i="59"/>
  <c r="R27" i="59" l="1"/>
  <c r="M37" i="59"/>
  <c r="M57" i="59"/>
  <c r="N46" i="59"/>
  <c r="M36" i="59"/>
  <c r="Q54" i="59"/>
  <c r="Q59" i="59" s="1"/>
  <c r="U59" i="59" s="1"/>
  <c r="R29" i="59"/>
  <c r="R30" i="59"/>
  <c r="S30" i="59" s="1"/>
  <c r="N43" i="59"/>
  <c r="N13" i="59"/>
  <c r="N23" i="59"/>
  <c r="N38" i="59"/>
  <c r="M28" i="59"/>
  <c r="N37" i="59"/>
  <c r="M14" i="59"/>
  <c r="N19" i="59"/>
  <c r="N35" i="59"/>
  <c r="N39" i="59"/>
  <c r="Q41" i="59"/>
  <c r="N36" i="59"/>
  <c r="O36" i="59" s="1"/>
  <c r="N16" i="59"/>
  <c r="Q18" i="59"/>
  <c r="P9" i="59"/>
  <c r="X9" i="59" s="1"/>
  <c r="Z9" i="59" s="1"/>
  <c r="AA9" i="59" s="1"/>
  <c r="AB9" i="59" s="1"/>
  <c r="M48" i="59"/>
  <c r="Q31" i="59"/>
  <c r="N48" i="59"/>
  <c r="N52" i="59"/>
  <c r="O52" i="59" s="1"/>
  <c r="Q53" i="59"/>
  <c r="U53" i="59" s="1"/>
  <c r="M31" i="59"/>
  <c r="Q49" i="59"/>
  <c r="M41" i="59"/>
  <c r="U41" i="59" s="1"/>
  <c r="M47" i="59"/>
  <c r="M49" i="59"/>
  <c r="N34" i="59"/>
  <c r="Q15" i="59"/>
  <c r="N50" i="59"/>
  <c r="N44" i="59"/>
  <c r="N11" i="59"/>
  <c r="Q35" i="59"/>
  <c r="R35" i="59" s="1"/>
  <c r="S35" i="59" s="1"/>
  <c r="N49" i="59"/>
  <c r="Q36" i="59"/>
  <c r="Q20" i="59"/>
  <c r="Q16" i="59"/>
  <c r="R16" i="59" s="1"/>
  <c r="S16" i="59" s="1"/>
  <c r="Q51" i="59"/>
  <c r="U51" i="59" s="1"/>
  <c r="Q17" i="59"/>
  <c r="Q22" i="59"/>
  <c r="Q24" i="59"/>
  <c r="N17" i="59"/>
  <c r="N22" i="59"/>
  <c r="N15" i="59"/>
  <c r="N24" i="59"/>
  <c r="N33" i="59"/>
  <c r="N32" i="59"/>
  <c r="Q48" i="59"/>
  <c r="M33" i="59"/>
  <c r="M44" i="59"/>
  <c r="T44" i="59" s="1"/>
  <c r="N40" i="59"/>
  <c r="Q45" i="59"/>
  <c r="Q21" i="59"/>
  <c r="M38" i="59"/>
  <c r="O38" i="59" s="1"/>
  <c r="Q50" i="59"/>
  <c r="N62" i="59"/>
  <c r="Q19" i="59"/>
  <c r="N53" i="59"/>
  <c r="O37" i="59"/>
  <c r="Q39" i="59"/>
  <c r="M23" i="59"/>
  <c r="P60" i="59"/>
  <c r="P65" i="59"/>
  <c r="M35" i="59"/>
  <c r="M46" i="59"/>
  <c r="M56" i="59"/>
  <c r="M61" i="59"/>
  <c r="L172" i="64"/>
  <c r="N12" i="57"/>
  <c r="I10" i="59" s="1"/>
  <c r="P10" i="59" s="1"/>
  <c r="N25" i="59"/>
  <c r="Q46" i="59"/>
  <c r="N42" i="59"/>
  <c r="M17" i="59"/>
  <c r="N47" i="59"/>
  <c r="M16" i="59"/>
  <c r="Q32" i="59"/>
  <c r="R32" i="59" s="1"/>
  <c r="S32" i="59" s="1"/>
  <c r="M12" i="59"/>
  <c r="M45" i="59"/>
  <c r="M32" i="59"/>
  <c r="C14" i="92"/>
  <c r="Q34" i="59"/>
  <c r="R34" i="59" s="1"/>
  <c r="S34" i="59" s="1"/>
  <c r="M21" i="59"/>
  <c r="Q40" i="59"/>
  <c r="R40" i="59" s="1"/>
  <c r="S40" i="59" s="1"/>
  <c r="M22" i="59"/>
  <c r="N54" i="59"/>
  <c r="R54" i="59" s="1"/>
  <c r="Q43" i="59"/>
  <c r="R43" i="59" s="1"/>
  <c r="S43" i="59" s="1"/>
  <c r="M15" i="59"/>
  <c r="Q44" i="59"/>
  <c r="R44" i="59" s="1"/>
  <c r="S44" i="59" s="1"/>
  <c r="M43" i="59"/>
  <c r="M42" i="59"/>
  <c r="Q38" i="59"/>
  <c r="Q55" i="59"/>
  <c r="M40" i="59"/>
  <c r="Q12" i="59"/>
  <c r="Q37" i="59"/>
  <c r="R37" i="59" s="1"/>
  <c r="M24" i="59"/>
  <c r="U31" i="59"/>
  <c r="D39" i="59"/>
  <c r="E39" i="59"/>
  <c r="R26" i="59"/>
  <c r="F14" i="92"/>
  <c r="R48" i="59"/>
  <c r="S48" i="59" s="1"/>
  <c r="U28" i="59"/>
  <c r="O28" i="59"/>
  <c r="M29" i="59"/>
  <c r="N18" i="59"/>
  <c r="S9" i="59"/>
  <c r="Q14" i="59"/>
  <c r="U36" i="59"/>
  <c r="U54" i="59"/>
  <c r="G8" i="57"/>
  <c r="H81" i="64"/>
  <c r="U49" i="59"/>
  <c r="H172" i="64"/>
  <c r="N8" i="57"/>
  <c r="Q13" i="59"/>
  <c r="R13" i="59" s="1"/>
  <c r="Q25" i="59"/>
  <c r="Q42" i="59"/>
  <c r="Q23" i="59"/>
  <c r="M27" i="59"/>
  <c r="M34" i="59"/>
  <c r="Q47" i="59"/>
  <c r="Q33" i="59"/>
  <c r="Q52" i="59"/>
  <c r="M11" i="59"/>
  <c r="N45" i="59"/>
  <c r="N21" i="59"/>
  <c r="M20" i="59"/>
  <c r="M19" i="59"/>
  <c r="M13" i="59"/>
  <c r="Q11" i="59"/>
  <c r="N55" i="59"/>
  <c r="N12" i="59"/>
  <c r="M25" i="59"/>
  <c r="D30" i="59"/>
  <c r="E30" i="59"/>
  <c r="N41" i="59"/>
  <c r="M18" i="59"/>
  <c r="N14" i="59"/>
  <c r="N20" i="59"/>
  <c r="R20" i="59" s="1"/>
  <c r="S20" i="59" s="1"/>
  <c r="N31" i="59"/>
  <c r="M26" i="59"/>
  <c r="M50" i="59"/>
  <c r="T50" i="59" s="1"/>
  <c r="N51" i="59"/>
  <c r="U38" i="59" l="1"/>
  <c r="T48" i="59"/>
  <c r="R39" i="59"/>
  <c r="S39" i="59" s="1"/>
  <c r="Q56" i="59"/>
  <c r="U56" i="59" s="1"/>
  <c r="R36" i="59"/>
  <c r="S36" i="59" s="1"/>
  <c r="Q58" i="59"/>
  <c r="C12" i="92"/>
  <c r="R23" i="59"/>
  <c r="S23" i="59" s="1"/>
  <c r="T9" i="59"/>
  <c r="V9" i="59" s="1"/>
  <c r="N57" i="59"/>
  <c r="R15" i="59"/>
  <c r="S15" i="59" s="1"/>
  <c r="T45" i="59"/>
  <c r="V45" i="59" s="1"/>
  <c r="R47" i="59"/>
  <c r="S47" i="59" s="1"/>
  <c r="F11" i="92"/>
  <c r="U14" i="59"/>
  <c r="O12" i="59"/>
  <c r="R25" i="59"/>
  <c r="S25" i="59" s="1"/>
  <c r="Q64" i="59"/>
  <c r="U64" i="59" s="1"/>
  <c r="T49" i="59"/>
  <c r="O48" i="59"/>
  <c r="X48" i="59" s="1"/>
  <c r="O44" i="59"/>
  <c r="X44" i="59" s="1"/>
  <c r="C16" i="92"/>
  <c r="U48" i="59"/>
  <c r="R38" i="59"/>
  <c r="Y38" i="59" s="1"/>
  <c r="C18" i="92"/>
  <c r="R33" i="59"/>
  <c r="S33" i="59" s="1"/>
  <c r="Q61" i="59"/>
  <c r="U61" i="59" s="1"/>
  <c r="T36" i="59"/>
  <c r="V36" i="59" s="1"/>
  <c r="R49" i="59"/>
  <c r="S49" i="59" s="1"/>
  <c r="F17" i="92"/>
  <c r="R53" i="59"/>
  <c r="R19" i="59"/>
  <c r="S19" i="59" s="1"/>
  <c r="C15" i="92"/>
  <c r="O49" i="59"/>
  <c r="X49" i="59" s="1"/>
  <c r="Q63" i="59"/>
  <c r="U63" i="59" s="1"/>
  <c r="R50" i="59"/>
  <c r="S50" i="59" s="1"/>
  <c r="V49" i="59"/>
  <c r="R14" i="59"/>
  <c r="F16" i="92"/>
  <c r="U44" i="59"/>
  <c r="V44" i="59" s="1"/>
  <c r="R22" i="59"/>
  <c r="S22" i="59" s="1"/>
  <c r="M39" i="59"/>
  <c r="B16" i="92" s="1"/>
  <c r="T33" i="59"/>
  <c r="C17" i="92"/>
  <c r="O33" i="59"/>
  <c r="Y33" i="59" s="1"/>
  <c r="C11" i="92"/>
  <c r="R18" i="59"/>
  <c r="S18" i="59" s="1"/>
  <c r="M30" i="59"/>
  <c r="T30" i="59" s="1"/>
  <c r="R24" i="59"/>
  <c r="S24" i="59" s="1"/>
  <c r="R17" i="59"/>
  <c r="S17" i="59" s="1"/>
  <c r="R41" i="59"/>
  <c r="S41" i="59" s="1"/>
  <c r="C10" i="92"/>
  <c r="F15" i="92"/>
  <c r="H15" i="92" s="1"/>
  <c r="O41" i="59"/>
  <c r="Q60" i="59"/>
  <c r="Q65" i="59"/>
  <c r="R55" i="59"/>
  <c r="S55" i="59" s="1"/>
  <c r="U55" i="59"/>
  <c r="U45" i="59"/>
  <c r="O45" i="59"/>
  <c r="R42" i="59"/>
  <c r="S42" i="59" s="1"/>
  <c r="U58" i="59"/>
  <c r="B18" i="92"/>
  <c r="T46" i="59"/>
  <c r="O23" i="59"/>
  <c r="T23" i="59"/>
  <c r="U23" i="59"/>
  <c r="N61" i="59"/>
  <c r="N56" i="59"/>
  <c r="O25" i="59"/>
  <c r="U25" i="59"/>
  <c r="T25" i="59"/>
  <c r="O13" i="59"/>
  <c r="U13" i="59"/>
  <c r="R45" i="59"/>
  <c r="S45" i="59" s="1"/>
  <c r="R51" i="59"/>
  <c r="Y28" i="59"/>
  <c r="R21" i="59"/>
  <c r="S21" i="59" s="1"/>
  <c r="Y36" i="59"/>
  <c r="X36" i="59"/>
  <c r="O31" i="59"/>
  <c r="Y48" i="59"/>
  <c r="T15" i="59"/>
  <c r="U15" i="59"/>
  <c r="O15" i="59"/>
  <c r="O22" i="59"/>
  <c r="T22" i="59"/>
  <c r="U22" i="59"/>
  <c r="U12" i="59"/>
  <c r="U46" i="59"/>
  <c r="F18" i="92"/>
  <c r="R46" i="59"/>
  <c r="S46" i="59" s="1"/>
  <c r="B9" i="92"/>
  <c r="B13" i="92"/>
  <c r="O35" i="59"/>
  <c r="U35" i="59"/>
  <c r="T35" i="59"/>
  <c r="U37" i="59"/>
  <c r="T47" i="59"/>
  <c r="F12" i="92"/>
  <c r="H12" i="92" s="1"/>
  <c r="O30" i="59"/>
  <c r="I6" i="59"/>
  <c r="H6" i="59"/>
  <c r="T10" i="59"/>
  <c r="V10" i="59" s="1"/>
  <c r="S10" i="59"/>
  <c r="X10" i="59"/>
  <c r="Z10" i="59" s="1"/>
  <c r="AA10" i="59" s="1"/>
  <c r="AB10" i="59" s="1"/>
  <c r="O29" i="59"/>
  <c r="U29" i="59"/>
  <c r="Y44" i="59"/>
  <c r="U39" i="59"/>
  <c r="T41" i="59"/>
  <c r="V41" i="59" s="1"/>
  <c r="T31" i="59"/>
  <c r="V31" i="59" s="1"/>
  <c r="O24" i="59"/>
  <c r="U24" i="59"/>
  <c r="T24" i="59"/>
  <c r="R12" i="59"/>
  <c r="O42" i="59"/>
  <c r="T42" i="59"/>
  <c r="U42" i="59"/>
  <c r="N59" i="59"/>
  <c r="N64" i="59"/>
  <c r="O54" i="59"/>
  <c r="O51" i="59"/>
  <c r="Y37" i="59"/>
  <c r="O47" i="59"/>
  <c r="R11" i="59"/>
  <c r="F10" i="92"/>
  <c r="O50" i="59"/>
  <c r="U50" i="59"/>
  <c r="V50" i="59" s="1"/>
  <c r="T19" i="59"/>
  <c r="U19" i="59"/>
  <c r="O19" i="59"/>
  <c r="U11" i="59"/>
  <c r="B10" i="92"/>
  <c r="O11" i="59"/>
  <c r="T34" i="59"/>
  <c r="U34" i="59"/>
  <c r="O34" i="59"/>
  <c r="O26" i="59"/>
  <c r="U26" i="59"/>
  <c r="B14" i="92"/>
  <c r="U18" i="59"/>
  <c r="O18" i="59"/>
  <c r="T18" i="59"/>
  <c r="N65" i="59"/>
  <c r="T65" i="59" s="1"/>
  <c r="N60" i="59"/>
  <c r="T60" i="59" s="1"/>
  <c r="T55" i="59"/>
  <c r="O55" i="59"/>
  <c r="U20" i="59"/>
  <c r="O20" i="59"/>
  <c r="T20" i="59"/>
  <c r="R52" i="59"/>
  <c r="Y52" i="59" s="1"/>
  <c r="Q57" i="59"/>
  <c r="Q62" i="59"/>
  <c r="U52" i="59"/>
  <c r="U27" i="59"/>
  <c r="O27" i="59"/>
  <c r="O62" i="59"/>
  <c r="O57" i="59"/>
  <c r="R31" i="59"/>
  <c r="S31" i="59" s="1"/>
  <c r="B17" i="92"/>
  <c r="B15" i="92"/>
  <c r="V48" i="59"/>
  <c r="T40" i="59"/>
  <c r="U40" i="59"/>
  <c r="O40" i="59"/>
  <c r="U43" i="59"/>
  <c r="T43" i="59"/>
  <c r="O43" i="59"/>
  <c r="O21" i="59"/>
  <c r="T21" i="59"/>
  <c r="U21" i="59"/>
  <c r="B12" i="92"/>
  <c r="O32" i="59"/>
  <c r="U32" i="59"/>
  <c r="T32" i="59"/>
  <c r="B11" i="92"/>
  <c r="O16" i="59"/>
  <c r="T16" i="59"/>
  <c r="U16" i="59"/>
  <c r="O17" i="59"/>
  <c r="T17" i="59"/>
  <c r="U17" i="59"/>
  <c r="N58" i="59"/>
  <c r="N63" i="59"/>
  <c r="O53" i="59"/>
  <c r="U33" i="59"/>
  <c r="U47" i="59"/>
  <c r="O46" i="59"/>
  <c r="O14" i="59"/>
  <c r="Y12" i="59" l="1"/>
  <c r="H11" i="92"/>
  <c r="R56" i="59"/>
  <c r="Y49" i="59"/>
  <c r="Z49" i="59" s="1"/>
  <c r="AA49" i="59" s="1"/>
  <c r="AB49" i="59" s="1"/>
  <c r="V55" i="59"/>
  <c r="X33" i="59"/>
  <c r="Z33" i="59" s="1"/>
  <c r="AA33" i="59" s="1"/>
  <c r="AB33" i="59" s="1"/>
  <c r="T39" i="59"/>
  <c r="V39" i="59" s="1"/>
  <c r="R64" i="59"/>
  <c r="O39" i="59"/>
  <c r="F13" i="92"/>
  <c r="R61" i="59"/>
  <c r="H18" i="92"/>
  <c r="H17" i="92"/>
  <c r="V33" i="59"/>
  <c r="V22" i="59"/>
  <c r="V15" i="59"/>
  <c r="F9" i="92"/>
  <c r="V32" i="59"/>
  <c r="V43" i="59"/>
  <c r="V23" i="59"/>
  <c r="U30" i="59"/>
  <c r="V30" i="59" s="1"/>
  <c r="Z36" i="59"/>
  <c r="AA36" i="59" s="1"/>
  <c r="AB36" i="59" s="1"/>
  <c r="V25" i="59"/>
  <c r="V24" i="59"/>
  <c r="P6" i="59"/>
  <c r="X6" i="59" s="1"/>
  <c r="Z6" i="59" s="1"/>
  <c r="AA6" i="59" s="1"/>
  <c r="AB6" i="59" s="1"/>
  <c r="Y14" i="59"/>
  <c r="Y43" i="59"/>
  <c r="X43" i="59"/>
  <c r="X34" i="59"/>
  <c r="Y34" i="59"/>
  <c r="D18" i="92"/>
  <c r="I18" i="92" s="1"/>
  <c r="X46" i="59"/>
  <c r="Y46" i="59"/>
  <c r="V16" i="59"/>
  <c r="V21" i="59"/>
  <c r="V40" i="59"/>
  <c r="O65" i="59"/>
  <c r="O60" i="59"/>
  <c r="X55" i="59"/>
  <c r="Y55" i="59"/>
  <c r="V18" i="59"/>
  <c r="V19" i="59"/>
  <c r="O56" i="59"/>
  <c r="O61" i="59"/>
  <c r="Y51" i="59"/>
  <c r="Y42" i="59"/>
  <c r="X42" i="59"/>
  <c r="X24" i="59"/>
  <c r="Y24" i="59"/>
  <c r="X39" i="59"/>
  <c r="Y39" i="59"/>
  <c r="Z44" i="59"/>
  <c r="AA44" i="59" s="1"/>
  <c r="AB44" i="59" s="1"/>
  <c r="V47" i="59"/>
  <c r="X35" i="59"/>
  <c r="Y35" i="59"/>
  <c r="Z48" i="59"/>
  <c r="AA48" i="59" s="1"/>
  <c r="AB48" i="59" s="1"/>
  <c r="D16" i="92"/>
  <c r="X23" i="59"/>
  <c r="Y23" i="59"/>
  <c r="D17" i="92"/>
  <c r="I17" i="92" s="1"/>
  <c r="J17" i="92" s="1"/>
  <c r="Y41" i="59"/>
  <c r="X41" i="59"/>
  <c r="X17" i="59"/>
  <c r="Y17" i="59"/>
  <c r="O63" i="59"/>
  <c r="O58" i="59"/>
  <c r="Y53" i="59"/>
  <c r="V17" i="59"/>
  <c r="D11" i="92"/>
  <c r="I11" i="92" s="1"/>
  <c r="J11" i="92" s="1"/>
  <c r="X16" i="59"/>
  <c r="Y16" i="59"/>
  <c r="Y32" i="59"/>
  <c r="X32" i="59"/>
  <c r="D12" i="92"/>
  <c r="I12" i="92" s="1"/>
  <c r="J12" i="92" s="1"/>
  <c r="Y21" i="59"/>
  <c r="X21" i="59"/>
  <c r="V20" i="59"/>
  <c r="X18" i="59"/>
  <c r="Y18" i="59"/>
  <c r="D14" i="92"/>
  <c r="Y26" i="59"/>
  <c r="V34" i="59"/>
  <c r="X50" i="59"/>
  <c r="Y50" i="59"/>
  <c r="R59" i="59"/>
  <c r="O59" i="59"/>
  <c r="O64" i="59"/>
  <c r="Y54" i="59"/>
  <c r="D15" i="92"/>
  <c r="I15" i="92" s="1"/>
  <c r="J15" i="92" s="1"/>
  <c r="X31" i="59"/>
  <c r="Y31" i="59"/>
  <c r="Y25" i="59"/>
  <c r="X25" i="59"/>
  <c r="V46" i="59"/>
  <c r="X45" i="59"/>
  <c r="Y45" i="59"/>
  <c r="R63" i="59"/>
  <c r="X40" i="59"/>
  <c r="Y40" i="59"/>
  <c r="Y27" i="59"/>
  <c r="U62" i="59"/>
  <c r="R62" i="59"/>
  <c r="Y20" i="59"/>
  <c r="X20" i="59"/>
  <c r="D10" i="92"/>
  <c r="Y11" i="59"/>
  <c r="Y19" i="59"/>
  <c r="X19" i="59"/>
  <c r="X47" i="59"/>
  <c r="Y47" i="59"/>
  <c r="Y29" i="59"/>
  <c r="X30" i="59"/>
  <c r="Y30" i="59"/>
  <c r="X22" i="59"/>
  <c r="Y22" i="59"/>
  <c r="Y13" i="59"/>
  <c r="C13" i="92"/>
  <c r="R65" i="59"/>
  <c r="S65" i="59" s="1"/>
  <c r="U65" i="59"/>
  <c r="V65" i="59" s="1"/>
  <c r="R57" i="59"/>
  <c r="U57" i="59"/>
  <c r="V42" i="59"/>
  <c r="V35" i="59"/>
  <c r="X15" i="59"/>
  <c r="Y15" i="59"/>
  <c r="C9" i="92"/>
  <c r="R58" i="59"/>
  <c r="R60" i="59"/>
  <c r="S60" i="59" s="1"/>
  <c r="U60" i="59"/>
  <c r="V60" i="59" s="1"/>
  <c r="J18" i="92" l="1"/>
  <c r="AF9" i="59"/>
  <c r="AF14" i="59"/>
  <c r="F79" i="85"/>
  <c r="I79" i="85" s="1"/>
  <c r="F76" i="85"/>
  <c r="I76" i="85" s="1"/>
  <c r="AF8" i="59"/>
  <c r="Z39" i="59"/>
  <c r="AA39" i="59" s="1"/>
  <c r="AB39" i="59" s="1"/>
  <c r="Z24" i="59"/>
  <c r="AA24" i="59" s="1"/>
  <c r="AB24" i="59" s="1"/>
  <c r="Z32" i="59"/>
  <c r="AA32" i="59" s="1"/>
  <c r="AB32" i="59" s="1"/>
  <c r="S6" i="59"/>
  <c r="F81" i="85"/>
  <c r="I81" i="85" s="1"/>
  <c r="T6" i="59"/>
  <c r="V6" i="59" s="1"/>
  <c r="Z20" i="59"/>
  <c r="AA20" i="59" s="1"/>
  <c r="AB20" i="59" s="1"/>
  <c r="Z25" i="59"/>
  <c r="AA25" i="59" s="1"/>
  <c r="AB25" i="59" s="1"/>
  <c r="Z16" i="59"/>
  <c r="AA16" i="59" s="1"/>
  <c r="AB16" i="59" s="1"/>
  <c r="Z23" i="59"/>
  <c r="AA23" i="59" s="1"/>
  <c r="AB23" i="59" s="1"/>
  <c r="Z35" i="59"/>
  <c r="AA35" i="59" s="1"/>
  <c r="AB35" i="59" s="1"/>
  <c r="Z47" i="59"/>
  <c r="AA47" i="59" s="1"/>
  <c r="AB47" i="59" s="1"/>
  <c r="Z34" i="59"/>
  <c r="AA34" i="59" s="1"/>
  <c r="AB34" i="59" s="1"/>
  <c r="Z22" i="59"/>
  <c r="AA22" i="59" s="1"/>
  <c r="AB22" i="59" s="1"/>
  <c r="Z31" i="59"/>
  <c r="AA31" i="59" s="1"/>
  <c r="AB31" i="59" s="1"/>
  <c r="Z50" i="59"/>
  <c r="AA50" i="59" s="1"/>
  <c r="AB50" i="59" s="1"/>
  <c r="Z55" i="59"/>
  <c r="AA55" i="59" s="1"/>
  <c r="AB55" i="59" s="1"/>
  <c r="Z46" i="59"/>
  <c r="AA46" i="59" s="1"/>
  <c r="AB46" i="59" s="1"/>
  <c r="Z43" i="59"/>
  <c r="AA43" i="59" s="1"/>
  <c r="AB43" i="59" s="1"/>
  <c r="Y64" i="59"/>
  <c r="Z30" i="59"/>
  <c r="AA30" i="59" s="1"/>
  <c r="AB30" i="59" s="1"/>
  <c r="AG9" i="59"/>
  <c r="Z19" i="59"/>
  <c r="AA19" i="59" s="1"/>
  <c r="AB19" i="59" s="1"/>
  <c r="Y62" i="59"/>
  <c r="Z40" i="59"/>
  <c r="AA40" i="59" s="1"/>
  <c r="AB40" i="59" s="1"/>
  <c r="Z45" i="59"/>
  <c r="AA45" i="59" s="1"/>
  <c r="AB45" i="59" s="1"/>
  <c r="Z18" i="59"/>
  <c r="AA18" i="59" s="1"/>
  <c r="AB18" i="59" s="1"/>
  <c r="Z21" i="59"/>
  <c r="AA21" i="59" s="1"/>
  <c r="AB21" i="59" s="1"/>
  <c r="Y63" i="59"/>
  <c r="Z15" i="59"/>
  <c r="AA15" i="59" s="1"/>
  <c r="AB15" i="59" s="1"/>
  <c r="AF15" i="59"/>
  <c r="F82" i="85"/>
  <c r="I82" i="85" s="1"/>
  <c r="Z41" i="59"/>
  <c r="AA41" i="59" s="1"/>
  <c r="AB41" i="59" s="1"/>
  <c r="Z42" i="59"/>
  <c r="AA42" i="59" s="1"/>
  <c r="AB42" i="59" s="1"/>
  <c r="Y60" i="59"/>
  <c r="X60" i="59"/>
  <c r="D9" i="92"/>
  <c r="Y61" i="59"/>
  <c r="X65" i="59"/>
  <c r="Y65" i="59"/>
  <c r="AG14" i="59"/>
  <c r="Y59" i="59"/>
  <c r="AF12" i="59"/>
  <c r="Y57" i="59"/>
  <c r="Y58" i="59"/>
  <c r="Z17" i="59"/>
  <c r="AA17" i="59" s="1"/>
  <c r="AB17" i="59" s="1"/>
  <c r="D13" i="92"/>
  <c r="Y56" i="59"/>
  <c r="F75" i="85"/>
  <c r="I75" i="85" s="1"/>
  <c r="AG8" i="59" l="1"/>
  <c r="Z60" i="59"/>
  <c r="AA60" i="59" s="1"/>
  <c r="AB60" i="59" s="1"/>
  <c r="Z65" i="59"/>
  <c r="AA65" i="59" s="1"/>
  <c r="AB65" i="59" s="1"/>
  <c r="N9" i="57"/>
  <c r="I172" i="64"/>
  <c r="AG15" i="59"/>
  <c r="AG12" i="59"/>
  <c r="G9" i="57" l="1"/>
  <c r="I81" i="64"/>
  <c r="I7" i="59" l="1"/>
  <c r="H7" i="59"/>
  <c r="P7" i="59" l="1"/>
  <c r="X7" i="59" s="1"/>
  <c r="Z7" i="59" s="1"/>
  <c r="AA7" i="59" s="1"/>
  <c r="AB7" i="59" s="1"/>
  <c r="S7" i="59" l="1"/>
  <c r="T7" i="59"/>
  <c r="V7" i="59" s="1"/>
  <c r="N10" i="57"/>
  <c r="J172" i="64"/>
  <c r="J81" i="64" l="1"/>
  <c r="G10" i="57"/>
  <c r="I8" i="59" l="1"/>
  <c r="H8" i="59"/>
  <c r="P8" i="59" l="1"/>
  <c r="X8" i="59" s="1"/>
  <c r="Z8" i="59" s="1"/>
  <c r="AA8" i="59" s="1"/>
  <c r="AB8" i="59" s="1"/>
  <c r="E8" i="92"/>
  <c r="T8" i="59" l="1"/>
  <c r="V8" i="59" s="1"/>
  <c r="S8" i="59"/>
  <c r="H8" i="92"/>
  <c r="I8" i="92"/>
  <c r="N13" i="57"/>
  <c r="H174" i="64"/>
  <c r="AF6" i="59"/>
  <c r="F72" i="85"/>
  <c r="I72" i="85" s="1"/>
  <c r="J8" i="92" l="1"/>
  <c r="AG6" i="59"/>
  <c r="N16" i="57"/>
  <c r="K174" i="64"/>
  <c r="N39" i="57" l="1"/>
  <c r="I182" i="64"/>
  <c r="G13" i="57" l="1"/>
  <c r="H83" i="64"/>
  <c r="G16" i="57" l="1"/>
  <c r="K83" i="64"/>
  <c r="I11" i="59"/>
  <c r="H11" i="59"/>
  <c r="P11" i="59" l="1"/>
  <c r="T11" i="59" s="1"/>
  <c r="V11" i="59" s="1"/>
  <c r="I14" i="59"/>
  <c r="H14" i="59"/>
  <c r="S11" i="59" l="1"/>
  <c r="X11" i="59"/>
  <c r="Z11" i="59" s="1"/>
  <c r="AA11" i="59" s="1"/>
  <c r="AB11" i="59" s="1"/>
  <c r="G39" i="57"/>
  <c r="I91" i="64"/>
  <c r="P14" i="59"/>
  <c r="I37" i="59" l="1"/>
  <c r="H37" i="59"/>
  <c r="T14" i="59"/>
  <c r="V14" i="59" s="1"/>
  <c r="S14" i="59"/>
  <c r="X14" i="59"/>
  <c r="Z14" i="59" s="1"/>
  <c r="AA14" i="59" s="1"/>
  <c r="AB14" i="59" s="1"/>
  <c r="P37" i="59" l="1"/>
  <c r="T37" i="59" s="1"/>
  <c r="V37" i="59" s="1"/>
  <c r="N40" i="57"/>
  <c r="J182" i="64"/>
  <c r="S37" i="59" l="1"/>
  <c r="X37" i="59"/>
  <c r="Z37" i="59" s="1"/>
  <c r="AA37" i="59" s="1"/>
  <c r="AB37" i="59" s="1"/>
  <c r="G40" i="57"/>
  <c r="J91" i="64"/>
  <c r="I38" i="59" l="1"/>
  <c r="H38" i="59"/>
  <c r="P38" i="59" s="1"/>
  <c r="T38" i="59" l="1"/>
  <c r="V38" i="59" s="1"/>
  <c r="S38" i="59"/>
  <c r="X38" i="59"/>
  <c r="Z38" i="59" s="1"/>
  <c r="AA38" i="59" s="1"/>
  <c r="AB38" i="59" s="1"/>
  <c r="E16" i="92"/>
  <c r="H16" i="92" l="1"/>
  <c r="I16" i="92"/>
  <c r="AF13" i="59"/>
  <c r="F80" i="85"/>
  <c r="I80" i="85" s="1"/>
  <c r="J16" i="92" l="1"/>
  <c r="N53" i="57"/>
  <c r="H178" i="64"/>
  <c r="AG13" i="59"/>
  <c r="N56" i="57" l="1"/>
  <c r="K178" i="64"/>
  <c r="N14" i="57" l="1"/>
  <c r="I174" i="64"/>
  <c r="G53" i="57" l="1"/>
  <c r="H87" i="64"/>
  <c r="G56" i="57" l="1"/>
  <c r="K87" i="64"/>
  <c r="I51" i="59"/>
  <c r="H51" i="59"/>
  <c r="P51" i="59" l="1"/>
  <c r="P56" i="59" s="1"/>
  <c r="P61" i="59"/>
  <c r="T51" i="59"/>
  <c r="V51" i="59" s="1"/>
  <c r="X51" i="59"/>
  <c r="Z51" i="59" s="1"/>
  <c r="AA51" i="59" s="1"/>
  <c r="AB51" i="59" s="1"/>
  <c r="S51" i="59"/>
  <c r="I54" i="59"/>
  <c r="H54" i="59"/>
  <c r="P54" i="59" l="1"/>
  <c r="P59" i="59" s="1"/>
  <c r="T61" i="59"/>
  <c r="V61" i="59" s="1"/>
  <c r="S61" i="59"/>
  <c r="X61" i="59"/>
  <c r="Z61" i="59" s="1"/>
  <c r="AA61" i="59" s="1"/>
  <c r="AB61" i="59" s="1"/>
  <c r="T56" i="59"/>
  <c r="V56" i="59" s="1"/>
  <c r="S56" i="59"/>
  <c r="X56" i="59"/>
  <c r="Z56" i="59" s="1"/>
  <c r="AA56" i="59" s="1"/>
  <c r="AB56" i="59" s="1"/>
  <c r="X54" i="59" l="1"/>
  <c r="Z54" i="59" s="1"/>
  <c r="AA54" i="59" s="1"/>
  <c r="AB54" i="59" s="1"/>
  <c r="P64" i="59"/>
  <c r="T64" i="59" s="1"/>
  <c r="V64" i="59" s="1"/>
  <c r="T54" i="59"/>
  <c r="V54" i="59" s="1"/>
  <c r="S54" i="59"/>
  <c r="G14" i="57"/>
  <c r="I83" i="64"/>
  <c r="T59" i="59"/>
  <c r="V59" i="59" s="1"/>
  <c r="S59" i="59"/>
  <c r="X59" i="59"/>
  <c r="Z59" i="59" s="1"/>
  <c r="AA59" i="59" s="1"/>
  <c r="AB59" i="59" s="1"/>
  <c r="S64" i="59" l="1"/>
  <c r="X64" i="59"/>
  <c r="Z64" i="59" s="1"/>
  <c r="AA64" i="59" s="1"/>
  <c r="AB64" i="59" s="1"/>
  <c r="I12" i="59"/>
  <c r="H12" i="59"/>
  <c r="P12" i="59" l="1"/>
  <c r="X12" i="59" s="1"/>
  <c r="Z12" i="59" s="1"/>
  <c r="AA12" i="59" s="1"/>
  <c r="AB12" i="59" s="1"/>
  <c r="S12" i="59"/>
  <c r="T12" i="59" l="1"/>
  <c r="V12" i="59" s="1"/>
  <c r="N15" i="57"/>
  <c r="J174" i="64"/>
  <c r="G15" i="57" l="1"/>
  <c r="J83" i="64"/>
  <c r="I13" i="59" l="1"/>
  <c r="H13" i="59"/>
  <c r="P13" i="59" s="1"/>
  <c r="S13" i="59" l="1"/>
  <c r="T13" i="59"/>
  <c r="V13" i="59" s="1"/>
  <c r="X13" i="59"/>
  <c r="Z13" i="59" s="1"/>
  <c r="AA13" i="59" s="1"/>
  <c r="AB13" i="59" s="1"/>
  <c r="E10" i="92"/>
  <c r="H10" i="92" l="1"/>
  <c r="I10" i="92"/>
  <c r="AF7" i="59"/>
  <c r="F74" i="85"/>
  <c r="I74" i="85" s="1"/>
  <c r="AG7" i="59" l="1"/>
  <c r="J10" i="92"/>
  <c r="N28" i="57" l="1"/>
  <c r="H180" i="64"/>
  <c r="N31" i="57" l="1"/>
  <c r="K180" i="64"/>
  <c r="G28" i="57" l="1"/>
  <c r="H89" i="64"/>
  <c r="G31" i="57" l="1"/>
  <c r="K89" i="64"/>
  <c r="I26" i="59"/>
  <c r="H26" i="59"/>
  <c r="P26" i="59" l="1"/>
  <c r="T26" i="59" s="1"/>
  <c r="V26" i="59" s="1"/>
  <c r="I29" i="59"/>
  <c r="H29" i="59"/>
  <c r="S26" i="59" l="1"/>
  <c r="X26" i="59"/>
  <c r="Z26" i="59" s="1"/>
  <c r="AA26" i="59" s="1"/>
  <c r="AB26" i="59" s="1"/>
  <c r="P29" i="59"/>
  <c r="T29" i="59" s="1"/>
  <c r="V29" i="59" s="1"/>
  <c r="S29" i="59" l="1"/>
  <c r="X29" i="59"/>
  <c r="Z29" i="59" s="1"/>
  <c r="AA29" i="59" s="1"/>
  <c r="AB29" i="59" s="1"/>
  <c r="N54" i="57" l="1"/>
  <c r="I178" i="64"/>
  <c r="G54" i="57" l="1"/>
  <c r="I87" i="64"/>
  <c r="I52" i="59" l="1"/>
  <c r="H52" i="59"/>
  <c r="P52" i="59" l="1"/>
  <c r="P57" i="59" s="1"/>
  <c r="X52" i="59" l="1"/>
  <c r="Z52" i="59" s="1"/>
  <c r="AA52" i="59" s="1"/>
  <c r="AB52" i="59" s="1"/>
  <c r="T52" i="59"/>
  <c r="V52" i="59" s="1"/>
  <c r="P62" i="59"/>
  <c r="X62" i="59" s="1"/>
  <c r="Z62" i="59" s="1"/>
  <c r="AA62" i="59" s="1"/>
  <c r="AB62" i="59" s="1"/>
  <c r="S52" i="59"/>
  <c r="T57" i="59"/>
  <c r="V57" i="59" s="1"/>
  <c r="X57" i="59"/>
  <c r="Z57" i="59" s="1"/>
  <c r="AA57" i="59" s="1"/>
  <c r="AB57" i="59" s="1"/>
  <c r="S57" i="59"/>
  <c r="S62" i="59" l="1"/>
  <c r="T62" i="59"/>
  <c r="V62" i="59" s="1"/>
  <c r="N55" i="57"/>
  <c r="J178" i="64"/>
  <c r="G55" i="57" l="1"/>
  <c r="J87" i="64"/>
  <c r="I53" i="59" l="1"/>
  <c r="H53" i="59"/>
  <c r="P53" i="59" l="1"/>
  <c r="P58" i="59" s="1"/>
  <c r="T53" i="59" l="1"/>
  <c r="V53" i="59" s="1"/>
  <c r="AF10" i="59" s="1"/>
  <c r="S53" i="59"/>
  <c r="P63" i="59"/>
  <c r="X63" i="59" s="1"/>
  <c r="Z63" i="59" s="1"/>
  <c r="AA63" i="59" s="1"/>
  <c r="AB63" i="59" s="1"/>
  <c r="X53" i="59"/>
  <c r="Z53" i="59" s="1"/>
  <c r="AA53" i="59" s="1"/>
  <c r="AB53" i="59" s="1"/>
  <c r="E9" i="92"/>
  <c r="T58" i="59"/>
  <c r="V58" i="59" s="1"/>
  <c r="F77" i="85" s="1"/>
  <c r="I77" i="85" s="1"/>
  <c r="S58" i="59"/>
  <c r="X58" i="59"/>
  <c r="Z58" i="59" s="1"/>
  <c r="AA58" i="59" s="1"/>
  <c r="AB58" i="59" s="1"/>
  <c r="E13" i="92"/>
  <c r="S63" i="59" l="1"/>
  <c r="T63" i="59"/>
  <c r="V63" i="59" s="1"/>
  <c r="F73" i="85" s="1"/>
  <c r="I73" i="85" s="1"/>
  <c r="AG10" i="59"/>
  <c r="H13" i="92"/>
  <c r="I13" i="92"/>
  <c r="H9" i="92"/>
  <c r="I9" i="92"/>
  <c r="J9" i="92" l="1"/>
  <c r="J13" i="92"/>
  <c r="N29" i="57" l="1"/>
  <c r="I180" i="64"/>
  <c r="G29" i="57" l="1"/>
  <c r="I89" i="64"/>
  <c r="I27" i="59" l="1"/>
  <c r="H27" i="59"/>
  <c r="P27" i="59" l="1"/>
  <c r="X27" i="59" s="1"/>
  <c r="Z27" i="59" s="1"/>
  <c r="AA27" i="59" s="1"/>
  <c r="AB27" i="59" s="1"/>
  <c r="S27" i="59" l="1"/>
  <c r="T27" i="59"/>
  <c r="V27" i="59" s="1"/>
  <c r="N30" i="57"/>
  <c r="J180" i="64"/>
  <c r="G30" i="57" l="1"/>
  <c r="J89" i="64"/>
  <c r="I28" i="59" l="1"/>
  <c r="H28" i="59"/>
  <c r="P28" i="59" l="1"/>
  <c r="S28" i="59" s="1"/>
  <c r="T28" i="59"/>
  <c r="V28" i="59" s="1"/>
  <c r="E14" i="92"/>
  <c r="X28" i="59" l="1"/>
  <c r="Z28" i="59" s="1"/>
  <c r="AA28" i="59" s="1"/>
  <c r="AB28" i="59" s="1"/>
  <c r="H14" i="92"/>
  <c r="I14" i="92"/>
  <c r="AF11" i="59"/>
  <c r="F78" i="85"/>
  <c r="I78" i="85" s="1"/>
  <c r="U50" i="85" l="1"/>
  <c r="AG11" i="59"/>
  <c r="AF16" i="59"/>
  <c r="AG16" i="59" s="1"/>
  <c r="J14" i="92"/>
  <c r="AG19" i="59" l="1"/>
  <c r="F7" i="73" l="1"/>
  <c r="M7" i="73"/>
  <c r="K50" i="85"/>
  <c r="D33" i="85" l="1"/>
  <c r="L43" i="85" l="1"/>
  <c r="L49" i="85"/>
  <c r="O46" i="85"/>
  <c r="L46" i="85"/>
  <c r="O43" i="85"/>
  <c r="O49" i="85"/>
  <c r="G26" i="85" l="1"/>
  <c r="H26" i="85"/>
  <c r="H32" i="85"/>
  <c r="G32" i="85"/>
  <c r="G29" i="85"/>
  <c r="H29" i="85"/>
  <c r="L48" i="85"/>
  <c r="O42" i="85"/>
  <c r="E26" i="85"/>
  <c r="E29" i="85"/>
  <c r="E32" i="85"/>
  <c r="O48" i="85"/>
  <c r="L42" i="85"/>
  <c r="H25" i="85" l="1"/>
  <c r="G25" i="85"/>
  <c r="G31" i="85"/>
  <c r="H31" i="85"/>
  <c r="F26" i="85"/>
  <c r="F29" i="85"/>
  <c r="E25" i="85"/>
  <c r="F32" i="85"/>
  <c r="E31" i="85"/>
  <c r="F31" i="85" l="1"/>
  <c r="F25" i="85"/>
  <c r="L39" i="85" l="1"/>
  <c r="O39" i="85"/>
  <c r="H22" i="85" l="1"/>
  <c r="G22" i="85"/>
  <c r="E22" i="85"/>
  <c r="F22" i="85" s="1"/>
  <c r="L47" i="85" l="1"/>
  <c r="O47" i="85"/>
  <c r="G30" i="85" l="1"/>
  <c r="H30" i="85"/>
  <c r="E30" i="85"/>
  <c r="F30" i="85" l="1"/>
  <c r="L41" i="85" l="1"/>
  <c r="O41" i="85"/>
  <c r="G24" i="85" l="1"/>
  <c r="H24" i="85"/>
  <c r="E24" i="85"/>
  <c r="F24" i="85" l="1"/>
  <c r="O40" i="85"/>
  <c r="G23" i="85" l="1"/>
  <c r="H23" i="85"/>
  <c r="O44" i="85"/>
  <c r="L44" i="85"/>
  <c r="L40" i="85"/>
  <c r="G27" i="85" l="1"/>
  <c r="H27" i="85"/>
  <c r="E27" i="85"/>
  <c r="E23" i="85"/>
  <c r="F23" i="85" s="1"/>
  <c r="F27" i="85" l="1"/>
  <c r="M50" i="85" l="1"/>
  <c r="N50" i="85" l="1"/>
  <c r="L45" i="85"/>
  <c r="L50" i="85" s="1"/>
  <c r="J50" i="85"/>
  <c r="O45" i="85"/>
  <c r="H28" i="85" l="1"/>
  <c r="G28" i="85"/>
  <c r="I33" i="85"/>
  <c r="O50" i="85"/>
  <c r="E28" i="85"/>
  <c r="F28" i="85" s="1"/>
  <c r="C33" i="85"/>
  <c r="G33" i="85" l="1"/>
  <c r="H33" i="85"/>
  <c r="E33" i="85"/>
  <c r="F33" i="85" s="1"/>
  <c r="E40" i="85" l="1"/>
  <c r="E42" i="85"/>
  <c r="E44" i="85"/>
  <c r="E46" i="85"/>
  <c r="E48" i="85"/>
  <c r="D50" i="85"/>
  <c r="E41" i="85"/>
  <c r="E43" i="85"/>
  <c r="E45" i="85"/>
  <c r="E47" i="85"/>
  <c r="E49" i="85"/>
  <c r="C50" i="85"/>
  <c r="E39" i="85"/>
  <c r="E50" i="85" l="1"/>
  <c r="P40" i="85" l="1"/>
  <c r="P47" i="85"/>
  <c r="P45" i="85"/>
  <c r="P48" i="85"/>
  <c r="P43" i="85"/>
  <c r="P49" i="85"/>
  <c r="P42" i="85"/>
  <c r="P46" i="85"/>
  <c r="P44" i="85"/>
  <c r="P41" i="85"/>
  <c r="H46" i="85"/>
  <c r="R46" i="85" s="1"/>
  <c r="H49" i="85"/>
  <c r="R49" i="85" s="1"/>
  <c r="H45" i="85"/>
  <c r="R45" i="85" s="1"/>
  <c r="Q47" i="85" l="1"/>
  <c r="Q44" i="85"/>
  <c r="W51" i="90"/>
  <c r="W52" i="90"/>
  <c r="W53" i="90"/>
  <c r="W54" i="90"/>
  <c r="W50" i="90"/>
  <c r="W22" i="90"/>
  <c r="W23" i="90"/>
  <c r="W20" i="90"/>
  <c r="W24" i="90"/>
  <c r="W21" i="90"/>
  <c r="W58" i="90"/>
  <c r="W57" i="90"/>
  <c r="W59" i="90"/>
  <c r="W56" i="90"/>
  <c r="W55" i="90"/>
  <c r="Q45" i="85"/>
  <c r="Q49" i="85"/>
  <c r="Q43" i="85"/>
  <c r="W14" i="90"/>
  <c r="W10" i="90"/>
  <c r="W12" i="90"/>
  <c r="W13" i="90"/>
  <c r="W11" i="90"/>
  <c r="W47" i="90"/>
  <c r="W46" i="90"/>
  <c r="W45" i="90"/>
  <c r="W49" i="90"/>
  <c r="W48" i="90"/>
  <c r="W35" i="90"/>
  <c r="W39" i="90"/>
  <c r="W36" i="90"/>
  <c r="W38" i="90"/>
  <c r="W37" i="90"/>
  <c r="Q46" i="85"/>
  <c r="W32" i="90"/>
  <c r="W30" i="90"/>
  <c r="W31" i="90"/>
  <c r="W34" i="90"/>
  <c r="W33" i="90"/>
  <c r="W44" i="90"/>
  <c r="W43" i="90"/>
  <c r="W41" i="90"/>
  <c r="W40" i="90"/>
  <c r="W42" i="90"/>
  <c r="H47" i="85"/>
  <c r="R47" i="85" s="1"/>
  <c r="Q40" i="85"/>
  <c r="H44" i="85"/>
  <c r="R44" i="85" s="1"/>
  <c r="W15" i="90"/>
  <c r="W16" i="90"/>
  <c r="W19" i="90"/>
  <c r="W18" i="90"/>
  <c r="W17" i="90"/>
  <c r="H43" i="85"/>
  <c r="R43" i="85" s="1"/>
  <c r="W25" i="90"/>
  <c r="W26" i="90"/>
  <c r="W28" i="90"/>
  <c r="W29" i="90"/>
  <c r="W27" i="90"/>
  <c r="H40" i="85"/>
  <c r="R40" i="85" s="1"/>
  <c r="Q48" i="85" l="1"/>
  <c r="H48" i="85"/>
  <c r="R48" i="85" s="1"/>
  <c r="L20" i="90"/>
  <c r="L23" i="90"/>
  <c r="L24" i="90"/>
  <c r="L21" i="90"/>
  <c r="L22" i="90"/>
  <c r="L28" i="90"/>
  <c r="L29" i="90"/>
  <c r="L27" i="90"/>
  <c r="L25" i="90"/>
  <c r="L26" i="90"/>
  <c r="Q41" i="85"/>
  <c r="H41" i="85"/>
  <c r="R41" i="85" s="1"/>
  <c r="L52" i="90"/>
  <c r="L53" i="90"/>
  <c r="L54" i="90"/>
  <c r="L50" i="90"/>
  <c r="L51" i="90"/>
  <c r="L55" i="90"/>
  <c r="L57" i="90"/>
  <c r="L58" i="90"/>
  <c r="L59" i="90"/>
  <c r="L56" i="90"/>
  <c r="L38" i="90"/>
  <c r="L37" i="90"/>
  <c r="L35" i="90"/>
  <c r="L36" i="90"/>
  <c r="L39" i="90"/>
  <c r="Q42" i="85"/>
  <c r="H42" i="85"/>
  <c r="R42" i="85" s="1"/>
  <c r="L33" i="90"/>
  <c r="L34" i="90"/>
  <c r="L30" i="90"/>
  <c r="L31" i="90"/>
  <c r="L32" i="90"/>
  <c r="L49" i="90"/>
  <c r="L45" i="90"/>
  <c r="L47" i="90"/>
  <c r="L46" i="90"/>
  <c r="L48" i="90"/>
  <c r="L17" i="90" l="1"/>
  <c r="L19" i="90"/>
  <c r="L16" i="90"/>
  <c r="L15" i="90"/>
  <c r="L18" i="90"/>
  <c r="L10" i="90"/>
  <c r="L14" i="90"/>
  <c r="L11" i="90"/>
  <c r="L12" i="90"/>
  <c r="L13" i="90"/>
  <c r="L41" i="90"/>
  <c r="L43" i="90"/>
  <c r="L40" i="90"/>
  <c r="L44" i="90"/>
  <c r="L42" i="90"/>
  <c r="F50" i="85" l="1"/>
  <c r="P39" i="85"/>
  <c r="W6" i="90" l="1"/>
  <c r="W5" i="90"/>
  <c r="W8" i="90"/>
  <c r="W7" i="90"/>
  <c r="W9" i="90"/>
  <c r="P50" i="85"/>
  <c r="G50" i="85" l="1"/>
  <c r="H39" i="85" l="1"/>
  <c r="R39" i="85" s="1"/>
  <c r="Q39" i="85"/>
  <c r="L6" i="90"/>
  <c r="L5" i="90" l="1"/>
  <c r="L7" i="90"/>
  <c r="L9" i="90"/>
  <c r="Q50" i="85"/>
  <c r="R50" i="85"/>
  <c r="L8" i="90"/>
  <c r="H50" i="85"/>
  <c r="I452" i="64" l="1"/>
  <c r="H452" i="64"/>
  <c r="J452" i="64"/>
  <c r="K452" i="64"/>
  <c r="L452" i="64"/>
  <c r="K450" i="64"/>
  <c r="L450" i="64"/>
  <c r="I450" i="64"/>
  <c r="H450" i="64"/>
  <c r="J450" i="64"/>
  <c r="K462" i="64"/>
  <c r="L462" i="64"/>
  <c r="I462" i="64"/>
  <c r="H462" i="64"/>
  <c r="J462" i="64"/>
  <c r="K470" i="64"/>
  <c r="L470" i="64"/>
  <c r="I470" i="64"/>
  <c r="H470" i="64"/>
  <c r="J470" i="64"/>
  <c r="L451" i="64"/>
  <c r="I451" i="64"/>
  <c r="H451" i="64"/>
  <c r="J451" i="64"/>
  <c r="K451" i="64"/>
  <c r="L463" i="64"/>
  <c r="I463" i="64"/>
  <c r="H463" i="64"/>
  <c r="J463" i="64"/>
  <c r="K463" i="64"/>
  <c r="I464" i="64"/>
  <c r="H464" i="64"/>
  <c r="J464" i="64"/>
  <c r="K464" i="64"/>
  <c r="L464" i="64"/>
  <c r="J445" i="64"/>
  <c r="K445" i="64"/>
  <c r="L445" i="64"/>
  <c r="I445" i="64"/>
  <c r="H445" i="64"/>
  <c r="J453" i="64"/>
  <c r="K453" i="64"/>
  <c r="L453" i="64"/>
  <c r="I453" i="64"/>
  <c r="H453" i="64"/>
  <c r="J465" i="64"/>
  <c r="K465" i="64"/>
  <c r="L465" i="64"/>
  <c r="I465" i="64"/>
  <c r="H465" i="64"/>
  <c r="K466" i="64"/>
  <c r="L466" i="64"/>
  <c r="I466" i="64"/>
  <c r="H466" i="64"/>
  <c r="J466" i="64"/>
  <c r="L455" i="64"/>
  <c r="I455" i="64"/>
  <c r="H455" i="64"/>
  <c r="J455" i="64"/>
  <c r="K455" i="64"/>
  <c r="L467" i="64"/>
  <c r="I467" i="64"/>
  <c r="H467" i="64"/>
  <c r="J467" i="64"/>
  <c r="K467" i="64"/>
  <c r="K446" i="64"/>
  <c r="L446" i="64"/>
  <c r="I446" i="64"/>
  <c r="H446" i="64"/>
  <c r="J446" i="64"/>
  <c r="K454" i="64"/>
  <c r="L454" i="64"/>
  <c r="I454" i="64"/>
  <c r="H454" i="64"/>
  <c r="J454" i="64"/>
  <c r="L447" i="64"/>
  <c r="I447" i="64"/>
  <c r="H447" i="64"/>
  <c r="J447" i="64"/>
  <c r="K447" i="64"/>
  <c r="I448" i="64"/>
  <c r="H448" i="64"/>
  <c r="J448" i="64"/>
  <c r="K448" i="64"/>
  <c r="L448" i="64"/>
  <c r="I456" i="64"/>
  <c r="H456" i="64"/>
  <c r="J456" i="64"/>
  <c r="K456" i="64"/>
  <c r="L456" i="64"/>
  <c r="I468" i="64"/>
  <c r="H468" i="64"/>
  <c r="J468" i="64"/>
  <c r="K468" i="64"/>
  <c r="L468" i="64"/>
  <c r="J449" i="64"/>
  <c r="K449" i="64"/>
  <c r="L449" i="64"/>
  <c r="H449" i="64"/>
  <c r="I449" i="64"/>
  <c r="J461" i="64"/>
  <c r="K461" i="64"/>
  <c r="L461" i="64"/>
  <c r="I461" i="64"/>
  <c r="H461" i="64"/>
  <c r="J469" i="64"/>
  <c r="K469" i="64"/>
  <c r="L469" i="64"/>
  <c r="I469" i="64"/>
  <c r="H469" i="64"/>
  <c r="E55" i="85"/>
  <c r="E59" i="85"/>
  <c r="E63" i="85"/>
  <c r="E56" i="85"/>
  <c r="E60" i="85"/>
  <c r="E64" i="85"/>
  <c r="E57" i="85"/>
  <c r="E61" i="85"/>
  <c r="E65" i="85"/>
  <c r="E58" i="85"/>
  <c r="E62" i="85"/>
  <c r="E66" i="85" l="1"/>
  <c r="S26" i="85"/>
  <c r="S29" i="85"/>
  <c r="S32" i="85"/>
  <c r="S25" i="85"/>
  <c r="S31" i="85"/>
  <c r="V16" i="90" l="1"/>
  <c r="X16" i="90" s="1"/>
  <c r="I318" i="64" s="1"/>
  <c r="U19" i="90"/>
  <c r="L305" i="64" s="1"/>
  <c r="U17" i="90"/>
  <c r="J305" i="64" s="1"/>
  <c r="U16" i="90"/>
  <c r="I305" i="64" s="1"/>
  <c r="V15" i="90"/>
  <c r="X15" i="90" s="1"/>
  <c r="H318" i="64" s="1"/>
  <c r="V18" i="90"/>
  <c r="X18" i="90" s="1"/>
  <c r="K318" i="64" s="1"/>
  <c r="V17" i="90"/>
  <c r="X17" i="90" s="1"/>
  <c r="J318" i="64" s="1"/>
  <c r="U18" i="90"/>
  <c r="K305" i="64" s="1"/>
  <c r="F9" i="85"/>
  <c r="V19" i="90"/>
  <c r="X19" i="90" s="1"/>
  <c r="L318" i="64" s="1"/>
  <c r="U15" i="90"/>
  <c r="H305" i="64" s="1"/>
  <c r="V30" i="90"/>
  <c r="X30" i="90" s="1"/>
  <c r="H324" i="64" s="1"/>
  <c r="U32" i="90"/>
  <c r="J311" i="64" s="1"/>
  <c r="F13" i="85"/>
  <c r="U31" i="90"/>
  <c r="I311" i="64" s="1"/>
  <c r="V32" i="90"/>
  <c r="X32" i="90" s="1"/>
  <c r="J324" i="64" s="1"/>
  <c r="V33" i="90"/>
  <c r="X33" i="90" s="1"/>
  <c r="K324" i="64" s="1"/>
  <c r="V34" i="90"/>
  <c r="X34" i="90" s="1"/>
  <c r="L324" i="64" s="1"/>
  <c r="V31" i="90"/>
  <c r="X31" i="90" s="1"/>
  <c r="I324" i="64" s="1"/>
  <c r="U30" i="90"/>
  <c r="H311" i="64" s="1"/>
  <c r="U33" i="90"/>
  <c r="K311" i="64" s="1"/>
  <c r="U34" i="90"/>
  <c r="L311" i="64" s="1"/>
  <c r="V41" i="90"/>
  <c r="X41" i="90" s="1"/>
  <c r="I326" i="64" s="1"/>
  <c r="U42" i="90"/>
  <c r="J313" i="64" s="1"/>
  <c r="U41" i="90"/>
  <c r="I313" i="64" s="1"/>
  <c r="V43" i="90"/>
  <c r="X43" i="90" s="1"/>
  <c r="K326" i="64" s="1"/>
  <c r="U44" i="90"/>
  <c r="L313" i="64" s="1"/>
  <c r="U40" i="90"/>
  <c r="H313" i="64" s="1"/>
  <c r="V44" i="90"/>
  <c r="X44" i="90" s="1"/>
  <c r="L326" i="64" s="1"/>
  <c r="U43" i="90"/>
  <c r="K313" i="64" s="1"/>
  <c r="V42" i="90"/>
  <c r="X42" i="90" s="1"/>
  <c r="J326" i="64" s="1"/>
  <c r="V40" i="90"/>
  <c r="X40" i="90" s="1"/>
  <c r="H326" i="64" s="1"/>
  <c r="F15" i="85"/>
  <c r="V45" i="90"/>
  <c r="X45" i="90" s="1"/>
  <c r="H327" i="64" s="1"/>
  <c r="U45" i="90"/>
  <c r="H314" i="64" s="1"/>
  <c r="V48" i="90"/>
  <c r="X48" i="90" s="1"/>
  <c r="K327" i="64" s="1"/>
  <c r="V49" i="90"/>
  <c r="X49" i="90" s="1"/>
  <c r="L327" i="64" s="1"/>
  <c r="V47" i="90"/>
  <c r="X47" i="90" s="1"/>
  <c r="J327" i="64" s="1"/>
  <c r="U46" i="90"/>
  <c r="I314" i="64" s="1"/>
  <c r="V46" i="90"/>
  <c r="X46" i="90" s="1"/>
  <c r="I327" i="64" s="1"/>
  <c r="U47" i="90"/>
  <c r="J314" i="64" s="1"/>
  <c r="U49" i="90"/>
  <c r="L314" i="64" s="1"/>
  <c r="U48" i="90"/>
  <c r="K314" i="64" s="1"/>
  <c r="F16" i="85"/>
  <c r="V24" i="90"/>
  <c r="X24" i="90" s="1"/>
  <c r="L319" i="64" s="1"/>
  <c r="U24" i="90"/>
  <c r="L306" i="64" s="1"/>
  <c r="U21" i="90"/>
  <c r="I306" i="64" s="1"/>
  <c r="U23" i="90"/>
  <c r="K306" i="64" s="1"/>
  <c r="V21" i="90"/>
  <c r="X21" i="90" s="1"/>
  <c r="I319" i="64" s="1"/>
  <c r="F10" i="85"/>
  <c r="V22" i="90"/>
  <c r="X22" i="90" s="1"/>
  <c r="J319" i="64" s="1"/>
  <c r="V20" i="90"/>
  <c r="X20" i="90" s="1"/>
  <c r="H319" i="64" s="1"/>
  <c r="V23" i="90"/>
  <c r="X23" i="90" s="1"/>
  <c r="K319" i="64" s="1"/>
  <c r="U20" i="90"/>
  <c r="H306" i="64" s="1"/>
  <c r="U22" i="90"/>
  <c r="J306" i="64" s="1"/>
  <c r="Z47" i="90" l="1"/>
  <c r="J444" i="64" s="1"/>
  <c r="Z49" i="90"/>
  <c r="L444" i="64" s="1"/>
  <c r="H28" i="64"/>
  <c r="Z46" i="90"/>
  <c r="I444" i="64" s="1"/>
  <c r="Z45" i="90"/>
  <c r="H444" i="64" s="1"/>
  <c r="Z48" i="90"/>
  <c r="K444" i="64" s="1"/>
  <c r="J28" i="64"/>
  <c r="K28" i="64"/>
  <c r="I28" i="64"/>
  <c r="L28" i="64"/>
  <c r="L20" i="64"/>
  <c r="Z24" i="90"/>
  <c r="L428" i="64" s="1"/>
  <c r="Z21" i="90"/>
  <c r="I428" i="64" s="1"/>
  <c r="H20" i="64"/>
  <c r="Z20" i="90"/>
  <c r="H428" i="64" s="1"/>
  <c r="I20" i="64"/>
  <c r="J20" i="64"/>
  <c r="Z22" i="90"/>
  <c r="J428" i="64" s="1"/>
  <c r="Z23" i="90"/>
  <c r="K428" i="64" s="1"/>
  <c r="K20" i="64"/>
  <c r="K25" i="64"/>
  <c r="H25" i="64"/>
  <c r="Z33" i="90"/>
  <c r="K438" i="64" s="1"/>
  <c r="Z30" i="90"/>
  <c r="H438" i="64" s="1"/>
  <c r="I25" i="64"/>
  <c r="Z32" i="90"/>
  <c r="J438" i="64" s="1"/>
  <c r="L25" i="64"/>
  <c r="Z31" i="90"/>
  <c r="I438" i="64" s="1"/>
  <c r="Z34" i="90"/>
  <c r="L438" i="64" s="1"/>
  <c r="J25" i="64"/>
  <c r="K27" i="64"/>
  <c r="J27" i="64"/>
  <c r="L27" i="64"/>
  <c r="Z41" i="90"/>
  <c r="I442" i="64" s="1"/>
  <c r="Z40" i="90"/>
  <c r="H442" i="64" s="1"/>
  <c r="Z43" i="90"/>
  <c r="K442" i="64" s="1"/>
  <c r="H27" i="64"/>
  <c r="I27" i="64"/>
  <c r="Z44" i="90"/>
  <c r="L442" i="64" s="1"/>
  <c r="Z42" i="90"/>
  <c r="J442" i="64" s="1"/>
  <c r="L19" i="64"/>
  <c r="J19" i="64"/>
  <c r="I19" i="64"/>
  <c r="K19" i="64"/>
  <c r="Z16" i="90"/>
  <c r="I426" i="64" s="1"/>
  <c r="Z17" i="90"/>
  <c r="J426" i="64" s="1"/>
  <c r="Z18" i="90"/>
  <c r="K426" i="64" s="1"/>
  <c r="H19" i="64"/>
  <c r="Z15" i="90"/>
  <c r="H426" i="64" s="1"/>
  <c r="Z19" i="90"/>
  <c r="L426" i="64" s="1"/>
  <c r="S22" i="85" l="1"/>
  <c r="V7" i="90" l="1"/>
  <c r="X7" i="90" s="1"/>
  <c r="J315" i="64" s="1"/>
  <c r="U6" i="90"/>
  <c r="I302" i="64" s="1"/>
  <c r="U9" i="90"/>
  <c r="L302" i="64" s="1"/>
  <c r="U5" i="90"/>
  <c r="V6" i="90"/>
  <c r="X6" i="90" s="1"/>
  <c r="I315" i="64" s="1"/>
  <c r="V5" i="90"/>
  <c r="F6" i="85"/>
  <c r="U8" i="90"/>
  <c r="K302" i="64" s="1"/>
  <c r="U7" i="90"/>
  <c r="J302" i="64" s="1"/>
  <c r="V9" i="90"/>
  <c r="X9" i="90" s="1"/>
  <c r="L315" i="64" s="1"/>
  <c r="V8" i="90"/>
  <c r="X8" i="90" s="1"/>
  <c r="K315" i="64" s="1"/>
  <c r="H302" i="64" l="1"/>
  <c r="Z6" i="90"/>
  <c r="I420" i="64" s="1"/>
  <c r="I16" i="64"/>
  <c r="Z8" i="90"/>
  <c r="K420" i="64" s="1"/>
  <c r="Z7" i="90"/>
  <c r="J420" i="64" s="1"/>
  <c r="L16" i="64"/>
  <c r="J16" i="64"/>
  <c r="Z5" i="90"/>
  <c r="H420" i="64" s="1"/>
  <c r="K16" i="64"/>
  <c r="H16" i="64"/>
  <c r="Z9" i="90"/>
  <c r="L420" i="64" s="1"/>
  <c r="X5" i="90"/>
  <c r="H315" i="64" l="1"/>
  <c r="S30" i="85" l="1"/>
  <c r="U36" i="90" l="1"/>
  <c r="I312" i="64" s="1"/>
  <c r="V37" i="90"/>
  <c r="X37" i="90" s="1"/>
  <c r="J325" i="64" s="1"/>
  <c r="V39" i="90"/>
  <c r="X39" i="90" s="1"/>
  <c r="L325" i="64" s="1"/>
  <c r="V35" i="90"/>
  <c r="X35" i="90" s="1"/>
  <c r="H325" i="64" s="1"/>
  <c r="U38" i="90"/>
  <c r="K312" i="64" s="1"/>
  <c r="V38" i="90"/>
  <c r="X38" i="90" s="1"/>
  <c r="K325" i="64" s="1"/>
  <c r="U37" i="90"/>
  <c r="J312" i="64" s="1"/>
  <c r="U35" i="90"/>
  <c r="H312" i="64" s="1"/>
  <c r="F14" i="85"/>
  <c r="V36" i="90"/>
  <c r="X36" i="90" s="1"/>
  <c r="I325" i="64" s="1"/>
  <c r="U39" i="90"/>
  <c r="L312" i="64" s="1"/>
  <c r="Z35" i="90" l="1"/>
  <c r="H440" i="64" s="1"/>
  <c r="Z39" i="90"/>
  <c r="L440" i="64" s="1"/>
  <c r="Z37" i="90"/>
  <c r="J440" i="64" s="1"/>
  <c r="L26" i="64"/>
  <c r="Z38" i="90"/>
  <c r="K440" i="64" s="1"/>
  <c r="Z36" i="90"/>
  <c r="I440" i="64" s="1"/>
  <c r="H26" i="64"/>
  <c r="I26" i="64"/>
  <c r="K26" i="64"/>
  <c r="J26" i="64"/>
  <c r="S23" i="85" l="1"/>
  <c r="V57" i="90" l="1"/>
  <c r="X57" i="90" s="1"/>
  <c r="J316" i="64" s="1"/>
  <c r="U56" i="90"/>
  <c r="I303" i="64" s="1"/>
  <c r="U59" i="90"/>
  <c r="L303" i="64" s="1"/>
  <c r="V56" i="90"/>
  <c r="X56" i="90" s="1"/>
  <c r="I316" i="64" s="1"/>
  <c r="V55" i="90"/>
  <c r="X55" i="90" s="1"/>
  <c r="H316" i="64" s="1"/>
  <c r="U55" i="90"/>
  <c r="H303" i="64" s="1"/>
  <c r="V58" i="90"/>
  <c r="X58" i="90" s="1"/>
  <c r="K316" i="64" s="1"/>
  <c r="V59" i="90"/>
  <c r="X59" i="90" s="1"/>
  <c r="L316" i="64" s="1"/>
  <c r="F7" i="85"/>
  <c r="U57" i="90"/>
  <c r="J303" i="64" s="1"/>
  <c r="U58" i="90"/>
  <c r="K303" i="64" s="1"/>
  <c r="K17" i="64" l="1"/>
  <c r="H17" i="64"/>
  <c r="Z59" i="90"/>
  <c r="L422" i="64" s="1"/>
  <c r="I17" i="64"/>
  <c r="L17" i="64"/>
  <c r="Z55" i="90"/>
  <c r="H422" i="64" s="1"/>
  <c r="J17" i="64"/>
  <c r="Z56" i="90"/>
  <c r="I422" i="64" s="1"/>
  <c r="Z57" i="90"/>
  <c r="J422" i="64" s="1"/>
  <c r="Z58" i="90"/>
  <c r="K422" i="64" s="1"/>
  <c r="S24" i="85" l="1"/>
  <c r="V13" i="90" l="1"/>
  <c r="X13" i="90" s="1"/>
  <c r="K317" i="64" s="1"/>
  <c r="U11" i="90"/>
  <c r="I304" i="64" s="1"/>
  <c r="V11" i="90"/>
  <c r="X11" i="90" s="1"/>
  <c r="I317" i="64" s="1"/>
  <c r="V14" i="90"/>
  <c r="X14" i="90" s="1"/>
  <c r="L317" i="64" s="1"/>
  <c r="U13" i="90"/>
  <c r="K304" i="64" s="1"/>
  <c r="V10" i="90"/>
  <c r="U12" i="90"/>
  <c r="J304" i="64" s="1"/>
  <c r="V12" i="90"/>
  <c r="X12" i="90" s="1"/>
  <c r="J317" i="64" s="1"/>
  <c r="F8" i="85"/>
  <c r="U14" i="90"/>
  <c r="L304" i="64" s="1"/>
  <c r="U10" i="90"/>
  <c r="H304" i="64" l="1"/>
  <c r="X10" i="90"/>
  <c r="Z11" i="90"/>
  <c r="I424" i="64" s="1"/>
  <c r="Z12" i="90"/>
  <c r="J424" i="64" s="1"/>
  <c r="Z13" i="90"/>
  <c r="K424" i="64" s="1"/>
  <c r="H18" i="64"/>
  <c r="K18" i="64"/>
  <c r="J18" i="64"/>
  <c r="Z10" i="90"/>
  <c r="H424" i="64" s="1"/>
  <c r="Z14" i="90"/>
  <c r="L424" i="64" s="1"/>
  <c r="I18" i="64"/>
  <c r="L18" i="64"/>
  <c r="H317" i="64" l="1"/>
  <c r="S27" i="85" l="1"/>
  <c r="U54" i="90" l="1"/>
  <c r="L307" i="64" s="1"/>
  <c r="V52" i="90"/>
  <c r="X52" i="90" s="1"/>
  <c r="J320" i="64" s="1"/>
  <c r="U52" i="90"/>
  <c r="J307" i="64" s="1"/>
  <c r="F11" i="85"/>
  <c r="V50" i="90"/>
  <c r="X50" i="90" s="1"/>
  <c r="H320" i="64" s="1"/>
  <c r="V54" i="90"/>
  <c r="X54" i="90" s="1"/>
  <c r="L320" i="64" s="1"/>
  <c r="V51" i="90"/>
  <c r="X51" i="90" s="1"/>
  <c r="I320" i="64" s="1"/>
  <c r="U53" i="90"/>
  <c r="K307" i="64" s="1"/>
  <c r="U51" i="90"/>
  <c r="I307" i="64" s="1"/>
  <c r="U50" i="90"/>
  <c r="H307" i="64" s="1"/>
  <c r="V53" i="90"/>
  <c r="X53" i="90" s="1"/>
  <c r="K320" i="64" s="1"/>
  <c r="Z54" i="90" l="1"/>
  <c r="L430" i="64" s="1"/>
  <c r="H21" i="64"/>
  <c r="I21" i="64"/>
  <c r="L21" i="64"/>
  <c r="J21" i="64"/>
  <c r="Z51" i="90"/>
  <c r="I430" i="64" s="1"/>
  <c r="Z50" i="90"/>
  <c r="H430" i="64" s="1"/>
  <c r="Z52" i="90"/>
  <c r="J430" i="64" s="1"/>
  <c r="Z53" i="90"/>
  <c r="K430" i="64" s="1"/>
  <c r="K21" i="64"/>
  <c r="S28" i="85" l="1"/>
  <c r="M33" i="85"/>
  <c r="U25" i="90" l="1"/>
  <c r="U29" i="90"/>
  <c r="L310" i="64" s="1"/>
  <c r="V27" i="90"/>
  <c r="X27" i="90" s="1"/>
  <c r="J323" i="64" s="1"/>
  <c r="U28" i="90"/>
  <c r="K310" i="64" s="1"/>
  <c r="V26" i="90"/>
  <c r="X26" i="90" s="1"/>
  <c r="I323" i="64" s="1"/>
  <c r="U27" i="90"/>
  <c r="J310" i="64" s="1"/>
  <c r="V29" i="90"/>
  <c r="X29" i="90" s="1"/>
  <c r="L323" i="64" s="1"/>
  <c r="U26" i="90"/>
  <c r="I310" i="64" s="1"/>
  <c r="V28" i="90"/>
  <c r="X28" i="90" s="1"/>
  <c r="K323" i="64" s="1"/>
  <c r="V25" i="90"/>
  <c r="F12" i="85"/>
  <c r="S33" i="85"/>
  <c r="H24" i="64" l="1"/>
  <c r="I24" i="64"/>
  <c r="Z25" i="90"/>
  <c r="H436" i="64" s="1"/>
  <c r="J24" i="64"/>
  <c r="Z26" i="90"/>
  <c r="I436" i="64" s="1"/>
  <c r="L24" i="64"/>
  <c r="Z29" i="90"/>
  <c r="L436" i="64" s="1"/>
  <c r="Z28" i="90"/>
  <c r="K436" i="64" s="1"/>
  <c r="Z27" i="90"/>
  <c r="J436" i="64" s="1"/>
  <c r="K24" i="64"/>
  <c r="F17" i="85"/>
  <c r="X25" i="90"/>
  <c r="H310" i="64"/>
  <c r="H323" i="64" l="1"/>
  <c r="P25" i="85" l="1"/>
  <c r="P32" i="85"/>
  <c r="P26" i="85"/>
  <c r="P31" i="85"/>
  <c r="P29" i="85"/>
  <c r="Q32" i="85"/>
  <c r="Q29" i="85"/>
  <c r="Q26" i="85"/>
  <c r="Q31" i="85"/>
  <c r="Q25" i="85"/>
  <c r="L31" i="85" l="1"/>
  <c r="R31" i="85" s="1"/>
  <c r="L32" i="85"/>
  <c r="R32" i="85" s="1"/>
  <c r="L29" i="85"/>
  <c r="R29" i="85" s="1"/>
  <c r="L26" i="85"/>
  <c r="R26" i="85" s="1"/>
  <c r="L25" i="85"/>
  <c r="R25" i="85" s="1"/>
  <c r="T32" i="85" l="1"/>
  <c r="O32" i="85"/>
  <c r="U32" i="85" s="1"/>
  <c r="H16" i="85" s="1"/>
  <c r="T29" i="85"/>
  <c r="O29" i="85"/>
  <c r="U29" i="85" s="1"/>
  <c r="H13" i="85" s="1"/>
  <c r="T25" i="85"/>
  <c r="O25" i="85"/>
  <c r="U25" i="85" s="1"/>
  <c r="H9" i="85" s="1"/>
  <c r="T26" i="85"/>
  <c r="O26" i="85"/>
  <c r="U26" i="85" s="1"/>
  <c r="H10" i="85" s="1"/>
  <c r="T31" i="85"/>
  <c r="O31" i="85"/>
  <c r="U31" i="85" s="1"/>
  <c r="H15" i="85" s="1"/>
  <c r="L33" i="64" l="1"/>
  <c r="I33" i="64"/>
  <c r="K33" i="64"/>
  <c r="H33" i="64"/>
  <c r="J33" i="64"/>
  <c r="J38" i="64"/>
  <c r="L38" i="64"/>
  <c r="H38" i="64"/>
  <c r="K38" i="64"/>
  <c r="I38" i="64"/>
  <c r="J24" i="90"/>
  <c r="L267" i="64" s="1"/>
  <c r="K24" i="90"/>
  <c r="M24" i="90" s="1"/>
  <c r="L280" i="64" s="1"/>
  <c r="K21" i="90"/>
  <c r="M21" i="90" s="1"/>
  <c r="I280" i="64" s="1"/>
  <c r="J21" i="90"/>
  <c r="I267" i="64" s="1"/>
  <c r="K23" i="90"/>
  <c r="M23" i="90" s="1"/>
  <c r="K280" i="64" s="1"/>
  <c r="K20" i="90"/>
  <c r="M20" i="90" s="1"/>
  <c r="H280" i="64" s="1"/>
  <c r="J20" i="90"/>
  <c r="H267" i="64" s="1"/>
  <c r="K22" i="90"/>
  <c r="M22" i="90" s="1"/>
  <c r="J280" i="64" s="1"/>
  <c r="J22" i="90"/>
  <c r="J267" i="64" s="1"/>
  <c r="J23" i="90"/>
  <c r="K267" i="64" s="1"/>
  <c r="G10" i="85"/>
  <c r="J32" i="90"/>
  <c r="J272" i="64" s="1"/>
  <c r="K34" i="90"/>
  <c r="M34" i="90" s="1"/>
  <c r="L285" i="64" s="1"/>
  <c r="G13" i="85"/>
  <c r="K31" i="90"/>
  <c r="M31" i="90" s="1"/>
  <c r="I285" i="64" s="1"/>
  <c r="J31" i="90"/>
  <c r="I272" i="64" s="1"/>
  <c r="J34" i="90"/>
  <c r="L272" i="64" s="1"/>
  <c r="J33" i="90"/>
  <c r="K272" i="64" s="1"/>
  <c r="J30" i="90"/>
  <c r="H272" i="64" s="1"/>
  <c r="K30" i="90"/>
  <c r="M30" i="90" s="1"/>
  <c r="H285" i="64" s="1"/>
  <c r="K32" i="90"/>
  <c r="M32" i="90" s="1"/>
  <c r="J285" i="64" s="1"/>
  <c r="K33" i="90"/>
  <c r="M33" i="90" s="1"/>
  <c r="K285" i="64" s="1"/>
  <c r="L22" i="85"/>
  <c r="P22" i="85"/>
  <c r="L40" i="64"/>
  <c r="J40" i="64"/>
  <c r="I40" i="64"/>
  <c r="H40" i="64"/>
  <c r="K40" i="64"/>
  <c r="J32" i="64"/>
  <c r="L32" i="64"/>
  <c r="H32" i="64"/>
  <c r="K32" i="64"/>
  <c r="I32" i="64"/>
  <c r="J41" i="64"/>
  <c r="I41" i="64"/>
  <c r="K41" i="64"/>
  <c r="H41" i="64"/>
  <c r="L41" i="64"/>
  <c r="Q22" i="85"/>
  <c r="K44" i="90"/>
  <c r="M44" i="90" s="1"/>
  <c r="L287" i="64" s="1"/>
  <c r="K40" i="90"/>
  <c r="M40" i="90" s="1"/>
  <c r="H287" i="64" s="1"/>
  <c r="G15" i="85"/>
  <c r="K42" i="90"/>
  <c r="M42" i="90" s="1"/>
  <c r="J287" i="64" s="1"/>
  <c r="J40" i="90"/>
  <c r="H274" i="64" s="1"/>
  <c r="K41" i="90"/>
  <c r="M41" i="90" s="1"/>
  <c r="I287" i="64" s="1"/>
  <c r="J44" i="90"/>
  <c r="L274" i="64" s="1"/>
  <c r="J41" i="90"/>
  <c r="I274" i="64" s="1"/>
  <c r="J43" i="90"/>
  <c r="K274" i="64" s="1"/>
  <c r="J42" i="90"/>
  <c r="J274" i="64" s="1"/>
  <c r="K43" i="90"/>
  <c r="M43" i="90" s="1"/>
  <c r="K287" i="64" s="1"/>
  <c r="K16" i="90"/>
  <c r="M16" i="90" s="1"/>
  <c r="I279" i="64" s="1"/>
  <c r="K18" i="90"/>
  <c r="M18" i="90" s="1"/>
  <c r="K279" i="64" s="1"/>
  <c r="K15" i="90"/>
  <c r="M15" i="90" s="1"/>
  <c r="H279" i="64" s="1"/>
  <c r="K17" i="90"/>
  <c r="M17" i="90" s="1"/>
  <c r="J279" i="64" s="1"/>
  <c r="J18" i="90"/>
  <c r="K266" i="64" s="1"/>
  <c r="G9" i="85"/>
  <c r="J16" i="90"/>
  <c r="I266" i="64" s="1"/>
  <c r="J15" i="90"/>
  <c r="H266" i="64" s="1"/>
  <c r="J17" i="90"/>
  <c r="J266" i="64" s="1"/>
  <c r="K19" i="90"/>
  <c r="M19" i="90" s="1"/>
  <c r="L279" i="64" s="1"/>
  <c r="J19" i="90"/>
  <c r="L266" i="64" s="1"/>
  <c r="J48" i="90"/>
  <c r="K275" i="64" s="1"/>
  <c r="K48" i="90"/>
  <c r="M48" i="90" s="1"/>
  <c r="K288" i="64" s="1"/>
  <c r="K46" i="90"/>
  <c r="M46" i="90" s="1"/>
  <c r="I288" i="64" s="1"/>
  <c r="J49" i="90"/>
  <c r="L275" i="64" s="1"/>
  <c r="J46" i="90"/>
  <c r="I275" i="64" s="1"/>
  <c r="G16" i="85"/>
  <c r="K49" i="90"/>
  <c r="M49" i="90" s="1"/>
  <c r="L288" i="64" s="1"/>
  <c r="K47" i="90"/>
  <c r="M47" i="90" s="1"/>
  <c r="J288" i="64" s="1"/>
  <c r="J45" i="90"/>
  <c r="H275" i="64" s="1"/>
  <c r="K45" i="90"/>
  <c r="M45" i="90" s="1"/>
  <c r="H288" i="64" s="1"/>
  <c r="J47" i="90"/>
  <c r="J275" i="64" s="1"/>
  <c r="K15" i="64" l="1"/>
  <c r="O48" i="90"/>
  <c r="K443" i="64" s="1"/>
  <c r="I15" i="64"/>
  <c r="O47" i="90"/>
  <c r="J443" i="64" s="1"/>
  <c r="O45" i="90"/>
  <c r="H443" i="64" s="1"/>
  <c r="O46" i="90"/>
  <c r="I443" i="64" s="1"/>
  <c r="H15" i="64"/>
  <c r="O49" i="90"/>
  <c r="L443" i="64" s="1"/>
  <c r="L15" i="64"/>
  <c r="J15" i="64"/>
  <c r="L14" i="64"/>
  <c r="I14" i="64"/>
  <c r="H14" i="64"/>
  <c r="O44" i="90"/>
  <c r="L441" i="64" s="1"/>
  <c r="J14" i="64"/>
  <c r="O43" i="90"/>
  <c r="K441" i="64" s="1"/>
  <c r="O40" i="90"/>
  <c r="H441" i="64" s="1"/>
  <c r="O41" i="90"/>
  <c r="I441" i="64" s="1"/>
  <c r="K14" i="64"/>
  <c r="O42" i="90"/>
  <c r="J441" i="64" s="1"/>
  <c r="T22" i="85"/>
  <c r="O22" i="85"/>
  <c r="R22" i="85"/>
  <c r="O21" i="90"/>
  <c r="I427" i="64" s="1"/>
  <c r="O22" i="90"/>
  <c r="J427" i="64" s="1"/>
  <c r="O23" i="90"/>
  <c r="K427" i="64" s="1"/>
  <c r="O24" i="90"/>
  <c r="L427" i="64" s="1"/>
  <c r="K7" i="64"/>
  <c r="L7" i="64"/>
  <c r="J7" i="64"/>
  <c r="H7" i="64"/>
  <c r="I7" i="64"/>
  <c r="O20" i="90"/>
  <c r="H427" i="64" s="1"/>
  <c r="J6" i="64"/>
  <c r="O16" i="90"/>
  <c r="I425" i="64" s="1"/>
  <c r="O18" i="90"/>
  <c r="K425" i="64" s="1"/>
  <c r="H6" i="64"/>
  <c r="O17" i="90"/>
  <c r="J425" i="64" s="1"/>
  <c r="K6" i="64"/>
  <c r="O15" i="90"/>
  <c r="H425" i="64" s="1"/>
  <c r="L6" i="64"/>
  <c r="I6" i="64"/>
  <c r="O19" i="90"/>
  <c r="L425" i="64" s="1"/>
  <c r="O33" i="90"/>
  <c r="K437" i="64" s="1"/>
  <c r="O30" i="90"/>
  <c r="H437" i="64" s="1"/>
  <c r="K12" i="64"/>
  <c r="O31" i="90"/>
  <c r="I437" i="64" s="1"/>
  <c r="L12" i="64"/>
  <c r="O32" i="90"/>
  <c r="J437" i="64" s="1"/>
  <c r="J12" i="64"/>
  <c r="I12" i="64"/>
  <c r="O34" i="90"/>
  <c r="L437" i="64" s="1"/>
  <c r="H12" i="64"/>
  <c r="Q30" i="85"/>
  <c r="K5" i="90" l="1"/>
  <c r="K9" i="90"/>
  <c r="M9" i="90" s="1"/>
  <c r="L276" i="64" s="1"/>
  <c r="G6" i="85"/>
  <c r="J5" i="90"/>
  <c r="J7" i="90"/>
  <c r="J263" i="64" s="1"/>
  <c r="K8" i="90"/>
  <c r="M8" i="90" s="1"/>
  <c r="K276" i="64" s="1"/>
  <c r="J6" i="90"/>
  <c r="I263" i="64" s="1"/>
  <c r="K7" i="90"/>
  <c r="M7" i="90" s="1"/>
  <c r="J276" i="64" s="1"/>
  <c r="K6" i="90"/>
  <c r="M6" i="90" s="1"/>
  <c r="I276" i="64" s="1"/>
  <c r="J9" i="90"/>
  <c r="L263" i="64" s="1"/>
  <c r="J8" i="90"/>
  <c r="K263" i="64" s="1"/>
  <c r="L30" i="85"/>
  <c r="R30" i="85" s="1"/>
  <c r="P30" i="85"/>
  <c r="U22" i="85"/>
  <c r="T30" i="85" l="1"/>
  <c r="O30" i="85"/>
  <c r="U30" i="85" s="1"/>
  <c r="H14" i="85" s="1"/>
  <c r="H263" i="64"/>
  <c r="H6" i="85"/>
  <c r="H3" i="64"/>
  <c r="I3" i="64"/>
  <c r="J3" i="64"/>
  <c r="O8" i="90"/>
  <c r="K419" i="64" s="1"/>
  <c r="O9" i="90"/>
  <c r="L419" i="64" s="1"/>
  <c r="O5" i="90"/>
  <c r="H419" i="64" s="1"/>
  <c r="O7" i="90"/>
  <c r="J419" i="64" s="1"/>
  <c r="L3" i="64"/>
  <c r="K3" i="64"/>
  <c r="O6" i="90"/>
  <c r="I419" i="64" s="1"/>
  <c r="M5" i="90"/>
  <c r="H276" i="64" l="1"/>
  <c r="P23" i="85"/>
  <c r="L23" i="85"/>
  <c r="L39" i="64"/>
  <c r="H39" i="64"/>
  <c r="J39" i="64"/>
  <c r="I39" i="64"/>
  <c r="K39" i="64"/>
  <c r="Q23" i="85"/>
  <c r="H29" i="64"/>
  <c r="K29" i="64"/>
  <c r="J29" i="64"/>
  <c r="I29" i="64"/>
  <c r="L29" i="64"/>
  <c r="J38" i="90"/>
  <c r="K273" i="64" s="1"/>
  <c r="J39" i="90"/>
  <c r="L273" i="64" s="1"/>
  <c r="K39" i="90"/>
  <c r="M39" i="90" s="1"/>
  <c r="L286" i="64" s="1"/>
  <c r="J37" i="90"/>
  <c r="J273" i="64" s="1"/>
  <c r="K36" i="90"/>
  <c r="M36" i="90" s="1"/>
  <c r="I286" i="64" s="1"/>
  <c r="G14" i="85"/>
  <c r="J35" i="90"/>
  <c r="H273" i="64" s="1"/>
  <c r="K37" i="90"/>
  <c r="M37" i="90" s="1"/>
  <c r="J286" i="64" s="1"/>
  <c r="K38" i="90"/>
  <c r="M38" i="90" s="1"/>
  <c r="K286" i="64" s="1"/>
  <c r="K35" i="90"/>
  <c r="M35" i="90" s="1"/>
  <c r="H286" i="64" s="1"/>
  <c r="J36" i="90"/>
  <c r="I273" i="64" s="1"/>
  <c r="T23" i="85" l="1"/>
  <c r="O23" i="85"/>
  <c r="O37" i="90"/>
  <c r="J439" i="64" s="1"/>
  <c r="O38" i="90"/>
  <c r="K439" i="64" s="1"/>
  <c r="O35" i="90"/>
  <c r="H439" i="64" s="1"/>
  <c r="J13" i="64"/>
  <c r="H13" i="64"/>
  <c r="O39" i="90"/>
  <c r="L439" i="64" s="1"/>
  <c r="I13" i="64"/>
  <c r="K13" i="64"/>
  <c r="L13" i="64"/>
  <c r="O36" i="90"/>
  <c r="I439" i="64" s="1"/>
  <c r="R23" i="85"/>
  <c r="L24" i="85" l="1"/>
  <c r="P24" i="85"/>
  <c r="U23" i="85"/>
  <c r="Q24" i="85"/>
  <c r="J59" i="90"/>
  <c r="L264" i="64" s="1"/>
  <c r="K59" i="90"/>
  <c r="M59" i="90" s="1"/>
  <c r="L277" i="64" s="1"/>
  <c r="G7" i="85"/>
  <c r="K56" i="90"/>
  <c r="M56" i="90" s="1"/>
  <c r="I277" i="64" s="1"/>
  <c r="J58" i="90"/>
  <c r="K264" i="64" s="1"/>
  <c r="J56" i="90"/>
  <c r="I264" i="64" s="1"/>
  <c r="K55" i="90"/>
  <c r="M55" i="90" s="1"/>
  <c r="H277" i="64" s="1"/>
  <c r="J55" i="90"/>
  <c r="H264" i="64" s="1"/>
  <c r="J57" i="90"/>
  <c r="J264" i="64" s="1"/>
  <c r="K58" i="90"/>
  <c r="M58" i="90" s="1"/>
  <c r="K277" i="64" s="1"/>
  <c r="K57" i="90"/>
  <c r="M57" i="90" s="1"/>
  <c r="J277" i="64" s="1"/>
  <c r="H7" i="85" l="1"/>
  <c r="T24" i="85"/>
  <c r="O24" i="85"/>
  <c r="O58" i="90"/>
  <c r="K421" i="64" s="1"/>
  <c r="H4" i="64"/>
  <c r="K4" i="64"/>
  <c r="O55" i="90"/>
  <c r="H421" i="64" s="1"/>
  <c r="L4" i="64"/>
  <c r="I4" i="64"/>
  <c r="J4" i="64"/>
  <c r="O56" i="90"/>
  <c r="I421" i="64" s="1"/>
  <c r="O59" i="90"/>
  <c r="L421" i="64" s="1"/>
  <c r="O57" i="90"/>
  <c r="J421" i="64" s="1"/>
  <c r="R24" i="85"/>
  <c r="U24" i="85" l="1"/>
  <c r="P27" i="85"/>
  <c r="L27" i="85"/>
  <c r="K14" i="90"/>
  <c r="M14" i="90" s="1"/>
  <c r="L278" i="64" s="1"/>
  <c r="J14" i="90"/>
  <c r="L265" i="64" s="1"/>
  <c r="J10" i="90"/>
  <c r="K13" i="90"/>
  <c r="M13" i="90" s="1"/>
  <c r="K278" i="64" s="1"/>
  <c r="K10" i="90"/>
  <c r="K12" i="90"/>
  <c r="M12" i="90" s="1"/>
  <c r="J278" i="64" s="1"/>
  <c r="K11" i="90"/>
  <c r="M11" i="90" s="1"/>
  <c r="I278" i="64" s="1"/>
  <c r="G8" i="85"/>
  <c r="J12" i="90"/>
  <c r="J265" i="64" s="1"/>
  <c r="J11" i="90"/>
  <c r="I265" i="64" s="1"/>
  <c r="J13" i="90"/>
  <c r="K265" i="64" s="1"/>
  <c r="Q27" i="85"/>
  <c r="H30" i="64"/>
  <c r="L30" i="64"/>
  <c r="J30" i="64"/>
  <c r="K30" i="64"/>
  <c r="I30" i="64"/>
  <c r="T27" i="85" l="1"/>
  <c r="O27" i="85"/>
  <c r="O11" i="90"/>
  <c r="I423" i="64" s="1"/>
  <c r="O12" i="90"/>
  <c r="J423" i="64" s="1"/>
  <c r="L5" i="64"/>
  <c r="H5" i="64"/>
  <c r="K5" i="64"/>
  <c r="O10" i="90"/>
  <c r="H423" i="64" s="1"/>
  <c r="O13" i="90"/>
  <c r="K423" i="64" s="1"/>
  <c r="I5" i="64"/>
  <c r="J5" i="64"/>
  <c r="O14" i="90"/>
  <c r="L423" i="64" s="1"/>
  <c r="R27" i="85"/>
  <c r="H265" i="64"/>
  <c r="M10" i="90"/>
  <c r="H8" i="85"/>
  <c r="L28" i="85" l="1"/>
  <c r="P28" i="85"/>
  <c r="J33" i="85"/>
  <c r="J31" i="64"/>
  <c r="L31" i="64"/>
  <c r="H31" i="64"/>
  <c r="I31" i="64"/>
  <c r="K31" i="64"/>
  <c r="Q28" i="85"/>
  <c r="K33" i="85"/>
  <c r="H278" i="64"/>
  <c r="U27" i="85"/>
  <c r="J54" i="90"/>
  <c r="L268" i="64" s="1"/>
  <c r="J53" i="90"/>
  <c r="K268" i="64" s="1"/>
  <c r="J51" i="90"/>
  <c r="I268" i="64" s="1"/>
  <c r="K51" i="90"/>
  <c r="M51" i="90" s="1"/>
  <c r="I281" i="64" s="1"/>
  <c r="K53" i="90"/>
  <c r="M53" i="90" s="1"/>
  <c r="K281" i="64" s="1"/>
  <c r="J50" i="90"/>
  <c r="H268" i="64" s="1"/>
  <c r="K50" i="90"/>
  <c r="M50" i="90" s="1"/>
  <c r="H281" i="64" s="1"/>
  <c r="J52" i="90"/>
  <c r="J268" i="64" s="1"/>
  <c r="G11" i="85"/>
  <c r="K54" i="90"/>
  <c r="M54" i="90" s="1"/>
  <c r="L281" i="64" s="1"/>
  <c r="K52" i="90"/>
  <c r="M52" i="90" s="1"/>
  <c r="J281" i="64" s="1"/>
  <c r="P33" i="85" l="1"/>
  <c r="Q33" i="85"/>
  <c r="K9" i="64"/>
  <c r="O53" i="90"/>
  <c r="K429" i="64" s="1"/>
  <c r="H9" i="64"/>
  <c r="O52" i="90"/>
  <c r="J429" i="64" s="1"/>
  <c r="L9" i="64"/>
  <c r="O54" i="90"/>
  <c r="L429" i="64" s="1"/>
  <c r="J9" i="64"/>
  <c r="I9" i="64"/>
  <c r="O50" i="90"/>
  <c r="H429" i="64" s="1"/>
  <c r="O51" i="90"/>
  <c r="I429" i="64" s="1"/>
  <c r="H11" i="85"/>
  <c r="R28" i="85"/>
  <c r="R33" i="85" s="1"/>
  <c r="L33" i="85"/>
  <c r="L34" i="64" l="1"/>
  <c r="H34" i="64"/>
  <c r="I34" i="64"/>
  <c r="K34" i="64"/>
  <c r="J34" i="64"/>
  <c r="T28" i="85" l="1"/>
  <c r="O28" i="85"/>
  <c r="N33" i="85"/>
  <c r="U28" i="85" l="1"/>
  <c r="O33" i="85"/>
  <c r="J26" i="90"/>
  <c r="I271" i="64" s="1"/>
  <c r="J27" i="90"/>
  <c r="J271" i="64" s="1"/>
  <c r="G12" i="85"/>
  <c r="K25" i="90"/>
  <c r="J28" i="90"/>
  <c r="K271" i="64" s="1"/>
  <c r="K27" i="90"/>
  <c r="M27" i="90" s="1"/>
  <c r="J284" i="64" s="1"/>
  <c r="K29" i="90"/>
  <c r="M29" i="90" s="1"/>
  <c r="L284" i="64" s="1"/>
  <c r="K26" i="90"/>
  <c r="M26" i="90" s="1"/>
  <c r="I284" i="64" s="1"/>
  <c r="J29" i="90"/>
  <c r="L271" i="64" s="1"/>
  <c r="J25" i="90"/>
  <c r="K28" i="90"/>
  <c r="M28" i="90" s="1"/>
  <c r="K284" i="64" s="1"/>
  <c r="T33" i="85"/>
  <c r="H271" i="64" l="1"/>
  <c r="M25" i="90"/>
  <c r="H11" i="64"/>
  <c r="I11" i="64"/>
  <c r="O28" i="90"/>
  <c r="K435" i="64" s="1"/>
  <c r="L11" i="64"/>
  <c r="O27" i="90"/>
  <c r="J435" i="64" s="1"/>
  <c r="O25" i="90"/>
  <c r="H435" i="64" s="1"/>
  <c r="O29" i="90"/>
  <c r="L435" i="64" s="1"/>
  <c r="K11" i="64"/>
  <c r="O26" i="90"/>
  <c r="I435" i="64" s="1"/>
  <c r="J11" i="64"/>
  <c r="G17" i="85"/>
  <c r="H12" i="85"/>
  <c r="U33" i="85"/>
  <c r="H284" i="64" l="1"/>
  <c r="J37" i="64"/>
  <c r="K37" i="64"/>
  <c r="I37" i="64"/>
  <c r="H37" i="64"/>
  <c r="L37" i="64"/>
  <c r="H17" i="85"/>
  <c r="J61" i="85" l="1"/>
  <c r="J12" i="85" s="1"/>
  <c r="J59" i="85"/>
  <c r="J10" i="85" s="1"/>
  <c r="J58" i="85"/>
  <c r="J9" i="85" s="1"/>
  <c r="J64" i="85"/>
  <c r="J15" i="85" s="1"/>
  <c r="J62" i="85"/>
  <c r="J13" i="85" s="1"/>
  <c r="J65" i="85"/>
  <c r="J16" i="85" s="1"/>
  <c r="J63" i="85"/>
  <c r="J14" i="85" s="1"/>
  <c r="J60" i="85"/>
  <c r="J11" i="85" s="1"/>
  <c r="J57" i="85"/>
  <c r="J8" i="85" s="1"/>
  <c r="H57" i="85" l="1"/>
  <c r="K57" i="85" s="1"/>
  <c r="K8" i="85" s="1"/>
  <c r="I57" i="85"/>
  <c r="I8" i="85" s="1"/>
  <c r="N14" i="90"/>
  <c r="L291" i="64" s="1"/>
  <c r="N12" i="90"/>
  <c r="J291" i="64" s="1"/>
  <c r="N13" i="90"/>
  <c r="K291" i="64" s="1"/>
  <c r="N11" i="90"/>
  <c r="I291" i="64" s="1"/>
  <c r="N10" i="90"/>
  <c r="H291" i="64" s="1"/>
  <c r="H60" i="85"/>
  <c r="K60" i="85" s="1"/>
  <c r="K11" i="85" s="1"/>
  <c r="I60" i="85"/>
  <c r="I11" i="85" s="1"/>
  <c r="N35" i="90"/>
  <c r="H299" i="64" s="1"/>
  <c r="N39" i="90"/>
  <c r="L299" i="64" s="1"/>
  <c r="N37" i="90"/>
  <c r="J299" i="64" s="1"/>
  <c r="N38" i="90"/>
  <c r="K299" i="64" s="1"/>
  <c r="N36" i="90"/>
  <c r="I299" i="64" s="1"/>
  <c r="N48" i="90"/>
  <c r="K301" i="64" s="1"/>
  <c r="N47" i="90"/>
  <c r="J301" i="64" s="1"/>
  <c r="N46" i="90"/>
  <c r="I301" i="64" s="1"/>
  <c r="N49" i="90"/>
  <c r="L301" i="64" s="1"/>
  <c r="N45" i="90"/>
  <c r="H301" i="64" s="1"/>
  <c r="H58" i="85"/>
  <c r="K58" i="85" s="1"/>
  <c r="K9" i="85" s="1"/>
  <c r="I58" i="85"/>
  <c r="I9" i="85" s="1"/>
  <c r="N54" i="90"/>
  <c r="L294" i="64" s="1"/>
  <c r="N50" i="90"/>
  <c r="H294" i="64" s="1"/>
  <c r="N52" i="90"/>
  <c r="J294" i="64" s="1"/>
  <c r="N51" i="90"/>
  <c r="I294" i="64" s="1"/>
  <c r="N53" i="90"/>
  <c r="K294" i="64" s="1"/>
  <c r="N32" i="90"/>
  <c r="J298" i="64" s="1"/>
  <c r="N34" i="90"/>
  <c r="L298" i="64" s="1"/>
  <c r="N33" i="90"/>
  <c r="K298" i="64" s="1"/>
  <c r="N31" i="90"/>
  <c r="I298" i="64" s="1"/>
  <c r="N30" i="90"/>
  <c r="H298" i="64" s="1"/>
  <c r="H64" i="85"/>
  <c r="K64" i="85" s="1"/>
  <c r="K15" i="85" s="1"/>
  <c r="I64" i="85"/>
  <c r="I15" i="85" s="1"/>
  <c r="N17" i="90"/>
  <c r="J292" i="64" s="1"/>
  <c r="N15" i="90"/>
  <c r="H292" i="64" s="1"/>
  <c r="N16" i="90"/>
  <c r="I292" i="64" s="1"/>
  <c r="N19" i="90"/>
  <c r="L292" i="64" s="1"/>
  <c r="N18" i="90"/>
  <c r="K292" i="64" s="1"/>
  <c r="H59" i="85"/>
  <c r="K59" i="85" s="1"/>
  <c r="K10" i="85" s="1"/>
  <c r="I59" i="85"/>
  <c r="I10" i="85" s="1"/>
  <c r="N25" i="90"/>
  <c r="H297" i="64" s="1"/>
  <c r="N28" i="90"/>
  <c r="K297" i="64" s="1"/>
  <c r="N26" i="90"/>
  <c r="I297" i="64" s="1"/>
  <c r="N27" i="90"/>
  <c r="J297" i="64" s="1"/>
  <c r="N29" i="90"/>
  <c r="L297" i="64" s="1"/>
  <c r="H65" i="85"/>
  <c r="K65" i="85" s="1"/>
  <c r="K16" i="85" s="1"/>
  <c r="I65" i="85"/>
  <c r="I16" i="85" s="1"/>
  <c r="N21" i="90"/>
  <c r="I293" i="64" s="1"/>
  <c r="N22" i="90"/>
  <c r="J293" i="64" s="1"/>
  <c r="N20" i="90"/>
  <c r="H293" i="64" s="1"/>
  <c r="N24" i="90"/>
  <c r="L293" i="64" s="1"/>
  <c r="N23" i="90"/>
  <c r="K293" i="64" s="1"/>
  <c r="H63" i="85"/>
  <c r="K63" i="85" s="1"/>
  <c r="K14" i="85" s="1"/>
  <c r="I63" i="85"/>
  <c r="I14" i="85" s="1"/>
  <c r="H62" i="85"/>
  <c r="K62" i="85" s="1"/>
  <c r="K13" i="85" s="1"/>
  <c r="I62" i="85"/>
  <c r="I13" i="85" s="1"/>
  <c r="N40" i="90"/>
  <c r="H300" i="64" s="1"/>
  <c r="N44" i="90"/>
  <c r="L300" i="64" s="1"/>
  <c r="N41" i="90"/>
  <c r="I300" i="64" s="1"/>
  <c r="N42" i="90"/>
  <c r="J300" i="64" s="1"/>
  <c r="N43" i="90"/>
  <c r="K300" i="64" s="1"/>
  <c r="H61" i="85"/>
  <c r="K61" i="85" s="1"/>
  <c r="K12" i="85" s="1"/>
  <c r="I61" i="85"/>
  <c r="I12" i="85" s="1"/>
  <c r="J56" i="85"/>
  <c r="J7" i="85" s="1"/>
  <c r="J55" i="85"/>
  <c r="J66" i="85" l="1"/>
  <c r="H56" i="85"/>
  <c r="K56" i="85" s="1"/>
  <c r="K7" i="85" s="1"/>
  <c r="I56" i="85"/>
  <c r="I7" i="85" s="1"/>
  <c r="J6" i="85"/>
  <c r="H55" i="85"/>
  <c r="I55" i="85"/>
  <c r="Y34" i="90"/>
  <c r="L337" i="64" s="1"/>
  <c r="Y32" i="90"/>
  <c r="J337" i="64" s="1"/>
  <c r="Y31" i="90"/>
  <c r="I337" i="64" s="1"/>
  <c r="Y30" i="90"/>
  <c r="H337" i="64" s="1"/>
  <c r="Y33" i="90"/>
  <c r="K337" i="64" s="1"/>
  <c r="Y20" i="90"/>
  <c r="H332" i="64" s="1"/>
  <c r="Y22" i="90"/>
  <c r="J332" i="64" s="1"/>
  <c r="Y21" i="90"/>
  <c r="I332" i="64" s="1"/>
  <c r="Y24" i="90"/>
  <c r="L332" i="64" s="1"/>
  <c r="Y23" i="90"/>
  <c r="K332" i="64" s="1"/>
  <c r="N57" i="90"/>
  <c r="J290" i="64" s="1"/>
  <c r="N59" i="90"/>
  <c r="L290" i="64" s="1"/>
  <c r="N56" i="90"/>
  <c r="I290" i="64" s="1"/>
  <c r="N55" i="90"/>
  <c r="H290" i="64" s="1"/>
  <c r="N58" i="90"/>
  <c r="K290" i="64" s="1"/>
  <c r="Y28" i="90"/>
  <c r="K336" i="64" s="1"/>
  <c r="Y27" i="90"/>
  <c r="J336" i="64" s="1"/>
  <c r="Y26" i="90"/>
  <c r="I336" i="64" s="1"/>
  <c r="Y29" i="90"/>
  <c r="L336" i="64" s="1"/>
  <c r="Y25" i="90"/>
  <c r="H336" i="64" s="1"/>
  <c r="Y46" i="90"/>
  <c r="I340" i="64" s="1"/>
  <c r="Y47" i="90"/>
  <c r="J340" i="64" s="1"/>
  <c r="Y49" i="90"/>
  <c r="L340" i="64" s="1"/>
  <c r="Y45" i="90"/>
  <c r="H340" i="64" s="1"/>
  <c r="Y48" i="90"/>
  <c r="K340" i="64" s="1"/>
  <c r="Y36" i="90"/>
  <c r="I338" i="64" s="1"/>
  <c r="Y38" i="90"/>
  <c r="K338" i="64" s="1"/>
  <c r="Y37" i="90"/>
  <c r="J338" i="64" s="1"/>
  <c r="Y39" i="90"/>
  <c r="L338" i="64" s="1"/>
  <c r="Y35" i="90"/>
  <c r="H338" i="64" s="1"/>
  <c r="Y12" i="90"/>
  <c r="J330" i="64" s="1"/>
  <c r="Y13" i="90"/>
  <c r="K330" i="64" s="1"/>
  <c r="Y10" i="90"/>
  <c r="H330" i="64" s="1"/>
  <c r="Y11" i="90"/>
  <c r="I330" i="64" s="1"/>
  <c r="Y14" i="90"/>
  <c r="L330" i="64" s="1"/>
  <c r="Y40" i="90"/>
  <c r="H339" i="64" s="1"/>
  <c r="Y44" i="90"/>
  <c r="L339" i="64" s="1"/>
  <c r="Y42" i="90"/>
  <c r="J339" i="64" s="1"/>
  <c r="Y41" i="90"/>
  <c r="I339" i="64" s="1"/>
  <c r="Y43" i="90"/>
  <c r="K339" i="64" s="1"/>
  <c r="Y17" i="90"/>
  <c r="J331" i="64" s="1"/>
  <c r="Y15" i="90"/>
  <c r="H331" i="64" s="1"/>
  <c r="Y16" i="90"/>
  <c r="I331" i="64" s="1"/>
  <c r="Y18" i="90"/>
  <c r="K331" i="64" s="1"/>
  <c r="Y19" i="90"/>
  <c r="L331" i="64" s="1"/>
  <c r="Y50" i="90"/>
  <c r="H333" i="64" s="1"/>
  <c r="Y54" i="90"/>
  <c r="L333" i="64" s="1"/>
  <c r="Y53" i="90"/>
  <c r="K333" i="64" s="1"/>
  <c r="Y52" i="90"/>
  <c r="J333" i="64" s="1"/>
  <c r="Y51" i="90"/>
  <c r="I333" i="64" s="1"/>
  <c r="H66" i="85" l="1"/>
  <c r="I66" i="85"/>
  <c r="N8" i="90"/>
  <c r="K289" i="64" s="1"/>
  <c r="N9" i="90"/>
  <c r="L289" i="64" s="1"/>
  <c r="N5" i="90"/>
  <c r="N6" i="90"/>
  <c r="I289" i="64" s="1"/>
  <c r="N7" i="90"/>
  <c r="J289" i="64" s="1"/>
  <c r="J17" i="85"/>
  <c r="I6" i="85"/>
  <c r="Y55" i="90"/>
  <c r="H329" i="64" s="1"/>
  <c r="Y59" i="90"/>
  <c r="L329" i="64" s="1"/>
  <c r="Y57" i="90"/>
  <c r="J329" i="64" s="1"/>
  <c r="Y56" i="90"/>
  <c r="I329" i="64" s="1"/>
  <c r="Y58" i="90"/>
  <c r="K329" i="64" s="1"/>
  <c r="K55" i="85"/>
  <c r="K66" i="85" s="1"/>
  <c r="Y8" i="90" l="1"/>
  <c r="K328" i="64" s="1"/>
  <c r="Y5" i="90"/>
  <c r="Y6" i="90"/>
  <c r="I328" i="64" s="1"/>
  <c r="Y7" i="90"/>
  <c r="J328" i="64" s="1"/>
  <c r="Y9" i="90"/>
  <c r="L328" i="64" s="1"/>
  <c r="I17" i="85"/>
  <c r="H289" i="64"/>
  <c r="K6" i="85"/>
  <c r="K17" i="85" s="1"/>
  <c r="H328" i="64" l="1"/>
</calcChain>
</file>

<file path=xl/sharedStrings.xml><?xml version="1.0" encoding="utf-8"?>
<sst xmlns="http://schemas.openxmlformats.org/spreadsheetml/2006/main" count="3340" uniqueCount="454">
  <si>
    <t>unit</t>
  </si>
  <si>
    <t>%</t>
  </si>
  <si>
    <t>£m</t>
  </si>
  <si>
    <t>nr</t>
  </si>
  <si>
    <t>ANH</t>
  </si>
  <si>
    <t>NES</t>
  </si>
  <si>
    <t>NWT</t>
  </si>
  <si>
    <t>SRN</t>
  </si>
  <si>
    <t>SVT</t>
  </si>
  <si>
    <t>TMS</t>
  </si>
  <si>
    <t>WSX</t>
  </si>
  <si>
    <t>YKY</t>
  </si>
  <si>
    <t>SWB</t>
  </si>
  <si>
    <t>Company</t>
  </si>
  <si>
    <t>Model</t>
  </si>
  <si>
    <t>WSH</t>
  </si>
  <si>
    <t>2020-21</t>
  </si>
  <si>
    <t>2021-22</t>
  </si>
  <si>
    <t>2022-23</t>
  </si>
  <si>
    <t>2023-24</t>
  </si>
  <si>
    <t>2024-25</t>
  </si>
  <si>
    <t>Acronym</t>
  </si>
  <si>
    <t>Reference</t>
  </si>
  <si>
    <t>Unit</t>
  </si>
  <si>
    <t>Total</t>
  </si>
  <si>
    <t>Forecast cost drivers</t>
  </si>
  <si>
    <t>Frontier shift</t>
  </si>
  <si>
    <t>SWC1</t>
  </si>
  <si>
    <t>SWC2</t>
  </si>
  <si>
    <t>Sewer length</t>
  </si>
  <si>
    <t>Nr properties/sewer length</t>
  </si>
  <si>
    <t>Pumping capacity/sewer length</t>
  </si>
  <si>
    <t>SWT1</t>
  </si>
  <si>
    <t>SWT2</t>
  </si>
  <si>
    <t>Load</t>
  </si>
  <si>
    <t>Bioresources</t>
  </si>
  <si>
    <t>BR1</t>
  </si>
  <si>
    <t>BR2</t>
  </si>
  <si>
    <t>Sludge produced</t>
  </si>
  <si>
    <t>BRP1</t>
  </si>
  <si>
    <t>BRP2</t>
  </si>
  <si>
    <t>load</t>
  </si>
  <si>
    <t>slprod</t>
  </si>
  <si>
    <t>km</t>
  </si>
  <si>
    <t>Ofwat forecast data</t>
  </si>
  <si>
    <t>kgBOD/day</t>
  </si>
  <si>
    <t>ttds/ year</t>
  </si>
  <si>
    <t>Efficient enhancement costs</t>
  </si>
  <si>
    <t>BRfinalcostallowance</t>
  </si>
  <si>
    <t>NPWWfinalcostallowance</t>
  </si>
  <si>
    <t>Price Review 2019</t>
  </si>
  <si>
    <t>Triangulation weights used for final stage of triangulation</t>
  </si>
  <si>
    <t>finaltriangulationweights</t>
  </si>
  <si>
    <t>properties</t>
  </si>
  <si>
    <t>Triangulation weights used for BR models</t>
  </si>
  <si>
    <t>BRtriangulationweigths</t>
  </si>
  <si>
    <t>Text</t>
  </si>
  <si>
    <t>PR19QA_CA008_OUT_1</t>
  </si>
  <si>
    <t>PR19QA_CA008_OUT_2</t>
  </si>
  <si>
    <t>pctnh3below3mg</t>
  </si>
  <si>
    <t>pctbands13</t>
  </si>
  <si>
    <t>Number of properties</t>
  </si>
  <si>
    <t>sewerlength</t>
  </si>
  <si>
    <t>sludgeprod</t>
  </si>
  <si>
    <t>density</t>
  </si>
  <si>
    <t>pumpingcapperlength</t>
  </si>
  <si>
    <t>wedensitywastewater</t>
  </si>
  <si>
    <t>swtwperpro</t>
  </si>
  <si>
    <t>% Load treated in bands 1-3</t>
  </si>
  <si>
    <t>% Load with ammonia &lt;3mg/l</t>
  </si>
  <si>
    <t>Nr STW/properties</t>
  </si>
  <si>
    <t>nr/km2</t>
  </si>
  <si>
    <t>xy%</t>
  </si>
  <si>
    <t>Triangulation weights</t>
  </si>
  <si>
    <t>Forecast of Sewer Length</t>
  </si>
  <si>
    <t>Forecast of Load</t>
  </si>
  <si>
    <t>Forecast of Sludge Produced</t>
  </si>
  <si>
    <t>ttd</t>
  </si>
  <si>
    <t>Forecast of property per km of sewer</t>
  </si>
  <si>
    <t>Forecast of pumping capacity per km of sewer</t>
  </si>
  <si>
    <t>Forecast of load treated in bands 1-3, percentage</t>
  </si>
  <si>
    <t>Forecast of load with ammonia below 3mg/l</t>
  </si>
  <si>
    <t>Weighted average population density</t>
  </si>
  <si>
    <t>Nr STW per property</t>
  </si>
  <si>
    <t>Weighted average density</t>
  </si>
  <si>
    <t>pctbands6</t>
  </si>
  <si>
    <t>% of load treated in band 6</t>
  </si>
  <si>
    <t>HDD</t>
  </si>
  <si>
    <t>Price Review 2021</t>
  </si>
  <si>
    <t>Price Review 2022</t>
  </si>
  <si>
    <t>Price Review 2023</t>
  </si>
  <si>
    <t>Price Review 2025</t>
  </si>
  <si>
    <t>Price Review 2026</t>
  </si>
  <si>
    <t>Price Review 2027</t>
  </si>
  <si>
    <t>Price Review 2028</t>
  </si>
  <si>
    <t>Price Review 2029</t>
  </si>
  <si>
    <t>Price Review 2030</t>
  </si>
  <si>
    <t>Company code</t>
  </si>
  <si>
    <t>Financial year</t>
  </si>
  <si>
    <t>Forecast of percent of load treated in band 6</t>
  </si>
  <si>
    <t>Business plan</t>
  </si>
  <si>
    <t>SVH</t>
  </si>
  <si>
    <t>Efficiency challenge parameters</t>
  </si>
  <si>
    <t>Historical</t>
  </si>
  <si>
    <t>Within sector catch-up - historical</t>
  </si>
  <si>
    <t>Within sector catch-up - forward looking</t>
  </si>
  <si>
    <t xml:space="preserve">Model weights </t>
  </si>
  <si>
    <t>Item Description</t>
  </si>
  <si>
    <t>Forecast of Total Connected Properties</t>
  </si>
  <si>
    <t>Unique id</t>
  </si>
  <si>
    <t>Natural log</t>
  </si>
  <si>
    <t> kWh/km</t>
  </si>
  <si>
    <t>BON Code</t>
  </si>
  <si>
    <t>kg BOD/day</t>
  </si>
  <si>
    <t>select &gt;&gt;</t>
  </si>
  <si>
    <t>Year</t>
  </si>
  <si>
    <t>SVE</t>
  </si>
  <si>
    <t>Date &amp; Time for Model PR19CA008_OUT</t>
  </si>
  <si>
    <t>Name &amp; Path of Model PR19CA008_OUT</t>
  </si>
  <si>
    <t>5yrs</t>
  </si>
  <si>
    <t>Collection</t>
  </si>
  <si>
    <t>Treatment</t>
  </si>
  <si>
    <t>Network +</t>
  </si>
  <si>
    <t>Bio plus</t>
  </si>
  <si>
    <t>Wholesale wastewater</t>
  </si>
  <si>
    <t>Bottom up</t>
  </si>
  <si>
    <t>Mid level</t>
  </si>
  <si>
    <t>Companies' submitted base costs</t>
  </si>
  <si>
    <t>Our view (average)</t>
  </si>
  <si>
    <t>Efficiency score - business plan</t>
  </si>
  <si>
    <t>FL upper quartile</t>
  </si>
  <si>
    <t>C_NPWW_PR19CA008</t>
  </si>
  <si>
    <t>C_BR_PR19CA008</t>
  </si>
  <si>
    <t>C_BN1178_PR19CA008</t>
  </si>
  <si>
    <t>C_BN13535_BN13528_PR19CA008</t>
  </si>
  <si>
    <t>C_STWDA126_PR19CA008</t>
  </si>
  <si>
    <t>C_MP05611_PR19CA008</t>
  </si>
  <si>
    <t>C_PROP_DENS_PR19CA008</t>
  </si>
  <si>
    <t>C_PCPSL_PR19CA008</t>
  </si>
  <si>
    <t>C_PCTBAND13_PR19CA008</t>
  </si>
  <si>
    <t>C_PCTNH3_PR19CA008</t>
  </si>
  <si>
    <t>C_PCTBAND6_PR19CA008</t>
  </si>
  <si>
    <t>C_WAD_WW_PR19CA008</t>
  </si>
  <si>
    <t>C_STW_PP_PR19CA008</t>
  </si>
  <si>
    <t>C_BR_WEIGHT_PR19CA008</t>
  </si>
  <si>
    <t>C_FINAL_WEIGHT_PR19CA008</t>
  </si>
  <si>
    <t>PR19CA008_OUT</t>
  </si>
  <si>
    <t>Proportion to bioresources</t>
  </si>
  <si>
    <t>Code</t>
  </si>
  <si>
    <t>Transformed data for model</t>
  </si>
  <si>
    <t>Business plan costs - wastewater</t>
  </si>
  <si>
    <t>Wholesale wastewater modelled base costs, £m (base year: 2017-18)</t>
  </si>
  <si>
    <t>For purpose of apportioning wholesale costs to the water resources and network plus controls</t>
  </si>
  <si>
    <t>Final AMP7 allowances</t>
  </si>
  <si>
    <t>Efficient costs (catch up)</t>
  </si>
  <si>
    <t>Companies' submitted totex</t>
  </si>
  <si>
    <t>Efficient costs - wholesale</t>
  </si>
  <si>
    <t>Wholesale</t>
  </si>
  <si>
    <t>Calculating proportion to bioresources based on our modelled costs</t>
  </si>
  <si>
    <t>Modelled wholesale botex - triangulated</t>
  </si>
  <si>
    <t xml:space="preserve">We also need to add back Grants and Contributions as totex figures reported by companies are net of it. </t>
  </si>
  <si>
    <t>Calculated</t>
  </si>
  <si>
    <t>Econometric models - estimated coefficients</t>
  </si>
  <si>
    <t>Items excluded/included from our view of totex</t>
  </si>
  <si>
    <t>Third party services - opex - Sewage collection</t>
  </si>
  <si>
    <t>Third party services - capex - Sewage collection</t>
  </si>
  <si>
    <t>Grants and contributions - Sewage collection</t>
  </si>
  <si>
    <t>Pension deficit recovery payments - Sewage collection</t>
  </si>
  <si>
    <t>Third party services - opex - Sewage treatment</t>
  </si>
  <si>
    <t>Third party services - capex - Sewage treatment</t>
  </si>
  <si>
    <t>Grants and contributions - Sewage treatment</t>
  </si>
  <si>
    <t>Pension deficit recovery payments - Sewage treatment</t>
  </si>
  <si>
    <t>Third party services - opex - Sludge transport</t>
  </si>
  <si>
    <t>Third party services - capex - Sludge transport</t>
  </si>
  <si>
    <t>Grants and contributions - Sludge transport</t>
  </si>
  <si>
    <t>Pension deficit recovery payments - Sludge transport</t>
  </si>
  <si>
    <t>Third party services - opex - Sludge treatment</t>
  </si>
  <si>
    <t>Third party services - capex - Sludge treatment</t>
  </si>
  <si>
    <t>Grants and contributions - Sludge treatment</t>
  </si>
  <si>
    <t>Pension deficit recovery payments - Sludge treatment</t>
  </si>
  <si>
    <t>Third party services - opex - Sludge disposal</t>
  </si>
  <si>
    <t>Third party services - capex - Sludge disposal</t>
  </si>
  <si>
    <t>Grants and contributions - Sludge disposal</t>
  </si>
  <si>
    <t>Pension deficit recovery payments - Sludge disposal</t>
  </si>
  <si>
    <t>Companies' submitted totex 
(gross of Grants and Contributions excluding Pension Deficit Recovery Payments and Third Party Services costs)</t>
  </si>
  <si>
    <t>Dummy defined benefit pension deficit recovery per IN13/17 real</t>
  </si>
  <si>
    <t>ANH21</t>
  </si>
  <si>
    <t>ANH22</t>
  </si>
  <si>
    <t>ANH23</t>
  </si>
  <si>
    <t>ANH24</t>
  </si>
  <si>
    <t>ANH25</t>
  </si>
  <si>
    <t>NES21</t>
  </si>
  <si>
    <t>NES22</t>
  </si>
  <si>
    <t>NES23</t>
  </si>
  <si>
    <t>NES24</t>
  </si>
  <si>
    <t>NES25</t>
  </si>
  <si>
    <t>NWT21</t>
  </si>
  <si>
    <t>NWT22</t>
  </si>
  <si>
    <t>NWT23</t>
  </si>
  <si>
    <t>NWT24</t>
  </si>
  <si>
    <t>NWT25</t>
  </si>
  <si>
    <t>SRN21</t>
  </si>
  <si>
    <t>SRN22</t>
  </si>
  <si>
    <t>SRN23</t>
  </si>
  <si>
    <t>SRN24</t>
  </si>
  <si>
    <t>SRN25</t>
  </si>
  <si>
    <t>SWB21</t>
  </si>
  <si>
    <t>SWB22</t>
  </si>
  <si>
    <t>SWB23</t>
  </si>
  <si>
    <t>SWB24</t>
  </si>
  <si>
    <t>SWB25</t>
  </si>
  <si>
    <t>TMS21</t>
  </si>
  <si>
    <t>TMS22</t>
  </si>
  <si>
    <t>TMS23</t>
  </si>
  <si>
    <t>TMS24</t>
  </si>
  <si>
    <t>TMS25</t>
  </si>
  <si>
    <t>WSH21</t>
  </si>
  <si>
    <t>WSH22</t>
  </si>
  <si>
    <t>WSH23</t>
  </si>
  <si>
    <t>WSH24</t>
  </si>
  <si>
    <t>WSH25</t>
  </si>
  <si>
    <t>WSX21</t>
  </si>
  <si>
    <t>WSX22</t>
  </si>
  <si>
    <t>WSX23</t>
  </si>
  <si>
    <t>WSX24</t>
  </si>
  <si>
    <t>WSX25</t>
  </si>
  <si>
    <t>YKY21</t>
  </si>
  <si>
    <t>YKY22</t>
  </si>
  <si>
    <t>YKY23</t>
  </si>
  <si>
    <t>YKY24</t>
  </si>
  <si>
    <t>YKY25</t>
  </si>
  <si>
    <t>SVE21</t>
  </si>
  <si>
    <t>SVE22</t>
  </si>
  <si>
    <t>SVE23</t>
  </si>
  <si>
    <t>SVE24</t>
  </si>
  <si>
    <t>SVE25</t>
  </si>
  <si>
    <t>HDD21</t>
  </si>
  <si>
    <t>HDD22</t>
  </si>
  <si>
    <t>HDD23</t>
  </si>
  <si>
    <t>HDD24</t>
  </si>
  <si>
    <t>HDD25</t>
  </si>
  <si>
    <t>WWN - Total gross operational expenditure -real</t>
  </si>
  <si>
    <t>WWN - Total gross capital expenditure - real (including g&amp;c)</t>
  </si>
  <si>
    <t>WWN - Total gross totex - real</t>
  </si>
  <si>
    <t>BR - Total gross operational expenditure -real</t>
  </si>
  <si>
    <t>DUMMY - Total gross operational expenditure -real</t>
  </si>
  <si>
    <t>DUMMY - Total gross capital expenditure - real</t>
  </si>
  <si>
    <t>DUMMY - Total gross totex - real (including g&amp;c)</t>
  </si>
  <si>
    <t>WWN defined benefit pension deficit recovery per IN13/17 real</t>
  </si>
  <si>
    <t>BR defined benefit pension deficit recovery per IN13/17 real</t>
  </si>
  <si>
    <t>WWWfinalcostallowance</t>
  </si>
  <si>
    <t>C_WWNOPEX_PR19CA008</t>
  </si>
  <si>
    <t>C_WWNCAPEX_PR19CA008</t>
  </si>
  <si>
    <t>C_WWNTOTEXFM_PR19CA008</t>
  </si>
  <si>
    <t>C_BROPEX_PR19CA008</t>
  </si>
  <si>
    <t>C_BRCAPEX_PR19CA008</t>
  </si>
  <si>
    <t>C_BRTOTEXFM_PR19CA008</t>
  </si>
  <si>
    <t>C_DUMMYOPEX_PR19CA008</t>
  </si>
  <si>
    <t>C_DUMMYCAPEX_PR19CA008</t>
  </si>
  <si>
    <t>C_DUMMYTOTEXFM_PR19CA008</t>
  </si>
  <si>
    <t>C_WWNPDR_PR19CA008</t>
  </si>
  <si>
    <t>C_BRPDR_PR19CA008</t>
  </si>
  <si>
    <t>C_DUMMYPDR_PR19CA008</t>
  </si>
  <si>
    <t>BR - Total gross capital expenditure - real (including g&amp;c)</t>
  </si>
  <si>
    <t>BR - Total gross totex - real</t>
  </si>
  <si>
    <t>DUMMY - Total gross capital expenditure - real (including g&amp;c)</t>
  </si>
  <si>
    <t>DUMMY - Total gross totex - real</t>
  </si>
  <si>
    <t>Data submitted by companies</t>
  </si>
  <si>
    <t>Calculated data</t>
  </si>
  <si>
    <t>£m,Total network plus wastewater - Total operating expenditure</t>
  </si>
  <si>
    <t>£m,Total network plus wastewater - Maintaining the long term capability of the assets - infra</t>
  </si>
  <si>
    <t>£m,Total network plus wastewater - Maintaining the long term capability of the assets - non-infra</t>
  </si>
  <si>
    <t>£m,Bio-resources- Total operating expenditure</t>
  </si>
  <si>
    <t>£m,Bio-resources- Maintaining the long term capability of the assets - infra</t>
  </si>
  <si>
    <t>£m,Bio-resources- Maintaining the long term capability of the assets - non-infra</t>
  </si>
  <si>
    <t>C_WWW_PR19CA008</t>
  </si>
  <si>
    <t>Ancillary tab to calculate the proportion of bioresources costs out of wholesale wastewater</t>
  </si>
  <si>
    <t>Base costs</t>
  </si>
  <si>
    <t>Total costs</t>
  </si>
  <si>
    <t>Business plans modelled base costs</t>
  </si>
  <si>
    <t>Efficient modelled base costs</t>
  </si>
  <si>
    <t>Efficient unmodelled base costs</t>
  </si>
  <si>
    <t>Efficient base costs</t>
  </si>
  <si>
    <t>Apportion sheet - apportion costs between bioresources and wastewater network plus control</t>
  </si>
  <si>
    <t>Enhancement Costs</t>
  </si>
  <si>
    <t>Sewage collection</t>
  </si>
  <si>
    <t>Sewage Treatment</t>
  </si>
  <si>
    <t>Bioresources plus</t>
  </si>
  <si>
    <t>Costs excluded from cost sharing</t>
  </si>
  <si>
    <t>Third Party costs</t>
  </si>
  <si>
    <t>Total costs excluded from costs sharing</t>
  </si>
  <si>
    <t>Efficient totex allowance for cost sharing</t>
  </si>
  <si>
    <t>Efficient totex allowance for financial modelling</t>
  </si>
  <si>
    <t>C_REALBOTEXSWT_PR19CA005</t>
  </si>
  <si>
    <t>C_REALBOTEXSWC_PR19CA005</t>
  </si>
  <si>
    <t>C_REALBOTEXSBRP_PR19CA005</t>
  </si>
  <si>
    <t>C_REALBOTEXSNPWW_PR19CA005</t>
  </si>
  <si>
    <t>C_REALBOTEXWWW_PR19CA005</t>
  </si>
  <si>
    <t>C_WWS1010SC_PR19CA005</t>
  </si>
  <si>
    <t>C_WWS1018SC_PR19CA005</t>
  </si>
  <si>
    <t>C_WWS1022SC_PR19CA005</t>
  </si>
  <si>
    <t>C_WWS1010ST_PR19CA005</t>
  </si>
  <si>
    <t>C_WWS1018ST_PR19CA005</t>
  </si>
  <si>
    <t>C_WWS1022ST_PR19CA005</t>
  </si>
  <si>
    <t>C_WWS1010STP_PR19CA005</t>
  </si>
  <si>
    <t>C_WWS1018STP_PR19CA005</t>
  </si>
  <si>
    <t>C_WWS1022STP_PR19CA005</t>
  </si>
  <si>
    <t>C_WWS1010SDT_PR19CA005</t>
  </si>
  <si>
    <t>C_WWS1018SDT_PR19CA005</t>
  </si>
  <si>
    <t>C_WWS1022SDT_PR19CA005</t>
  </si>
  <si>
    <t>C_WWS1010SDD_PR19CA005</t>
  </si>
  <si>
    <t>C_WWS1018SDD_PR19CA005</t>
  </si>
  <si>
    <t>C_WWS1022SDD_PR19CA005</t>
  </si>
  <si>
    <t>C_S3040TCAST_PR19CA005</t>
  </si>
  <si>
    <t>C_S3040TCASC_PR19CA005</t>
  </si>
  <si>
    <t>C_REALBOTEXBR_PR19CA005</t>
  </si>
  <si>
    <t>C_BM850NETPLUS_PR19CA005</t>
  </si>
  <si>
    <t>C_BC30945NETPLUS_PR19CA005</t>
  </si>
  <si>
    <t>C_CS00036NETPLUS_PR19CA005</t>
  </si>
  <si>
    <t>C_BM850BIORESOURCES_PR19CA005</t>
  </si>
  <si>
    <t>C_BC30945BIORESOURCES_PR19CA005</t>
  </si>
  <si>
    <t>C_CS00036BIORESOURCES_PR19CA005</t>
  </si>
  <si>
    <t>Information for the calculation of company efficiency challenge factor</t>
  </si>
  <si>
    <t>BP modelled base costs</t>
  </si>
  <si>
    <t>BP E opex</t>
  </si>
  <si>
    <t>BP modelled base costs less E opex</t>
  </si>
  <si>
    <t>Efficient modelled costs before FS</t>
  </si>
  <si>
    <t>Our view of E opex</t>
  </si>
  <si>
    <t>Efficient modelled costs before FS less E opex</t>
  </si>
  <si>
    <t>Cost challenge</t>
  </si>
  <si>
    <t>E = enhancement
FS = frontier shift</t>
  </si>
  <si>
    <t>Calculation of totex allowances</t>
  </si>
  <si>
    <t>Version 1.0. 18th July 2019</t>
  </si>
  <si>
    <t>C_WWNIED_PR19CA008</t>
  </si>
  <si>
    <t>C_WWN3PARTY_PR19CA008</t>
  </si>
  <si>
    <t>C_BRIED_PR19CA008</t>
  </si>
  <si>
    <t>C_BR3PARTY_PR19CA008</t>
  </si>
  <si>
    <t>Base opex ratio - NPWW %</t>
  </si>
  <si>
    <t>Base capex ratio - NPWW %</t>
  </si>
  <si>
    <t>Efficient base opex - NPWW  (final allowance) £m</t>
  </si>
  <si>
    <t>Efficient base capex - NPWW (final allowance) £m</t>
  </si>
  <si>
    <t>Efficient capex NPWW £m</t>
  </si>
  <si>
    <t>Efficient totex NPWW £m</t>
  </si>
  <si>
    <t>Base opex ratio - Bioresources %</t>
  </si>
  <si>
    <t>Base capex ratio - Bioresources %</t>
  </si>
  <si>
    <t>Efficient base opex - Bioresources  (final allowance) £m</t>
  </si>
  <si>
    <t>Efficient enhancement capex Bioresources £m</t>
  </si>
  <si>
    <t>Efficient capex Bioresources £m</t>
  </si>
  <si>
    <t>Efficient totex bioresources £m</t>
  </si>
  <si>
    <t>WWN - Industrial emissions directive (£m 17/18 prices)</t>
  </si>
  <si>
    <t>WWN - 3rd party services £m (£m 17/18 prices)</t>
  </si>
  <si>
    <t>BR - Industrial emissions directive (£m 17/18 prices)</t>
  </si>
  <si>
    <t>BR - 3rd party services (£m 17/18 prices)</t>
  </si>
  <si>
    <t>Difference</t>
  </si>
  <si>
    <t>Base costs submitted by companies</t>
  </si>
  <si>
    <t>Use BPDT splits of opex and apply to efficient base costs. Apply BPDT split of capex and apply to efficient base costs to find efficient base capex. Efficient base capex + enhancement = efficient capex</t>
  </si>
  <si>
    <t>Sewage treatment</t>
  </si>
  <si>
    <t>Sewage collection (SWC)</t>
  </si>
  <si>
    <t>Sewage Treatment (SWT)</t>
  </si>
  <si>
    <t>Bioresources (BR)</t>
  </si>
  <si>
    <t>Bioresources plus (BRP)</t>
  </si>
  <si>
    <t>Upper quartile</t>
  </si>
  <si>
    <t>Business plan unmodelled base costs</t>
  </si>
  <si>
    <t xml:space="preserve">Business plan totex excl third party and PDRC, incl G&amp;C </t>
  </si>
  <si>
    <t>Business plans base costs</t>
  </si>
  <si>
    <t>C_WWS1027SC_PR19CA005</t>
  </si>
  <si>
    <t>C_WWS1027ST_PR19CA005</t>
  </si>
  <si>
    <t>C_WWS1027STP_PR19CA005</t>
  </si>
  <si>
    <t>C_WWS1027SDT_PR19CA005</t>
  </si>
  <si>
    <t>C_WWS1027SDD_PR19CA005</t>
  </si>
  <si>
    <t>Efficient totex for cost sharing NPWW £m</t>
  </si>
  <si>
    <t>C_BRTOTEXFM_CS_PR19CA008</t>
  </si>
  <si>
    <t>Efficient totex for cost sharing bioresources £m</t>
  </si>
  <si>
    <t>C_WWNTOTEXFM_CS_PR19CA008</t>
  </si>
  <si>
    <t>Efficient totex for cost sharing network plus wastewater</t>
  </si>
  <si>
    <t>Efficient totex for cost sharing bioresources</t>
  </si>
  <si>
    <t>C_WWNOTHER_EXCPDR_PR19CA008</t>
  </si>
  <si>
    <t>C_BROTHER_EXCPDR_PR19CA008</t>
  </si>
  <si>
    <t>WWN - Other costs not subject to cost sharing excl PDR</t>
  </si>
  <si>
    <t>BR - Other costs not subject to cost sharing excl PDR</t>
  </si>
  <si>
    <t>Network plus</t>
  </si>
  <si>
    <t>Top-down / bottom-up triangulation weights</t>
  </si>
  <si>
    <t>BRP minus Sewage Treatment</t>
  </si>
  <si>
    <t xml:space="preserve">Average of BR and BRP minus Sewage Treatment </t>
  </si>
  <si>
    <t>Efficient 
Bottom up</t>
  </si>
  <si>
    <t>Efficient 
Mid level</t>
  </si>
  <si>
    <t>5 years catch up efficiency challenge for bioresources (2013-14 to 2017-18)</t>
  </si>
  <si>
    <t>5 years catch up efficiency challenge for network plus wastewater (2013-14 to 2017-18)</t>
  </si>
  <si>
    <t>C_NPWW_5YEFFICIENCY_PR10CA008</t>
  </si>
  <si>
    <t>C_BIO_5YEFFICIENCY_PR10CA008</t>
  </si>
  <si>
    <t>Efficient opex implicit allowance</t>
  </si>
  <si>
    <t>Efficient totex enhancement costs (less growth)</t>
  </si>
  <si>
    <t>Business plan totex enhancement costs (less growth)</t>
  </si>
  <si>
    <t>Enhancement opex</t>
  </si>
  <si>
    <t>Wastewater network plus</t>
  </si>
  <si>
    <t>Wholesale water</t>
  </si>
  <si>
    <t>Efficient modelled base costs gross of enhancement opex (used for calculating enhancement opex IA)</t>
  </si>
  <si>
    <t>Real input price inflation</t>
  </si>
  <si>
    <t>Net change</t>
  </si>
  <si>
    <t>C_S3040Tbioresources_PR19CA005</t>
  </si>
  <si>
    <t/>
  </si>
  <si>
    <t>re1</t>
  </si>
  <si>
    <t>re2</t>
  </si>
  <si>
    <t>re3</t>
  </si>
  <si>
    <t>re4</t>
  </si>
  <si>
    <t>re5</t>
  </si>
  <si>
    <t>re6</t>
  </si>
  <si>
    <t>re7</t>
  </si>
  <si>
    <t>re8</t>
  </si>
  <si>
    <t>Variable code</t>
  </si>
  <si>
    <t>Full variable name</t>
  </si>
  <si>
    <t>lnsewerlength</t>
  </si>
  <si>
    <t>lnpumpingcapperlength</t>
  </si>
  <si>
    <t>lndensity</t>
  </si>
  <si>
    <t>lnwedensitywastewater</t>
  </si>
  <si>
    <t>lnload</t>
  </si>
  <si>
    <t>% load treated in bands 1-3</t>
  </si>
  <si>
    <t>% load with ammonia&lt;3mg/l</t>
  </si>
  <si>
    <t>% load treated in band 6</t>
  </si>
  <si>
    <t>lnsludgeprod</t>
  </si>
  <si>
    <t>lnswtwperpro</t>
  </si>
  <si>
    <t>Nr STW/nr properties</t>
  </si>
  <si>
    <t>_cons</t>
  </si>
  <si>
    <t>Constant</t>
  </si>
  <si>
    <t>The catch up efficiency challenge produced by feeder model 2 is based wholesale triangulated totex. We apply the same challenge for both price controls.</t>
  </si>
  <si>
    <t xml:space="preserve">Forward looking efficiency challenge - wholesale </t>
  </si>
  <si>
    <t>Efficient enhancement capex NPWW £m (excluding opex enhancement implict allowance)</t>
  </si>
  <si>
    <t>Efficient base capex - Bioresources (final allowance) £m (excluding opex enhancement implict allowance))</t>
  </si>
  <si>
    <t>Inputs to calculate modelled costs for 2020-25</t>
  </si>
  <si>
    <t>Pension deficit recovery costs</t>
  </si>
  <si>
    <t>Outputs</t>
  </si>
  <si>
    <t>In this model base costs includes operational and capital maintenance costs as well as the following enhancement costs: a) new developments new growth; b) growth at sewage treatment works; c) reducing flooding risks properties; d) transfer private sewer costs</t>
  </si>
  <si>
    <r>
      <t xml:space="preserve">
</t>
    </r>
    <r>
      <rPr>
        <u/>
        <sz val="11"/>
        <color theme="1"/>
        <rFont val="Arial"/>
        <family val="2"/>
      </rPr>
      <t>Objective</t>
    </r>
    <r>
      <rPr>
        <sz val="11"/>
        <color theme="1"/>
        <rFont val="Arial"/>
        <family val="2"/>
      </rPr>
      <t xml:space="preserve">
To calculate an efficient cost allowance for the wastewater network plus and the bioresources controls. 
</t>
    </r>
    <r>
      <rPr>
        <u/>
        <sz val="11"/>
        <color theme="1"/>
        <rFont val="Arial"/>
        <family val="2"/>
      </rPr>
      <t>Guide to model</t>
    </r>
    <r>
      <rPr>
        <sz val="11"/>
        <color theme="1"/>
        <rFont val="Arial"/>
        <family val="2"/>
      </rPr>
      <t xml:space="preserve">
Inputs: the model takes as inputs the coefficients from our econometric models, the forecasts of the cost drivers, the catch-up and frontier shift challenge.
Base modelled costs are estimated in the “Modelled costs” worksheet by multiplying the coefficients by the forecast of costs drivers.   
       The coefficients are produced by the econometric models as reported in feeder model FM_WWW2 (see worksheet named “Coeffs”) ; and  
       Forecast of costs drivers are imported from feeder model FM_WWW3 (see worksheet named “Forecast drivers”).
Base modelled costs at different levels of aggregation are triangulated to estimate wholesale base modelled costs.
We apply the historical catch-up efficiency (produced by feeder model FM_WWW2) and frontier shift (as specified in our summary document) to obtain efficient costs
Totex allowances are calculated in the “Final allowances” worksheet, 
       The wholesale wastewater modelled base allowance is apportioned into each price control (wastewater network plus and bioresources) based on information provided from the econometric models. 
       Information on other costs produced by other models is incorporated, namely unmodelled base costs, enhancement costs and cost adjustment claims. 
The "Controls" spreadsheet reports information on: weights given to each econometric model across different levels of aggregation, catch-up (including hypothetical forward looking) and frontier shift efficiency challenges.  
The model also calculates totex split by capex and opex in the tab named "Financial model inputs".</t>
    </r>
  </si>
  <si>
    <t>Company affected</t>
  </si>
  <si>
    <t>Costs affected</t>
  </si>
  <si>
    <t>Description</t>
  </si>
  <si>
    <t>Wholesale wastewater adjustment required (£million)</t>
  </si>
  <si>
    <r>
      <t xml:space="preserve">Reconciliation log
</t>
    </r>
    <r>
      <rPr>
        <sz val="12"/>
        <color theme="3"/>
        <rFont val="Calibri"/>
        <family val="2"/>
      </rPr>
      <t>We acknowledge that 'Business plan totex excl third party and PDRC, incl G&amp;C' (rows 6-17) [hereinafter referred to as 'top-down business plan totex'] should equal 'Business plans modelled base costs' (rows 22-33) plus 'Business plan unmodelled base costs' (rows 22-33) plus 'Business plan totex enhancement costs (less growth)' (rows 39-50) minus 'Enhancement opex' (rows 39-50) [hereinafter referred to as 'bottom-up business plan totex']. However, this is not currently the case. The items listed below reconcile top-down and bottom-up business plan totex, and will be implemented for final determination.</t>
    </r>
  </si>
  <si>
    <t>Enhancement opex reported in 'FM_WWW4_ST_DD' does not exclude enhancement opex attributed to: (i) growth at STWs; (ii) reduce risk of sewer flooding; and (iii) transfer private sewer. As a result, bottom-up business plan totex is currently understated by £13.12 million.</t>
  </si>
  <si>
    <t>£1.64 million was reallocated from enhancement costs to traffic management act costs but is currently being captured within business plan enhancement costs and unmodelled base costs. As a result, bottom-up business plan totex is currently overstated by £1.64 million.</t>
  </si>
  <si>
    <t>Enhancement opex rebasing (as described in the cost efficiency technical appendix) has not been reflected in the enhancement opex figures reported in 'FM_WWW4_ST_DD'. As a result, bottom-up business plan totex is currently understated by £35.72 million.</t>
  </si>
  <si>
    <t>Business plan opex has not been grossed up to reflect the change in the treatment of diversions expenditure (costs should now be reported on a gross rather than a net basis). As a result, bottom-up business plan totex is currently understated by £40.03 million.</t>
  </si>
  <si>
    <t>Enhancement opex reported in 'FM_WWW4_ST_DD' does not exclude enhancement opex attributed to: (i) growth at STWs; (ii) reduce risk of sewer flooding; and (iii) transfer private sewer. As a result, bottom-up business plan totex is currently understated by £5.14 million.</t>
  </si>
  <si>
    <t>Enhancement opex reported in 'FM_WWW4_ST_DD' does not exclude enhancement opex attributed to: (i) growth at STWs; (ii) reduce risk of sewer flooding; and (iii) transfer private sewer. As a result, bottom-up business plan totex is currently understated by £8.53 million.</t>
  </si>
  <si>
    <t>Enhancement opex reported in 'FM_WWW4_ST_DD' does not exclude enhancement opex attributed to: (i) growth at STWs; (ii) reduce risk of sewer flooding; and (iii) transfer private sewer. As a result, bottom-up business plan totex is currently understated by £1.63 million.</t>
  </si>
  <si>
    <t>Enhancement opex rebasing (as described in the cost efficiency technical appendix) has not been reflected in the enhancement opex figures reported in 'FM_WWW4_ST_DD'. As a result, bottom-up business plan totex is currently understated by £33.31 million.</t>
  </si>
  <si>
    <t>£1.98 million added to enhancement opex through P-removal enhancement feeder model following a reallocation from chemicals removal. As a result, the costs are currently captured under p-removal and chemicals removal. As a result, bottom-up business plan totex is currently overstated by £1.98 million.</t>
  </si>
  <si>
    <t>Enhancement opex reported in 'FM_WWW4_ST_DD' does not exclude enhancement opex attributed to: (i) growth at STWs; (ii) reduce risk of sewer flooding; and (iii) transfer private sewer. As a result, bottom-up business plan totex is currently understated by £10.81 million.</t>
  </si>
  <si>
    <t>Enhancement opex reported in 'FM_WWW4_ST_DD' does not exclude enhancement opex attributed to: (i) growth at STWs; (ii) reduce risk of sewer flooding; and (iii) transfer private sewer. As a result, bottom-up business plan totex is currently understated by £106.24 million.</t>
  </si>
  <si>
    <t>Enhancement opex reported in 'FM_WWW4_ST_DD' does not exclude enhancement opex attributed to: (i) growth at STWs; (ii) reduce risk of sewer flooding; and (iii) transfer private sewer. As a result, bottom-up business plan totex is currently understated by £0.40 million.</t>
  </si>
  <si>
    <t>£4.91 million removed from P-removal business plan enhancement totex as it related to sludge quality and not P-removal. As a result, bottom-up business plan totex is currently understated by £4.91 million.</t>
  </si>
  <si>
    <t>Enhancement opex reported in 'FM_WWW4_ST_DD' does not exclude enhancement opex attributed to: (i) growth at STWs; (ii) reduce risk of sewer flooding; and (iii) transfer private sewer. As a result, bottom-up business plan totex is currently understated by £7.63 million.</t>
  </si>
  <si>
    <t>Enhancement opex reported in 'FM_WWW4_ST_DD' does not exclude enhancement opex attributed to: (i) growth at STWs; (ii) reduce risk of sewer flooding; and (iii) transfer private sewer. As a result, bottom-up business plan totex is currently understated by £0.30 million..</t>
  </si>
  <si>
    <t>£35.89 million was reallocated from freeform to investigations enhancement business plan submitted costs. However, these costs are not currently included in business plan enhancement costs within 'FM_WWW4_ST_DD'. As a result, bottom-up business plan totex is currently understated by £35.89 million.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</si>
</sst>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_);_(* \(#,##0.00\);_(* &quot;-&quot;??_);_(@_)"/>
    <numFmt numFmtId="165" formatCode="_-* #,##0_-;\-* #,##0_-;_-* &quot;-&quot;??_-;_-@_-"/>
    <numFmt numFmtId="166" formatCode="#,##0.0000"/>
    <numFmt numFmtId="167" formatCode="#,##0_);\(#,##0\);&quot;-  &quot;;&quot; &quot;@&quot; &quot;"/>
    <numFmt numFmtId="168" formatCode="0.0"/>
    <numFmt numFmtId="169" formatCode="0.000"/>
    <numFmt numFmtId="170" formatCode="0.0%"/>
    <numFmt numFmtId="171" formatCode="#,##0.00_ ;\-#,##0.00\ "/>
    <numFmt numFmtId="172" formatCode="_(* #,##0.0000_);_(* \(#,##0.0000\);_(* &quot;-&quot;??_);_(@_)"/>
    <numFmt numFmtId="173" formatCode="_-* #,##0.0_-;\-* #,##0.0_-;_-* &quot;-&quot;??_-;_-@_-"/>
    <numFmt numFmtId="174" formatCode="_(* #,##0_);_(* \(#,##0\);_(* &quot;-&quot;??_);_(@_)"/>
    <numFmt numFmtId="175" formatCode="_(* #,##0.000_);_(* \(#,##0.000\);_(* &quot;-&quot;??_);_(@_)"/>
    <numFmt numFmtId="176" formatCode="0.000000"/>
    <numFmt numFmtId="177" formatCode="_(* #,##0.0_);_(* \(#,##0.0\);_(* &quot;-&quot;??_);_(@_)"/>
  </numFmts>
  <fonts count="26" x14ac:knownFonts="1">
    <font>
      <sz val="11"/>
      <color theme="1"/>
      <name val="Arial"/>
      <family val="2"/>
    </font>
    <font>
      <sz val="11"/>
      <color theme="1"/>
      <name val="Arial"/>
      <family val="2"/>
    </font>
    <font>
      <sz val="11"/>
      <color theme="1"/>
      <name val="Arial"/>
      <family val="2"/>
      <scheme val="minor"/>
    </font>
    <font>
      <sz val="10"/>
      <name val="Arial"/>
      <family val="2"/>
    </font>
    <font>
      <sz val="11"/>
      <color theme="1"/>
      <name val="Calibri"/>
      <family val="2"/>
    </font>
    <font>
      <sz val="11"/>
      <name val="Calibri"/>
      <family val="2"/>
    </font>
    <font>
      <sz val="10"/>
      <name val="Calibri"/>
      <family val="2"/>
    </font>
    <font>
      <sz val="10"/>
      <color theme="1"/>
      <name val="Calibri"/>
      <family val="2"/>
    </font>
    <font>
      <b/>
      <sz val="10"/>
      <name val="Calibri"/>
      <family val="2"/>
    </font>
    <font>
      <b/>
      <sz val="10"/>
      <color theme="1"/>
      <name val="Calibri"/>
      <family val="2"/>
    </font>
    <font>
      <b/>
      <sz val="10"/>
      <color theme="3"/>
      <name val="Calibri"/>
      <family val="2"/>
    </font>
    <font>
      <b/>
      <sz val="10"/>
      <color rgb="FFFF0000"/>
      <name val="Calibri"/>
      <family val="2"/>
    </font>
    <font>
      <sz val="11"/>
      <color indexed="8"/>
      <name val="Arial"/>
      <family val="2"/>
      <scheme val="minor"/>
    </font>
    <font>
      <sz val="10"/>
      <color theme="0" tint="-0.499984740745262"/>
      <name val="Calibri"/>
      <family val="2"/>
    </font>
    <font>
      <b/>
      <sz val="12"/>
      <color theme="3"/>
      <name val="Calibri"/>
      <family val="2"/>
    </font>
    <font>
      <sz val="10"/>
      <color theme="3"/>
      <name val="Calibri"/>
      <family val="2"/>
    </font>
    <font>
      <sz val="10"/>
      <color theme="1"/>
      <name val="Arial"/>
      <family val="2"/>
      <scheme val="minor"/>
    </font>
    <font>
      <sz val="12"/>
      <color theme="3"/>
      <name val="Calibri"/>
      <family val="2"/>
    </font>
    <font>
      <sz val="14"/>
      <color theme="3"/>
      <name val="Calibri"/>
      <family val="2"/>
    </font>
    <font>
      <b/>
      <sz val="10"/>
      <color rgb="FFFFFF00"/>
      <name val="Calibri"/>
      <family val="2"/>
    </font>
    <font>
      <b/>
      <sz val="14"/>
      <color theme="3"/>
      <name val="Arial"/>
      <family val="2"/>
    </font>
    <font>
      <b/>
      <sz val="9"/>
      <color theme="3"/>
      <name val="Arial"/>
      <family val="2"/>
    </font>
    <font>
      <sz val="10"/>
      <color rgb="FFFF0000"/>
      <name val="Calibri"/>
      <family val="2"/>
    </font>
    <font>
      <sz val="10"/>
      <color rgb="FFFF0000"/>
      <name val="Arial"/>
      <family val="2"/>
    </font>
    <font>
      <b/>
      <sz val="11"/>
      <color theme="3"/>
      <name val="Arial"/>
      <family val="2"/>
    </font>
    <font>
      <u/>
      <sz val="11"/>
      <color theme="1"/>
      <name val="Arial"/>
      <family val="2"/>
    </font>
  </fonts>
  <fills count="16">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2" tint="-0.14999847407452621"/>
        <bgColor indexed="64"/>
      </patternFill>
    </fill>
    <fill>
      <patternFill patternType="solid">
        <fgColor rgb="FFCCFFCC"/>
        <bgColor indexed="64"/>
      </patternFill>
    </fill>
    <fill>
      <patternFill patternType="solid">
        <fgColor theme="4"/>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3">
    <xf numFmtId="0" fontId="0" fillId="0" borderId="0"/>
    <xf numFmtId="164" fontId="1" fillId="0" borderId="0" applyFont="0" applyFill="0" applyBorder="0" applyAlignment="0" applyProtection="0"/>
    <xf numFmtId="0" fontId="2" fillId="0" borderId="0"/>
    <xf numFmtId="167" fontId="1" fillId="0" borderId="0" applyFont="0" applyFill="0" applyBorder="0" applyProtection="0">
      <alignment vertical="top"/>
    </xf>
    <xf numFmtId="0" fontId="3" fillId="0" borderId="0"/>
    <xf numFmtId="0" fontId="1" fillId="0" borderId="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0" fontId="12" fillId="0" borderId="0"/>
    <xf numFmtId="0" fontId="12" fillId="0" borderId="0"/>
    <xf numFmtId="0" fontId="1" fillId="0" borderId="0"/>
  </cellStyleXfs>
  <cellXfs count="261">
    <xf numFmtId="0" fontId="0" fillId="0" borderId="0" xfId="0"/>
    <xf numFmtId="0" fontId="4" fillId="0" borderId="0" xfId="0" applyFont="1"/>
    <xf numFmtId="0" fontId="7" fillId="0" borderId="1" xfId="0" applyFont="1" applyFill="1" applyBorder="1" applyAlignment="1">
      <alignment horizontal="center" vertical="center" wrapText="1"/>
    </xf>
    <xf numFmtId="0" fontId="7" fillId="2" borderId="1" xfId="0" applyFont="1" applyFill="1" applyBorder="1" applyAlignment="1">
      <alignment vertical="center"/>
    </xf>
    <xf numFmtId="0" fontId="4" fillId="0" borderId="0" xfId="0" applyFont="1" applyAlignment="1">
      <alignment vertical="center"/>
    </xf>
    <xf numFmtId="0" fontId="7" fillId="2" borderId="1" xfId="0" applyFont="1" applyFill="1" applyBorder="1" applyAlignment="1">
      <alignment horizontal="center" vertical="center" wrapText="1"/>
    </xf>
    <xf numFmtId="0" fontId="7" fillId="0" borderId="1" xfId="0" applyFont="1" applyFill="1" applyBorder="1" applyAlignment="1">
      <alignment vertical="center"/>
    </xf>
    <xf numFmtId="0" fontId="7" fillId="0" borderId="1" xfId="0" applyFont="1" applyBorder="1" applyAlignment="1">
      <alignment vertical="center"/>
    </xf>
    <xf numFmtId="0" fontId="5" fillId="0" borderId="0" xfId="0" applyFont="1" applyAlignment="1">
      <alignment vertical="center"/>
    </xf>
    <xf numFmtId="2" fontId="4" fillId="0" borderId="0" xfId="0" applyNumberFormat="1" applyFont="1" applyBorder="1" applyAlignment="1">
      <alignment vertical="center"/>
    </xf>
    <xf numFmtId="2" fontId="4" fillId="0" borderId="0" xfId="0" applyNumberFormat="1" applyFont="1" applyFill="1" applyBorder="1" applyAlignment="1">
      <alignment vertical="center"/>
    </xf>
    <xf numFmtId="0" fontId="7" fillId="0" borderId="0" xfId="0" applyFont="1"/>
    <xf numFmtId="0" fontId="8" fillId="8" borderId="5" xfId="0" applyFont="1" applyFill="1" applyBorder="1" applyAlignment="1">
      <alignment horizontal="center" vertical="center" wrapText="1"/>
    </xf>
    <xf numFmtId="0" fontId="7" fillId="0" borderId="0" xfId="0" applyFont="1" applyAlignment="1">
      <alignment vertical="center"/>
    </xf>
    <xf numFmtId="0" fontId="7" fillId="9" borderId="2" xfId="0" applyFont="1" applyFill="1" applyBorder="1" applyAlignment="1">
      <alignment vertical="center"/>
    </xf>
    <xf numFmtId="0" fontId="7" fillId="7" borderId="2" xfId="0" applyFont="1" applyFill="1" applyBorder="1" applyAlignment="1">
      <alignment vertical="center"/>
    </xf>
    <xf numFmtId="0" fontId="9" fillId="0" borderId="0" xfId="0" applyFont="1" applyFill="1"/>
    <xf numFmtId="0" fontId="7" fillId="0" borderId="0" xfId="0" applyFont="1" applyFill="1"/>
    <xf numFmtId="0" fontId="7" fillId="0" borderId="2" xfId="0" applyFont="1" applyFill="1" applyBorder="1"/>
    <xf numFmtId="0" fontId="7" fillId="0" borderId="3" xfId="0" applyFont="1" applyFill="1" applyBorder="1"/>
    <xf numFmtId="0" fontId="7" fillId="0" borderId="4" xfId="0" applyFont="1" applyFill="1" applyBorder="1"/>
    <xf numFmtId="0" fontId="7" fillId="0" borderId="1" xfId="0" applyFont="1" applyFill="1" applyBorder="1"/>
    <xf numFmtId="0" fontId="7" fillId="0" borderId="0" xfId="0" applyFont="1" applyFill="1" applyBorder="1"/>
    <xf numFmtId="170" fontId="7" fillId="0" borderId="0" xfId="8" applyNumberFormat="1" applyFont="1" applyFill="1" applyBorder="1"/>
    <xf numFmtId="0" fontId="7" fillId="0" borderId="0" xfId="0" applyFont="1" applyFill="1" applyBorder="1" applyAlignment="1">
      <alignment horizontal="center" wrapText="1"/>
    </xf>
    <xf numFmtId="0" fontId="8" fillId="8" borderId="1" xfId="0" applyFont="1" applyFill="1" applyBorder="1" applyAlignment="1">
      <alignment horizontal="center" vertical="center" wrapText="1"/>
    </xf>
    <xf numFmtId="0" fontId="7" fillId="0" borderId="1" xfId="0" applyFont="1" applyBorder="1" applyAlignment="1">
      <alignment horizontal="centerContinuous" vertical="center"/>
    </xf>
    <xf numFmtId="0" fontId="10" fillId="0" borderId="0" xfId="0" applyFont="1" applyFill="1" applyBorder="1" applyAlignment="1">
      <alignment horizontal="centerContinuous"/>
    </xf>
    <xf numFmtId="0" fontId="7" fillId="0" borderId="0" xfId="0" applyFont="1" applyFill="1" applyAlignment="1">
      <alignment horizontal="center"/>
    </xf>
    <xf numFmtId="0" fontId="7" fillId="0" borderId="0" xfId="0" applyFont="1" applyAlignment="1">
      <alignment horizontal="center"/>
    </xf>
    <xf numFmtId="0" fontId="11" fillId="0" borderId="0" xfId="0" applyFont="1" applyFill="1"/>
    <xf numFmtId="0" fontId="7" fillId="3" borderId="1" xfId="0" applyFont="1" applyFill="1" applyBorder="1" applyAlignment="1">
      <alignment horizontal="center" vertical="center" wrapText="1"/>
    </xf>
    <xf numFmtId="0" fontId="7" fillId="2" borderId="2" xfId="0" applyFont="1" applyFill="1" applyBorder="1" applyAlignment="1">
      <alignment vertical="center"/>
    </xf>
    <xf numFmtId="0" fontId="7" fillId="9" borderId="1" xfId="0" applyFont="1" applyFill="1" applyBorder="1" applyAlignment="1">
      <alignment vertical="center"/>
    </xf>
    <xf numFmtId="0" fontId="7" fillId="7" borderId="1"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Alignment="1">
      <alignment horizontal="centerContinuous" vertical="center"/>
    </xf>
    <xf numFmtId="9" fontId="13" fillId="0" borderId="0" xfId="0" applyNumberFormat="1" applyFont="1" applyFill="1" applyBorder="1" applyAlignment="1">
      <alignment horizontal="center" vertical="center" wrapText="1"/>
    </xf>
    <xf numFmtId="165" fontId="7" fillId="9" borderId="1" xfId="1" applyNumberFormat="1" applyFont="1" applyFill="1" applyBorder="1" applyAlignment="1">
      <alignment vertical="center"/>
    </xf>
    <xf numFmtId="173" fontId="7" fillId="7" borderId="1" xfId="1" applyNumberFormat="1" applyFont="1" applyFill="1" applyBorder="1" applyAlignment="1">
      <alignment vertical="center"/>
    </xf>
    <xf numFmtId="165" fontId="7" fillId="3" borderId="1" xfId="1" applyNumberFormat="1" applyFont="1" applyFill="1" applyBorder="1" applyAlignment="1">
      <alignment vertical="center"/>
    </xf>
    <xf numFmtId="165" fontId="7" fillId="7" borderId="1" xfId="1" applyNumberFormat="1" applyFont="1" applyFill="1" applyBorder="1" applyAlignment="1">
      <alignment vertical="center"/>
    </xf>
    <xf numFmtId="173" fontId="7" fillId="7" borderId="1" xfId="1" applyNumberFormat="1" applyFont="1" applyFill="1" applyBorder="1" applyAlignment="1">
      <alignment horizontal="left" vertical="center"/>
    </xf>
    <xf numFmtId="165" fontId="7" fillId="2" borderId="1" xfId="1" applyNumberFormat="1" applyFont="1" applyFill="1" applyBorder="1" applyAlignment="1">
      <alignment horizontal="left" vertical="center"/>
    </xf>
    <xf numFmtId="165" fontId="7" fillId="2" borderId="1" xfId="1" applyNumberFormat="1" applyFont="1" applyFill="1" applyBorder="1" applyAlignment="1">
      <alignment vertical="center"/>
    </xf>
    <xf numFmtId="165" fontId="7" fillId="9" borderId="1" xfId="1" applyNumberFormat="1" applyFont="1" applyFill="1" applyBorder="1" applyAlignment="1">
      <alignment horizontal="left" vertical="center"/>
    </xf>
    <xf numFmtId="165" fontId="7" fillId="3" borderId="1" xfId="1" applyNumberFormat="1" applyFont="1" applyFill="1" applyBorder="1"/>
    <xf numFmtId="170" fontId="7" fillId="0" borderId="0" xfId="0" applyNumberFormat="1" applyFont="1" applyFill="1" applyBorder="1"/>
    <xf numFmtId="170" fontId="7" fillId="0" borderId="1" xfId="0" applyNumberFormat="1" applyFont="1" applyFill="1" applyBorder="1"/>
    <xf numFmtId="0" fontId="6"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6" fillId="3" borderId="1" xfId="0" applyFont="1" applyFill="1" applyBorder="1" applyAlignment="1">
      <alignment vertical="center" wrapText="1"/>
    </xf>
    <xf numFmtId="0" fontId="7" fillId="3" borderId="1" xfId="0" applyFont="1" applyFill="1" applyBorder="1" applyAlignment="1">
      <alignment horizontal="center" vertical="center"/>
    </xf>
    <xf numFmtId="4" fontId="7" fillId="7" borderId="1" xfId="8" applyNumberFormat="1" applyFont="1" applyFill="1" applyBorder="1" applyAlignment="1">
      <alignment vertical="center"/>
    </xf>
    <xf numFmtId="2" fontId="7" fillId="7" borderId="1" xfId="8" applyNumberFormat="1" applyFont="1" applyFill="1" applyBorder="1" applyAlignment="1">
      <alignment vertical="center"/>
    </xf>
    <xf numFmtId="169" fontId="7" fillId="7" borderId="1" xfId="8" applyNumberFormat="1" applyFont="1" applyFill="1" applyBorder="1" applyAlignment="1">
      <alignment vertical="center"/>
    </xf>
    <xf numFmtId="0" fontId="7" fillId="0" borderId="0" xfId="0" applyFont="1" applyAlignment="1">
      <alignment vertical="top" wrapText="1"/>
    </xf>
    <xf numFmtId="174" fontId="7" fillId="0" borderId="1" xfId="1" applyNumberFormat="1" applyFont="1" applyBorder="1"/>
    <xf numFmtId="0" fontId="9" fillId="0" borderId="1" xfId="0" applyFont="1" applyBorder="1"/>
    <xf numFmtId="0" fontId="7" fillId="0" borderId="1" xfId="0" applyFont="1" applyBorder="1"/>
    <xf numFmtId="0" fontId="7" fillId="2" borderId="1" xfId="0" applyFont="1" applyFill="1" applyBorder="1"/>
    <xf numFmtId="166" fontId="7" fillId="3" borderId="1" xfId="0" quotePrefix="1" applyNumberFormat="1" applyFont="1" applyFill="1" applyBorder="1"/>
    <xf numFmtId="0" fontId="14" fillId="0" borderId="0" xfId="0" applyFont="1" applyFill="1" applyBorder="1"/>
    <xf numFmtId="174" fontId="7" fillId="0" borderId="0" xfId="1" applyNumberFormat="1" applyFont="1"/>
    <xf numFmtId="174" fontId="7" fillId="0" borderId="0" xfId="1" applyNumberFormat="1" applyFont="1" applyBorder="1"/>
    <xf numFmtId="0" fontId="10" fillId="0" borderId="1" xfId="0" applyFont="1" applyFill="1" applyBorder="1" applyAlignment="1">
      <alignment horizontal="centerContinuous"/>
    </xf>
    <xf numFmtId="9" fontId="7" fillId="2" borderId="1" xfId="8"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2" borderId="1" xfId="0" applyFont="1" applyFill="1" applyBorder="1" applyAlignment="1">
      <alignment vertical="center" wrapText="1"/>
    </xf>
    <xf numFmtId="0" fontId="7" fillId="0" borderId="0" xfId="0" applyFont="1" applyBorder="1"/>
    <xf numFmtId="0" fontId="9" fillId="0" borderId="0" xfId="0" applyFont="1"/>
    <xf numFmtId="174" fontId="7" fillId="0" borderId="5" xfId="1" applyNumberFormat="1" applyFont="1" applyFill="1" applyBorder="1" applyAlignment="1">
      <alignment vertical="center"/>
    </xf>
    <xf numFmtId="171" fontId="7" fillId="0" borderId="1" xfId="1" applyNumberFormat="1" applyFont="1" applyBorder="1" applyAlignment="1">
      <alignment horizontal="center" wrapText="1"/>
    </xf>
    <xf numFmtId="168" fontId="9" fillId="0" borderId="1" xfId="0" applyNumberFormat="1" applyFont="1" applyBorder="1"/>
    <xf numFmtId="174" fontId="9" fillId="0" borderId="1" xfId="1" applyNumberFormat="1" applyFont="1" applyBorder="1"/>
    <xf numFmtId="0" fontId="9" fillId="0" borderId="2" xfId="0" applyFont="1" applyFill="1" applyBorder="1"/>
    <xf numFmtId="0" fontId="9" fillId="0" borderId="3" xfId="0" applyFont="1" applyBorder="1"/>
    <xf numFmtId="175" fontId="9" fillId="0" borderId="4" xfId="1" applyNumberFormat="1" applyFont="1" applyBorder="1" applyAlignment="1">
      <alignment wrapText="1"/>
    </xf>
    <xf numFmtId="2" fontId="7" fillId="0" borderId="1" xfId="0" applyNumberFormat="1" applyFont="1" applyBorder="1"/>
    <xf numFmtId="174" fontId="7" fillId="0" borderId="1" xfId="1" applyNumberFormat="1" applyFont="1" applyBorder="1" applyAlignment="1">
      <alignment vertical="center"/>
    </xf>
    <xf numFmtId="170" fontId="7" fillId="0" borderId="1" xfId="8" applyNumberFormat="1" applyFont="1" applyBorder="1"/>
    <xf numFmtId="172" fontId="7" fillId="2" borderId="1" xfId="9" applyNumberFormat="1" applyFont="1" applyFill="1" applyBorder="1"/>
    <xf numFmtId="9" fontId="7" fillId="2" borderId="1" xfId="8" applyFont="1" applyFill="1" applyBorder="1" applyAlignment="1">
      <alignment horizontal="center" vertical="center"/>
    </xf>
    <xf numFmtId="0" fontId="7" fillId="0" borderId="3" xfId="0" applyFont="1" applyBorder="1" applyAlignment="1">
      <alignment horizontal="centerContinuous"/>
    </xf>
    <xf numFmtId="0" fontId="7" fillId="0" borderId="4" xfId="0" applyFont="1" applyBorder="1" applyAlignment="1">
      <alignment horizontal="centerContinuous"/>
    </xf>
    <xf numFmtId="0" fontId="7" fillId="0" borderId="4" xfId="0" applyFont="1" applyFill="1" applyBorder="1" applyAlignment="1">
      <alignment vertical="center"/>
    </xf>
    <xf numFmtId="4" fontId="7" fillId="0" borderId="1" xfId="8" applyNumberFormat="1" applyFont="1" applyFill="1" applyBorder="1" applyAlignment="1">
      <alignment vertical="center"/>
    </xf>
    <xf numFmtId="2" fontId="7" fillId="0" borderId="1" xfId="8" applyNumberFormat="1" applyFont="1" applyFill="1" applyBorder="1" applyAlignment="1">
      <alignment vertical="center"/>
    </xf>
    <xf numFmtId="169" fontId="7" fillId="0" borderId="1" xfId="8" applyNumberFormat="1" applyFont="1" applyFill="1" applyBorder="1" applyAlignment="1">
      <alignment vertical="center"/>
    </xf>
    <xf numFmtId="0" fontId="9" fillId="2" borderId="2" xfId="0" applyFont="1" applyFill="1" applyBorder="1" applyAlignment="1">
      <alignment vertical="center" wrapText="1"/>
    </xf>
    <xf numFmtId="0" fontId="15" fillId="0" borderId="0" xfId="0" applyFont="1"/>
    <xf numFmtId="165" fontId="9" fillId="3" borderId="1" xfId="1" applyNumberFormat="1" applyFont="1" applyFill="1" applyBorder="1" applyAlignment="1">
      <alignment vertical="center"/>
    </xf>
    <xf numFmtId="165" fontId="9" fillId="9" borderId="1" xfId="1" applyNumberFormat="1" applyFont="1" applyFill="1" applyBorder="1" applyAlignment="1">
      <alignment vertical="center"/>
    </xf>
    <xf numFmtId="165" fontId="9" fillId="7" borderId="1" xfId="1" applyNumberFormat="1" applyFont="1" applyFill="1" applyBorder="1" applyAlignment="1">
      <alignment vertical="center"/>
    </xf>
    <xf numFmtId="173" fontId="9" fillId="7" borderId="1" xfId="1" applyNumberFormat="1" applyFont="1" applyFill="1" applyBorder="1" applyAlignment="1">
      <alignment vertical="center"/>
    </xf>
    <xf numFmtId="0" fontId="9" fillId="10" borderId="1" xfId="0" applyFont="1" applyFill="1" applyBorder="1" applyAlignment="1">
      <alignment horizontal="centerContinuous"/>
    </xf>
    <xf numFmtId="0" fontId="6" fillId="10"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9" fillId="3" borderId="1" xfId="0" applyFont="1" applyFill="1" applyBorder="1" applyAlignment="1">
      <alignment horizontal="centerContinuous"/>
    </xf>
    <xf numFmtId="174" fontId="7" fillId="3" borderId="1" xfId="1" applyNumberFormat="1" applyFont="1" applyFill="1" applyBorder="1" applyAlignment="1">
      <alignment vertical="center"/>
    </xf>
    <xf numFmtId="165" fontId="7" fillId="10" borderId="1" xfId="0" applyNumberFormat="1" applyFont="1" applyFill="1" applyBorder="1"/>
    <xf numFmtId="0" fontId="7" fillId="6" borderId="0" xfId="0" applyFont="1" applyFill="1" applyAlignment="1">
      <alignment horizontal="centerContinuous" vertical="center"/>
    </xf>
    <xf numFmtId="165" fontId="7" fillId="0" borderId="0" xfId="0" applyNumberFormat="1" applyFont="1"/>
    <xf numFmtId="0" fontId="14" fillId="0" borderId="0" xfId="0" applyFont="1"/>
    <xf numFmtId="0" fontId="7" fillId="5" borderId="1" xfId="0" applyFont="1" applyFill="1" applyBorder="1" applyAlignment="1">
      <alignment horizontal="center"/>
    </xf>
    <xf numFmtId="0" fontId="9" fillId="3" borderId="1" xfId="0" applyFont="1" applyFill="1" applyBorder="1" applyAlignment="1">
      <alignment horizontal="centerContinuous" vertical="center"/>
    </xf>
    <xf numFmtId="0" fontId="9" fillId="10" borderId="1" xfId="0" applyFont="1" applyFill="1" applyBorder="1" applyAlignment="1">
      <alignment horizontal="centerContinuous" vertical="center"/>
    </xf>
    <xf numFmtId="0" fontId="9" fillId="8" borderId="1" xfId="0" applyFont="1" applyFill="1" applyBorder="1" applyAlignment="1">
      <alignment horizontal="centerContinuous" vertical="center"/>
    </xf>
    <xf numFmtId="0" fontId="6" fillId="8"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165" fontId="7" fillId="8" borderId="1" xfId="1" applyNumberFormat="1" applyFont="1" applyFill="1" applyBorder="1"/>
    <xf numFmtId="174" fontId="7" fillId="8" borderId="1" xfId="1" applyNumberFormat="1" applyFont="1" applyFill="1" applyBorder="1" applyAlignment="1">
      <alignment vertical="center"/>
    </xf>
    <xf numFmtId="0" fontId="9" fillId="10" borderId="1" xfId="0" applyFont="1" applyFill="1" applyBorder="1" applyAlignment="1">
      <alignment horizontal="centerContinuous" vertical="center" wrapText="1"/>
    </xf>
    <xf numFmtId="0" fontId="7" fillId="11"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2" fontId="7" fillId="12" borderId="1" xfId="0" applyNumberFormat="1" applyFont="1" applyFill="1" applyBorder="1"/>
    <xf numFmtId="2" fontId="4" fillId="0" borderId="0" xfId="0" applyNumberFormat="1" applyFont="1" applyAlignment="1">
      <alignment vertical="center"/>
    </xf>
    <xf numFmtId="0" fontId="0" fillId="0" borderId="1" xfId="0" applyBorder="1" applyAlignment="1">
      <alignment horizontal="centerContinuous" vertical="center"/>
    </xf>
    <xf numFmtId="0" fontId="10" fillId="0" borderId="1" xfId="0" applyFont="1" applyFill="1" applyBorder="1" applyAlignment="1">
      <alignment horizontal="centerContinuous" vertical="center"/>
    </xf>
    <xf numFmtId="2" fontId="7"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2" fontId="7" fillId="2" borderId="1" xfId="0" applyNumberFormat="1" applyFont="1" applyFill="1" applyBorder="1" applyAlignment="1">
      <alignment vertical="center" wrapText="1"/>
    </xf>
    <xf numFmtId="2" fontId="7" fillId="2" borderId="1" xfId="0" applyNumberFormat="1" applyFont="1" applyFill="1" applyBorder="1" applyAlignment="1">
      <alignment horizontal="left" vertical="center" wrapText="1"/>
    </xf>
    <xf numFmtId="2" fontId="6" fillId="2" borderId="1" xfId="0" applyNumberFormat="1" applyFont="1" applyFill="1" applyBorder="1" applyAlignment="1">
      <alignment horizontal="left" vertical="center" wrapText="1"/>
    </xf>
    <xf numFmtId="2" fontId="7" fillId="2" borderId="1" xfId="0" applyNumberFormat="1" applyFont="1" applyFill="1" applyBorder="1" applyAlignment="1">
      <alignment horizontal="center" vertical="center"/>
    </xf>
    <xf numFmtId="2" fontId="7" fillId="2" borderId="1" xfId="0" applyNumberFormat="1" applyFont="1" applyFill="1" applyBorder="1" applyAlignment="1">
      <alignment vertical="center"/>
    </xf>
    <xf numFmtId="2" fontId="7" fillId="0" borderId="1" xfId="0" applyNumberFormat="1" applyFont="1" applyFill="1" applyBorder="1"/>
    <xf numFmtId="2" fontId="7" fillId="0" borderId="1" xfId="1" applyNumberFormat="1" applyFont="1" applyFill="1" applyBorder="1"/>
    <xf numFmtId="2" fontId="7" fillId="7" borderId="1" xfId="0" applyNumberFormat="1" applyFont="1" applyFill="1" applyBorder="1"/>
    <xf numFmtId="2" fontId="7" fillId="7" borderId="1" xfId="1" applyNumberFormat="1" applyFont="1" applyFill="1" applyBorder="1"/>
    <xf numFmtId="2" fontId="10" fillId="0" borderId="1" xfId="0" applyNumberFormat="1" applyFont="1" applyFill="1" applyBorder="1" applyAlignment="1">
      <alignment horizontal="centerContinuous" vertical="center"/>
    </xf>
    <xf numFmtId="2" fontId="5" fillId="0" borderId="0" xfId="0" applyNumberFormat="1" applyFont="1" applyBorder="1" applyAlignment="1">
      <alignment vertical="center"/>
    </xf>
    <xf numFmtId="2" fontId="5" fillId="0" borderId="0" xfId="3" applyNumberFormat="1" applyFont="1" applyFill="1" applyBorder="1" applyAlignment="1">
      <alignment vertical="center"/>
    </xf>
    <xf numFmtId="2" fontId="4" fillId="6" borderId="0" xfId="0" applyNumberFormat="1" applyFont="1" applyFill="1" applyBorder="1" applyAlignment="1">
      <alignment vertical="center"/>
    </xf>
    <xf numFmtId="2" fontId="4" fillId="0" borderId="0" xfId="3" applyNumberFormat="1" applyFont="1" applyFill="1" applyBorder="1" applyAlignment="1">
      <alignment vertical="center"/>
    </xf>
    <xf numFmtId="2" fontId="5" fillId="0" borderId="0" xfId="0" applyNumberFormat="1" applyFont="1" applyFill="1" applyBorder="1" applyAlignment="1">
      <alignment vertical="center"/>
    </xf>
    <xf numFmtId="2" fontId="4" fillId="0" borderId="0" xfId="5" applyNumberFormat="1" applyFont="1" applyFill="1" applyBorder="1" applyAlignment="1">
      <alignment vertical="center"/>
    </xf>
    <xf numFmtId="2" fontId="4" fillId="0" borderId="0" xfId="7" applyNumberFormat="1" applyFont="1" applyBorder="1" applyAlignment="1">
      <alignment vertical="center"/>
    </xf>
    <xf numFmtId="2" fontId="5" fillId="0" borderId="0" xfId="6" applyNumberFormat="1" applyFont="1" applyFill="1" applyBorder="1" applyAlignment="1">
      <alignment vertical="center"/>
    </xf>
    <xf numFmtId="2" fontId="5" fillId="0" borderId="0" xfId="0" applyNumberFormat="1" applyFont="1" applyAlignment="1">
      <alignment vertical="center"/>
    </xf>
    <xf numFmtId="176" fontId="4" fillId="0" borderId="0" xfId="0" applyNumberFormat="1" applyFont="1" applyBorder="1" applyAlignment="1">
      <alignment vertical="center"/>
    </xf>
    <xf numFmtId="0" fontId="17" fillId="0" borderId="0" xfId="0" applyFont="1"/>
    <xf numFmtId="0" fontId="18" fillId="0" borderId="0" xfId="0" applyFont="1"/>
    <xf numFmtId="0" fontId="9" fillId="0" borderId="0" xfId="0" applyFont="1" applyBorder="1"/>
    <xf numFmtId="174" fontId="9" fillId="0" borderId="0" xfId="1" applyNumberFormat="1" applyFont="1" applyBorder="1"/>
    <xf numFmtId="170" fontId="9" fillId="0" borderId="0" xfId="8" applyNumberFormat="1" applyFont="1" applyBorder="1"/>
    <xf numFmtId="177" fontId="9" fillId="0" borderId="0" xfId="1" applyNumberFormat="1" applyFont="1" applyBorder="1"/>
    <xf numFmtId="174" fontId="9" fillId="0" borderId="0" xfId="0" applyNumberFormat="1" applyFont="1" applyBorder="1"/>
    <xf numFmtId="0" fontId="10" fillId="0" borderId="1" xfId="0" applyFont="1" applyBorder="1" applyAlignment="1">
      <alignment horizontal="centerContinuous" vertical="center"/>
    </xf>
    <xf numFmtId="0" fontId="10" fillId="5" borderId="1" xfId="0" applyFont="1" applyFill="1" applyBorder="1" applyAlignment="1">
      <alignment horizontal="centerContinuous" vertical="center"/>
    </xf>
    <xf numFmtId="0" fontId="10" fillId="5" borderId="3" xfId="0" applyFont="1" applyFill="1" applyBorder="1" applyAlignment="1">
      <alignment horizontal="centerContinuous" vertical="center"/>
    </xf>
    <xf numFmtId="166" fontId="7" fillId="0" borderId="0" xfId="0" quotePrefix="1" applyNumberFormat="1" applyFont="1" applyFill="1" applyBorder="1"/>
    <xf numFmtId="0" fontId="7" fillId="0" borderId="0" xfId="0" quotePrefix="1" applyFont="1" applyFill="1" applyBorder="1"/>
    <xf numFmtId="173" fontId="7" fillId="0" borderId="0" xfId="0" applyNumberFormat="1" applyFont="1"/>
    <xf numFmtId="173" fontId="7" fillId="3" borderId="1" xfId="0" applyNumberFormat="1" applyFont="1" applyFill="1" applyBorder="1"/>
    <xf numFmtId="173" fontId="9" fillId="3" borderId="1" xfId="1" applyNumberFormat="1" applyFont="1" applyFill="1" applyBorder="1" applyAlignment="1">
      <alignment vertical="center"/>
    </xf>
    <xf numFmtId="1" fontId="7" fillId="3" borderId="1" xfId="0" applyNumberFormat="1" applyFont="1" applyFill="1" applyBorder="1"/>
    <xf numFmtId="174" fontId="7" fillId="0" borderId="0" xfId="0" applyNumberFormat="1" applyFont="1"/>
    <xf numFmtId="0" fontId="10" fillId="0" borderId="1" xfId="0" applyFont="1" applyBorder="1" applyAlignment="1">
      <alignment vertical="center" wrapText="1"/>
    </xf>
    <xf numFmtId="0" fontId="9" fillId="0" borderId="1" xfId="0" applyFont="1" applyBorder="1" applyAlignment="1">
      <alignment horizontal="centerContinuous" vertical="center"/>
    </xf>
    <xf numFmtId="0" fontId="10" fillId="0" borderId="2" xfId="0" applyFont="1" applyBorder="1" applyAlignment="1">
      <alignment horizontal="centerContinuous" vertical="center"/>
    </xf>
    <xf numFmtId="0" fontId="20" fillId="4" borderId="0" xfId="2" applyFont="1" applyFill="1"/>
    <xf numFmtId="0" fontId="0" fillId="4" borderId="0" xfId="0" applyFill="1"/>
    <xf numFmtId="0" fontId="21" fillId="4" borderId="0" xfId="2" applyFont="1" applyFill="1"/>
    <xf numFmtId="0" fontId="0" fillId="4" borderId="0" xfId="0" applyFill="1" applyBorder="1"/>
    <xf numFmtId="0" fontId="21" fillId="0" borderId="0" xfId="2" applyFont="1" applyBorder="1"/>
    <xf numFmtId="0" fontId="0" fillId="4" borderId="0" xfId="0" applyFill="1" applyBorder="1" applyAlignment="1">
      <alignment vertical="center" wrapText="1"/>
    </xf>
    <xf numFmtId="0" fontId="0" fillId="0" borderId="1" xfId="0" applyBorder="1" applyAlignment="1">
      <alignment horizontal="centerContinuous" vertical="center" wrapText="1"/>
    </xf>
    <xf numFmtId="2" fontId="0" fillId="0" borderId="0" xfId="0" applyNumberFormat="1"/>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0" xfId="0" applyFont="1" applyAlignment="1">
      <alignment vertical="top" wrapText="1"/>
    </xf>
    <xf numFmtId="0" fontId="7" fillId="0" borderId="1" xfId="0" applyFont="1" applyFill="1" applyBorder="1" applyAlignment="1">
      <alignment vertical="center" wrapText="1"/>
    </xf>
    <xf numFmtId="0" fontId="7" fillId="0" borderId="5" xfId="0" applyFont="1" applyFill="1" applyBorder="1" applyAlignment="1">
      <alignment horizontal="left" vertical="center"/>
    </xf>
    <xf numFmtId="0" fontId="7" fillId="0" borderId="2" xfId="0" applyFont="1" applyFill="1" applyBorder="1" applyAlignment="1"/>
    <xf numFmtId="0" fontId="7" fillId="0" borderId="3" xfId="0" applyFont="1" applyFill="1" applyBorder="1" applyAlignment="1"/>
    <xf numFmtId="0" fontId="9" fillId="8" borderId="2" xfId="0" applyFont="1" applyFill="1" applyBorder="1" applyAlignment="1">
      <alignment horizontal="centerContinuous" vertical="center"/>
    </xf>
    <xf numFmtId="0" fontId="9" fillId="8" borderId="4" xfId="0" applyFont="1" applyFill="1" applyBorder="1" applyAlignment="1">
      <alignment horizontal="centerContinuous" vertical="center"/>
    </xf>
    <xf numFmtId="0" fontId="9" fillId="0" borderId="2" xfId="0" applyFont="1" applyBorder="1" applyAlignment="1">
      <alignment horizontal="centerContinuous" vertical="center" wrapText="1"/>
    </xf>
    <xf numFmtId="0" fontId="9" fillId="0" borderId="4" xfId="0" applyFont="1" applyBorder="1" applyAlignment="1">
      <alignment horizontal="centerContinuous" vertical="center" wrapText="1"/>
    </xf>
    <xf numFmtId="0" fontId="9" fillId="0" borderId="1" xfId="0" applyFont="1" applyBorder="1" applyAlignment="1">
      <alignment horizontal="centerContinuous" vertical="center" wrapText="1"/>
    </xf>
    <xf numFmtId="174" fontId="7" fillId="0" borderId="1" xfId="0" applyNumberFormat="1" applyFont="1" applyBorder="1" applyAlignment="1">
      <alignment vertical="center"/>
    </xf>
    <xf numFmtId="0" fontId="9" fillId="0" borderId="1" xfId="0" applyFont="1" applyBorder="1" applyAlignment="1">
      <alignment vertical="center"/>
    </xf>
    <xf numFmtId="174" fontId="9" fillId="0" borderId="1" xfId="1" applyNumberFormat="1" applyFont="1" applyBorder="1" applyAlignment="1">
      <alignment vertical="center"/>
    </xf>
    <xf numFmtId="174" fontId="9" fillId="0" borderId="1" xfId="0" applyNumberFormat="1" applyFont="1" applyBorder="1" applyAlignment="1">
      <alignment vertical="center"/>
    </xf>
    <xf numFmtId="170" fontId="7" fillId="0" borderId="1" xfId="8" applyNumberFormat="1" applyFont="1" applyBorder="1" applyAlignment="1">
      <alignment vertical="center"/>
    </xf>
    <xf numFmtId="3" fontId="7" fillId="0" borderId="1" xfId="1" applyNumberFormat="1" applyFont="1" applyBorder="1" applyAlignment="1">
      <alignment vertical="center"/>
    </xf>
    <xf numFmtId="170" fontId="9" fillId="0" borderId="1" xfId="8" applyNumberFormat="1" applyFont="1" applyBorder="1" applyAlignment="1">
      <alignment vertical="center"/>
    </xf>
    <xf numFmtId="3" fontId="9" fillId="0" borderId="1" xfId="1" applyNumberFormat="1" applyFont="1" applyBorder="1" applyAlignment="1">
      <alignment vertical="center"/>
    </xf>
    <xf numFmtId="0" fontId="19" fillId="14" borderId="0" xfId="0" applyFont="1" applyFill="1" applyAlignment="1">
      <alignment vertical="center"/>
    </xf>
    <xf numFmtId="0" fontId="7" fillId="14" borderId="0" xfId="0" applyFont="1" applyFill="1" applyAlignment="1">
      <alignment vertical="center"/>
    </xf>
    <xf numFmtId="0" fontId="7" fillId="0" borderId="1" xfId="0" applyFont="1" applyBorder="1" applyAlignment="1">
      <alignment vertical="center" wrapText="1"/>
    </xf>
    <xf numFmtId="0" fontId="7" fillId="0" borderId="0" xfId="0" applyFont="1" applyAlignment="1">
      <alignment vertical="center" wrapText="1"/>
    </xf>
    <xf numFmtId="9" fontId="7" fillId="0" borderId="6" xfId="8" applyFont="1" applyBorder="1" applyAlignment="1">
      <alignment vertical="center"/>
    </xf>
    <xf numFmtId="0" fontId="9" fillId="8" borderId="2" xfId="0" applyFont="1" applyFill="1" applyBorder="1" applyAlignment="1">
      <alignment horizontal="centerContinuous" vertical="center" wrapText="1"/>
    </xf>
    <xf numFmtId="0" fontId="9" fillId="8" borderId="4" xfId="0" applyFont="1" applyFill="1" applyBorder="1" applyAlignment="1">
      <alignment horizontal="centerContinuous" vertical="center" wrapText="1"/>
    </xf>
    <xf numFmtId="0" fontId="9" fillId="8" borderId="1" xfId="0" applyFont="1" applyFill="1" applyBorder="1" applyAlignment="1">
      <alignment horizontal="centerContinuous" vertical="center" wrapText="1"/>
    </xf>
    <xf numFmtId="1" fontId="7" fillId="0" borderId="1" xfId="1" applyNumberFormat="1" applyFont="1" applyBorder="1" applyAlignment="1">
      <alignment vertical="center"/>
    </xf>
    <xf numFmtId="1" fontId="9" fillId="0" borderId="1" xfId="1" applyNumberFormat="1" applyFont="1" applyBorder="1" applyAlignment="1">
      <alignment vertical="center"/>
    </xf>
    <xf numFmtId="0" fontId="9" fillId="0" borderId="2" xfId="0" applyFont="1" applyFill="1" applyBorder="1" applyAlignment="1">
      <alignment horizontal="centerContinuous" vertical="center"/>
    </xf>
    <xf numFmtId="0" fontId="9" fillId="0" borderId="4" xfId="0" applyFont="1" applyFill="1" applyBorder="1" applyAlignment="1">
      <alignment horizontal="centerContinuous" vertical="center"/>
    </xf>
    <xf numFmtId="0" fontId="9" fillId="0" borderId="1" xfId="0" applyFont="1" applyFill="1" applyBorder="1" applyAlignment="1">
      <alignment horizontal="centerContinuous" vertical="center"/>
    </xf>
    <xf numFmtId="174" fontId="7" fillId="0" borderId="0" xfId="0" applyNumberFormat="1" applyFont="1" applyAlignment="1">
      <alignment vertical="center"/>
    </xf>
    <xf numFmtId="0" fontId="14" fillId="0" borderId="0" xfId="0" applyFont="1" applyAlignment="1">
      <alignment vertical="center"/>
    </xf>
    <xf numFmtId="2" fontId="7" fillId="0" borderId="1" xfId="0" applyNumberFormat="1" applyFont="1" applyBorder="1" applyAlignment="1">
      <alignment vertical="center"/>
    </xf>
    <xf numFmtId="0" fontId="22" fillId="6" borderId="1" xfId="0" applyFont="1" applyFill="1" applyBorder="1" applyAlignment="1">
      <alignment horizontal="center" vertical="center" wrapText="1"/>
    </xf>
    <xf numFmtId="2" fontId="11" fillId="0" borderId="1" xfId="0" applyNumberFormat="1" applyFont="1" applyFill="1" applyBorder="1" applyAlignment="1">
      <alignment vertical="center" wrapText="1"/>
    </xf>
    <xf numFmtId="0" fontId="7" fillId="0" borderId="1" xfId="0" applyFont="1" applyBorder="1" applyAlignment="1">
      <alignment horizontal="centerContinuous" wrapText="1"/>
    </xf>
    <xf numFmtId="0" fontId="7" fillId="0" borderId="1" xfId="0" applyFont="1" applyBorder="1" applyAlignment="1">
      <alignment horizontal="centerContinuous" vertical="center" wrapText="1"/>
    </xf>
    <xf numFmtId="164" fontId="9" fillId="0" borderId="1" xfId="1" applyFont="1" applyBorder="1" applyAlignment="1">
      <alignment horizontal="center"/>
    </xf>
    <xf numFmtId="2" fontId="5" fillId="6" borderId="0" xfId="0" applyNumberFormat="1" applyFont="1" applyFill="1" applyBorder="1" applyAlignment="1">
      <alignment vertical="center"/>
    </xf>
    <xf numFmtId="0" fontId="9" fillId="0" borderId="2" xfId="0" applyFont="1" applyFill="1" applyBorder="1" applyAlignment="1">
      <alignment horizontal="centerContinuous" vertical="center" wrapText="1"/>
    </xf>
    <xf numFmtId="0" fontId="7" fillId="15" borderId="1" xfId="0" applyFont="1" applyFill="1" applyBorder="1" applyAlignment="1">
      <alignment horizontal="center" vertical="center" wrapText="1"/>
    </xf>
    <xf numFmtId="174" fontId="7" fillId="15" borderId="1" xfId="1" applyNumberFormat="1" applyFont="1" applyFill="1" applyBorder="1" applyAlignment="1">
      <alignment vertical="center"/>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172" fontId="7" fillId="0" borderId="0" xfId="9" applyNumberFormat="1" applyFont="1" applyFill="1" applyBorder="1"/>
    <xf numFmtId="0" fontId="7" fillId="0" borderId="0" xfId="0" applyFont="1" applyBorder="1" applyAlignment="1">
      <alignment horizontal="center" wrapText="1"/>
    </xf>
    <xf numFmtId="0" fontId="24" fillId="4" borderId="0" xfId="2" applyFont="1" applyFill="1"/>
    <xf numFmtId="0" fontId="0" fillId="4" borderId="0" xfId="0" applyFill="1" applyBorder="1" applyAlignment="1">
      <alignment vertical="top"/>
    </xf>
    <xf numFmtId="0" fontId="16" fillId="0" borderId="0" xfId="0" applyFont="1" applyFill="1"/>
    <xf numFmtId="0" fontId="16" fillId="0" borderId="9" xfId="0" applyFont="1" applyFill="1" applyBorder="1" applyAlignment="1">
      <alignment horizontal="center" wrapText="1"/>
    </xf>
    <xf numFmtId="174" fontId="15" fillId="3" borderId="1" xfId="1" applyNumberFormat="1" applyFont="1" applyFill="1" applyBorder="1" applyAlignment="1">
      <alignment horizontal="left" vertical="center"/>
    </xf>
    <xf numFmtId="174" fontId="15" fillId="3" borderId="1" xfId="0" applyNumberFormat="1" applyFont="1" applyFill="1" applyBorder="1" applyAlignment="1">
      <alignment horizontal="left" vertical="center"/>
    </xf>
    <xf numFmtId="174" fontId="15" fillId="3" borderId="1" xfId="0" applyNumberFormat="1" applyFont="1" applyFill="1" applyBorder="1" applyAlignment="1">
      <alignment horizontal="center" vertical="center" wrapText="1"/>
    </xf>
    <xf numFmtId="174" fontId="15" fillId="3" borderId="3" xfId="0" applyNumberFormat="1" applyFont="1" applyFill="1" applyBorder="1" applyAlignment="1">
      <alignment horizontal="left" vertical="center"/>
    </xf>
    <xf numFmtId="0" fontId="14" fillId="3" borderId="3" xfId="0" applyFont="1" applyFill="1" applyBorder="1" applyAlignment="1">
      <alignment vertical="center" wrapText="1"/>
    </xf>
    <xf numFmtId="0" fontId="14" fillId="3" borderId="4" xfId="0" applyFont="1" applyFill="1" applyBorder="1" applyAlignment="1">
      <alignment vertical="center" wrapText="1"/>
    </xf>
    <xf numFmtId="4" fontId="15" fillId="3" borderId="1" xfId="0" applyNumberFormat="1" applyFont="1" applyFill="1" applyBorder="1" applyAlignment="1">
      <alignment horizontal="left" vertical="center"/>
    </xf>
    <xf numFmtId="2" fontId="15" fillId="3" borderId="1" xfId="0" applyNumberFormat="1" applyFont="1" applyFill="1" applyBorder="1" applyAlignment="1">
      <alignment horizontal="center" vertical="center"/>
    </xf>
    <xf numFmtId="174" fontId="15" fillId="3" borderId="3" xfId="0" applyNumberFormat="1" applyFont="1" applyFill="1" applyBorder="1" applyAlignment="1">
      <alignment vertical="center"/>
    </xf>
    <xf numFmtId="174" fontId="7" fillId="3" borderId="3" xfId="0" applyNumberFormat="1"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15" fillId="3" borderId="3" xfId="0" applyFont="1" applyFill="1" applyBorder="1" applyAlignment="1">
      <alignment vertical="center"/>
    </xf>
    <xf numFmtId="49" fontId="15" fillId="3" borderId="3" xfId="0" applyNumberFormat="1" applyFont="1" applyFill="1" applyBorder="1" applyAlignment="1">
      <alignment horizontal="left" vertical="center"/>
    </xf>
    <xf numFmtId="49" fontId="15" fillId="3" borderId="2" xfId="0" applyNumberFormat="1" applyFont="1" applyFill="1" applyBorder="1" applyAlignment="1">
      <alignment horizontal="left" vertical="center"/>
    </xf>
    <xf numFmtId="49" fontId="15" fillId="3" borderId="8" xfId="0" applyNumberFormat="1" applyFont="1" applyFill="1" applyBorder="1" applyAlignment="1">
      <alignment vertical="center" wrapText="1"/>
    </xf>
    <xf numFmtId="49" fontId="15" fillId="3" borderId="15" xfId="0" applyNumberFormat="1" applyFont="1" applyFill="1" applyBorder="1" applyAlignment="1">
      <alignment vertical="center" wrapText="1"/>
    </xf>
    <xf numFmtId="174" fontId="15" fillId="3" borderId="6" xfId="0" applyNumberFormat="1" applyFont="1" applyFill="1" applyBorder="1" applyAlignment="1">
      <alignment horizontal="left" vertical="center"/>
    </xf>
    <xf numFmtId="4" fontId="15" fillId="3" borderId="6" xfId="0" applyNumberFormat="1" applyFont="1" applyFill="1" applyBorder="1" applyAlignment="1">
      <alignment horizontal="left" vertical="center"/>
    </xf>
    <xf numFmtId="2" fontId="15" fillId="3" borderId="6" xfId="0" applyNumberFormat="1" applyFont="1" applyFill="1" applyBorder="1" applyAlignment="1">
      <alignment horizontal="center" vertical="center"/>
    </xf>
    <xf numFmtId="49" fontId="15" fillId="3" borderId="2" xfId="0" applyNumberFormat="1" applyFont="1" applyFill="1" applyBorder="1" applyAlignment="1">
      <alignment vertical="center"/>
    </xf>
    <xf numFmtId="49" fontId="15" fillId="3" borderId="3" xfId="0" applyNumberFormat="1" applyFont="1" applyFill="1" applyBorder="1" applyAlignment="1">
      <alignment vertical="center" wrapText="1"/>
    </xf>
    <xf numFmtId="49" fontId="15" fillId="3" borderId="4" xfId="0" applyNumberFormat="1" applyFont="1" applyFill="1" applyBorder="1" applyAlignment="1">
      <alignment vertical="center" wrapText="1"/>
    </xf>
    <xf numFmtId="0" fontId="0" fillId="5" borderId="10" xfId="0" applyFill="1" applyBorder="1" applyAlignment="1">
      <alignment horizontal="left" vertical="top" wrapText="1"/>
    </xf>
    <xf numFmtId="0" fontId="0" fillId="5" borderId="11" xfId="0" applyFill="1" applyBorder="1" applyAlignment="1">
      <alignment horizontal="left" vertical="top" wrapText="1"/>
    </xf>
    <xf numFmtId="0" fontId="0" fillId="5" borderId="12" xfId="0" applyFill="1" applyBorder="1" applyAlignment="1">
      <alignment horizontal="left" vertical="top" wrapText="1"/>
    </xf>
    <xf numFmtId="0" fontId="7"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15" xfId="0" applyFont="1" applyFill="1" applyBorder="1" applyAlignment="1">
      <alignment horizontal="left" vertical="center" wrapText="1"/>
    </xf>
  </cellXfs>
  <cellStyles count="13">
    <cellStyle name="Comma" xfId="1" builtinId="3"/>
    <cellStyle name="Comma 2" xfId="9"/>
    <cellStyle name="Normal" xfId="0" builtinId="0"/>
    <cellStyle name="Normal 12" xfId="7"/>
    <cellStyle name="Normal 2" xfId="2"/>
    <cellStyle name="Normal 2 2" xfId="4"/>
    <cellStyle name="Normal 2 3" xfId="10"/>
    <cellStyle name="Normal 2 4" xfId="11"/>
    <cellStyle name="Normal 2 4 2" xfId="12"/>
    <cellStyle name="Normal 20" xfId="3"/>
    <cellStyle name="Normal 7 5" xfId="5"/>
    <cellStyle name="Normal 7 7" xfId="6"/>
    <cellStyle name="Percent" xfId="8" builtinId="5"/>
  </cellStyles>
  <dxfs count="11">
    <dxf>
      <font>
        <color rgb="FF006100"/>
      </font>
      <fill>
        <patternFill>
          <bgColor rgb="FFC6EFCE"/>
        </patternFill>
      </fill>
    </dxf>
    <dxf>
      <font>
        <color rgb="FF00B050"/>
      </font>
      <fill>
        <patternFill>
          <bgColor rgb="FFCCFFCC"/>
        </patternFill>
      </fill>
    </dxf>
    <dxf>
      <font>
        <color rgb="FFFF0000"/>
      </font>
      <fill>
        <patternFill>
          <bgColor theme="9" tint="0.79998168889431442"/>
        </patternFill>
      </fill>
    </dxf>
    <dxf>
      <fill>
        <patternFill>
          <bgColor theme="0" tint="-0.14996795556505021"/>
        </patternFill>
      </fill>
    </dxf>
    <dxf>
      <fill>
        <patternFill>
          <bgColor theme="0" tint="-0.14996795556505021"/>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s>
  <tableStyles count="0" defaultTableStyle="TableStyleMedium2" defaultPivotStyle="PivotStyleLight16"/>
  <colors>
    <mruColors>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43</xdr:row>
      <xdr:rowOff>0</xdr:rowOff>
    </xdr:from>
    <xdr:to>
      <xdr:col>10</xdr:col>
      <xdr:colOff>975514</xdr:colOff>
      <xdr:row>45</xdr:row>
      <xdr:rowOff>133350</xdr:rowOff>
    </xdr:to>
    <xdr:sp macro="" textlink="">
      <xdr:nvSpPr>
        <xdr:cNvPr id="3" name="TextBox 5"/>
        <xdr:cNvSpPr txBox="1"/>
      </xdr:nvSpPr>
      <xdr:spPr>
        <a:xfrm>
          <a:off x="314325" y="12296775"/>
          <a:ext cx="11510164" cy="476250"/>
        </a:xfrm>
        <a:prstGeom prst="rect">
          <a:avLst/>
        </a:prstGeom>
        <a:noFill/>
        <a:ln>
          <a:solidFill>
            <a:schemeClr val="tx1"/>
          </a:solidFill>
          <a:prstDash val="sysDot"/>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a:t>The diagram above is a simplified process model to indicate the relationship between the various feeder models and data sources we use to assess wholesale and retail expenditure cost efficiency models.  We provide a detailed process map in ‘PR19 price setting models map - slow track draft determinations’</a:t>
          </a:r>
          <a:r>
            <a:rPr lang="en-GB" sz="1200" b="1"/>
            <a:t>. </a:t>
          </a:r>
        </a:p>
        <a:p>
          <a:endParaRPr lang="en-GB"/>
        </a:p>
      </xdr:txBody>
    </xdr:sp>
    <xdr:clientData/>
  </xdr:twoCellAnchor>
  <xdr:twoCellAnchor>
    <xdr:from>
      <xdr:col>1</xdr:col>
      <xdr:colOff>0</xdr:colOff>
      <xdr:row>48</xdr:row>
      <xdr:rowOff>0</xdr:rowOff>
    </xdr:from>
    <xdr:to>
      <xdr:col>1</xdr:col>
      <xdr:colOff>2670048</xdr:colOff>
      <xdr:row>49</xdr:row>
      <xdr:rowOff>102870</xdr:rowOff>
    </xdr:to>
    <xdr:sp macro="" textlink="">
      <xdr:nvSpPr>
        <xdr:cNvPr id="5" name="Rectangle 4"/>
        <xdr:cNvSpPr/>
      </xdr:nvSpPr>
      <xdr:spPr>
        <a:xfrm>
          <a:off x="314325" y="13154025"/>
          <a:ext cx="2670048" cy="274320"/>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a:solidFill>
                <a:schemeClr val="tx1"/>
              </a:solidFill>
            </a:rPr>
            <a:t>Model presented in the current file</a:t>
          </a:r>
        </a:p>
      </xdr:txBody>
    </xdr:sp>
    <xdr:clientData/>
  </xdr:twoCellAnchor>
  <xdr:twoCellAnchor>
    <xdr:from>
      <xdr:col>1</xdr:col>
      <xdr:colOff>0</xdr:colOff>
      <xdr:row>52</xdr:row>
      <xdr:rowOff>0</xdr:rowOff>
    </xdr:from>
    <xdr:to>
      <xdr:col>1</xdr:col>
      <xdr:colOff>4769115</xdr:colOff>
      <xdr:row>61</xdr:row>
      <xdr:rowOff>47625</xdr:rowOff>
    </xdr:to>
    <xdr:sp macro="" textlink="">
      <xdr:nvSpPr>
        <xdr:cNvPr id="6" name="Content Placeholder 2"/>
        <xdr:cNvSpPr txBox="1">
          <a:spLocks/>
        </xdr:cNvSpPr>
      </xdr:nvSpPr>
      <xdr:spPr>
        <a:xfrm>
          <a:off x="314325" y="13839825"/>
          <a:ext cx="4769115" cy="1590675"/>
        </a:xfrm>
        <a:prstGeom prst="rect">
          <a:avLst/>
        </a:prstGeom>
        <a:ln>
          <a:solidFill>
            <a:schemeClr val="tx1"/>
          </a:solidFill>
        </a:ln>
      </xdr:spPr>
      <xdr:txBody>
        <a:bodyPr vert="horz" wrap="square" lIns="91440" tIns="45720" rIns="91440" bIns="45720" rtlCol="0">
          <a:normAutofit fontScale="92500" lnSpcReduction="10000"/>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None/>
          </a:pPr>
          <a:r>
            <a:rPr lang="en-GB" sz="1200" b="1" u="sng"/>
            <a:t>Key:</a:t>
          </a:r>
        </a:p>
        <a:p>
          <a:pPr marL="0" indent="0">
            <a:buNone/>
          </a:pPr>
          <a:endParaRPr lang="en-GB" sz="1200"/>
        </a:p>
        <a:p>
          <a:pPr marL="0" indent="0">
            <a:buNone/>
          </a:pPr>
          <a:r>
            <a:rPr lang="en-GB" sz="1200"/>
            <a:t>FM = Feeder model</a:t>
          </a:r>
          <a:endParaRPr lang="en-GB" sz="1400"/>
        </a:p>
        <a:p>
          <a:pPr marL="0" indent="0">
            <a:buNone/>
          </a:pPr>
          <a:r>
            <a:rPr lang="en-GB" sz="1200"/>
            <a:t>CAC = Cost adjustment claim</a:t>
          </a:r>
          <a:endParaRPr lang="en-GB" sz="1400"/>
        </a:p>
        <a:p>
          <a:pPr marL="0" indent="0">
            <a:buNone/>
          </a:pPr>
          <a:r>
            <a:rPr lang="en-GB" sz="1200"/>
            <a:t>CPIH = Consumer Prices Index including owner occupiers’ housing costs </a:t>
          </a:r>
          <a:endParaRPr lang="en-GB" sz="1400"/>
        </a:p>
        <a:p>
          <a:pPr marL="0" indent="0">
            <a:buNone/>
          </a:pPr>
          <a:r>
            <a:rPr lang="en-GB" sz="1200"/>
            <a:t>ONS = Office for National Statistics</a:t>
          </a:r>
          <a:endParaRPr lang="en-GB" sz="1400"/>
        </a:p>
        <a:p>
          <a:pPr marL="0" indent="0">
            <a:buNone/>
          </a:pPr>
          <a:r>
            <a:rPr lang="en-GB" sz="1200"/>
            <a:t>MHCLG = Ministry of Housing, Communities and Local Government </a:t>
          </a:r>
          <a:endParaRPr lang="en-GB" sz="1400"/>
        </a:p>
        <a:p>
          <a:pPr marL="0" indent="0">
            <a:buNone/>
          </a:pPr>
          <a:r>
            <a:rPr lang="en-GB" sz="1200"/>
            <a:t>HVT = Havant Thicket</a:t>
          </a:r>
          <a:endParaRPr lang="en-GB" sz="1400"/>
        </a:p>
        <a:p>
          <a:pPr marL="0" indent="0">
            <a:buNone/>
          </a:pPr>
          <a:r>
            <a:rPr lang="en-GB" sz="1200"/>
            <a:t>TTT = Thames Tideway</a:t>
          </a:r>
          <a:endParaRPr lang="en-GB" sz="1400"/>
        </a:p>
        <a:p>
          <a:pPr marL="0" indent="0">
            <a:buNone/>
          </a:pPr>
          <a:r>
            <a:rPr lang="en-GB" sz="1400"/>
            <a:t> </a:t>
          </a:r>
        </a:p>
      </xdr:txBody>
    </xdr:sp>
    <xdr:clientData/>
  </xdr:twoCellAnchor>
  <xdr:twoCellAnchor editAs="oneCell">
    <xdr:from>
      <xdr:col>1</xdr:col>
      <xdr:colOff>0</xdr:colOff>
      <xdr:row>7</xdr:row>
      <xdr:rowOff>1</xdr:rowOff>
    </xdr:from>
    <xdr:to>
      <xdr:col>9</xdr:col>
      <xdr:colOff>76200</xdr:colOff>
      <xdr:row>39</xdr:row>
      <xdr:rowOff>112515</xdr:rowOff>
    </xdr:to>
    <xdr:pic>
      <xdr:nvPicPr>
        <xdr:cNvPr id="2" name="Picture 1"/>
        <xdr:cNvPicPr>
          <a:picLocks noChangeAspect="1"/>
        </xdr:cNvPicPr>
      </xdr:nvPicPr>
      <xdr:blipFill>
        <a:blip xmlns:r="http://schemas.openxmlformats.org/officeDocument/2006/relationships" r:embed="rId1"/>
        <a:stretch>
          <a:fillRect/>
        </a:stretch>
      </xdr:blipFill>
      <xdr:spPr>
        <a:xfrm>
          <a:off x="314325" y="6124576"/>
          <a:ext cx="9953625" cy="55989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 val="Fin Perf Ranking"/>
      <sheetName val="lookup"/>
      <sheetName val="LIST"/>
      <sheetName val="Summary"/>
      <sheetName val="APPENDIX N(ii)"/>
      <sheetName val="Theme mapping"/>
      <sheetName val="Sheet1"/>
      <sheetName val="themes"/>
      <sheetName val="PIVOT"/>
      <sheetName val="Month 2 data"/>
      <sheetName val="Month 3 Data"/>
      <sheetName val="Sheet4"/>
      <sheetName val="Sheet2"/>
      <sheetName val="DATA"/>
      <sheetName val="List of enhancement lin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 val="Event 12 with ERO changes"/>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1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5"/>
  <sheetViews>
    <sheetView showGridLines="0" tabSelected="1" zoomScale="80" zoomScaleNormal="80" workbookViewId="0"/>
  </sheetViews>
  <sheetFormatPr defaultColWidth="8.625" defaultRowHeight="14.25" x14ac:dyDescent="0.2"/>
  <cols>
    <col min="1" max="1" width="4.125" style="166" customWidth="1"/>
    <col min="2" max="2" width="69.375" style="166" bestFit="1" customWidth="1"/>
    <col min="3" max="10" width="8.625" style="166"/>
    <col min="11" max="11" width="32.875" style="166" customWidth="1"/>
    <col min="12" max="16384" width="8.625" style="166"/>
  </cols>
  <sheetData>
    <row r="1" spans="1:21" ht="18" x14ac:dyDescent="0.25">
      <c r="A1" s="165" t="s">
        <v>331</v>
      </c>
    </row>
    <row r="2" spans="1:21" s="168" customFormat="1" x14ac:dyDescent="0.2">
      <c r="A2" s="167" t="s">
        <v>332</v>
      </c>
    </row>
    <row r="3" spans="1:21" s="168" customFormat="1" x14ac:dyDescent="0.2">
      <c r="A3" s="169"/>
      <c r="B3" s="223"/>
    </row>
    <row r="4" spans="1:21" s="168" customFormat="1" ht="1.35" customHeight="1" thickBot="1" x14ac:dyDescent="0.25"/>
    <row r="5" spans="1:21" s="168" customFormat="1" ht="409.6" customHeight="1" thickBot="1" x14ac:dyDescent="0.25">
      <c r="B5" s="249" t="s">
        <v>432</v>
      </c>
      <c r="C5" s="250"/>
      <c r="D5" s="250"/>
      <c r="E5" s="250"/>
      <c r="F5" s="250"/>
      <c r="G5" s="250"/>
      <c r="H5" s="250"/>
      <c r="I5" s="250"/>
      <c r="J5" s="250"/>
      <c r="K5" s="251"/>
      <c r="L5" s="170"/>
      <c r="M5" s="170"/>
      <c r="N5" s="170"/>
      <c r="O5" s="170"/>
      <c r="P5" s="170"/>
      <c r="Q5" s="170"/>
      <c r="R5" s="170"/>
      <c r="S5" s="170"/>
      <c r="T5" s="170"/>
      <c r="U5" s="170"/>
    </row>
  </sheetData>
  <mergeCells count="1">
    <mergeCell ref="B5:K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K82"/>
  <sheetViews>
    <sheetView showGridLines="0" zoomScale="70" zoomScaleNormal="70" workbookViewId="0">
      <pane xSplit="2" ySplit="2" topLeftCell="C3" activePane="bottomRight" state="frozen"/>
      <selection pane="topRight" activeCell="C1" sqref="C1"/>
      <selection pane="bottomLeft" activeCell="A7" sqref="A7"/>
      <selection pane="bottomRight"/>
    </sheetView>
  </sheetViews>
  <sheetFormatPr defaultColWidth="9" defaultRowHeight="12.75" x14ac:dyDescent="0.2"/>
  <cols>
    <col min="1" max="1" width="2.375" style="11" customWidth="1"/>
    <col min="2" max="2" width="19.375" style="11" customWidth="1"/>
    <col min="3" max="3" width="10.625" style="11" customWidth="1"/>
    <col min="4" max="4" width="12" style="11" customWidth="1"/>
    <col min="5" max="5" width="9.625" style="11" customWidth="1"/>
    <col min="6" max="6" width="12.125" style="11" customWidth="1"/>
    <col min="7" max="7" width="12.375" style="11" customWidth="1"/>
    <col min="8" max="8" width="9.625" style="11" customWidth="1"/>
    <col min="9" max="9" width="12.625" style="11" customWidth="1"/>
    <col min="10" max="10" width="11.875" style="11" customWidth="1"/>
    <col min="11" max="11" width="12.375" style="11" customWidth="1"/>
    <col min="12" max="12" width="9.625" style="11" customWidth="1"/>
    <col min="13" max="13" width="10.625" style="11" customWidth="1"/>
    <col min="14" max="14" width="10" style="11" customWidth="1"/>
    <col min="15" max="15" width="10.125" style="11" bestFit="1" customWidth="1"/>
    <col min="16" max="16" width="11.125" style="11" customWidth="1"/>
    <col min="17" max="18" width="10.125" style="11" customWidth="1"/>
    <col min="19" max="19" width="10.625" style="11" customWidth="1"/>
    <col min="20" max="20" width="9" style="11"/>
    <col min="21" max="21" width="12.5" style="11" customWidth="1"/>
    <col min="22" max="22" width="10.5" style="11" customWidth="1"/>
    <col min="23" max="23" width="9" style="11"/>
    <col min="24" max="24" width="15.625" style="11" customWidth="1"/>
    <col min="25" max="25" width="45.625" style="11" customWidth="1"/>
    <col min="26" max="26" width="18.125" style="11" customWidth="1"/>
    <col min="27" max="37" width="17.625" style="11" customWidth="1"/>
    <col min="38" max="16384" width="9" style="11"/>
  </cols>
  <sheetData>
    <row r="1" spans="1:37" ht="15.6" customHeight="1" x14ac:dyDescent="0.25">
      <c r="A1" s="65" t="s">
        <v>153</v>
      </c>
    </row>
    <row r="2" spans="1:37" ht="12.95" customHeight="1" x14ac:dyDescent="0.2"/>
    <row r="3" spans="1:37" ht="23.1" customHeight="1" x14ac:dyDescent="0.2">
      <c r="B3" s="147"/>
      <c r="C3" s="148"/>
      <c r="D3" s="148"/>
      <c r="E3" s="148"/>
      <c r="F3" s="148"/>
      <c r="G3" s="148"/>
      <c r="H3" s="148"/>
      <c r="I3" s="149"/>
      <c r="J3" s="148"/>
      <c r="K3" s="148"/>
      <c r="L3" s="148"/>
      <c r="M3" s="150"/>
      <c r="N3" s="148"/>
      <c r="O3" s="148"/>
      <c r="P3" s="150"/>
      <c r="Q3" s="150"/>
      <c r="R3" s="150"/>
      <c r="S3" s="148"/>
      <c r="T3" s="148"/>
      <c r="U3" s="148"/>
      <c r="V3" s="148"/>
      <c r="W3" s="148"/>
      <c r="X3" s="255" t="s">
        <v>437</v>
      </c>
      <c r="Y3" s="256"/>
      <c r="Z3" s="256"/>
      <c r="AA3" s="256"/>
      <c r="AB3" s="256"/>
      <c r="AC3" s="256"/>
      <c r="AD3" s="256"/>
      <c r="AE3" s="256"/>
      <c r="AF3" s="256"/>
      <c r="AG3" s="256"/>
      <c r="AH3" s="256"/>
      <c r="AI3" s="256"/>
      <c r="AJ3" s="256"/>
      <c r="AK3" s="257"/>
    </row>
    <row r="4" spans="1:37" s="13" customFormat="1" ht="25.5" x14ac:dyDescent="0.2">
      <c r="B4" s="207" t="s">
        <v>278</v>
      </c>
      <c r="C4" s="198" t="s">
        <v>363</v>
      </c>
      <c r="D4" s="181"/>
      <c r="E4" s="110"/>
      <c r="F4" s="198" t="s">
        <v>291</v>
      </c>
      <c r="G4" s="181"/>
      <c r="H4" s="110"/>
      <c r="I4" s="198" t="s">
        <v>292</v>
      </c>
      <c r="J4" s="181"/>
      <c r="K4" s="110"/>
      <c r="X4" s="258"/>
      <c r="Y4" s="259"/>
      <c r="Z4" s="259"/>
      <c r="AA4" s="259"/>
      <c r="AB4" s="259"/>
      <c r="AC4" s="259"/>
      <c r="AD4" s="259"/>
      <c r="AE4" s="259"/>
      <c r="AF4" s="259"/>
      <c r="AG4" s="259"/>
      <c r="AH4" s="259"/>
      <c r="AI4" s="259"/>
      <c r="AJ4" s="259"/>
      <c r="AK4" s="260"/>
    </row>
    <row r="5" spans="1:37" s="13" customFormat="1" ht="38.25" x14ac:dyDescent="0.2">
      <c r="B5" s="5" t="s">
        <v>13</v>
      </c>
      <c r="C5" s="5" t="s">
        <v>35</v>
      </c>
      <c r="D5" s="5" t="s">
        <v>394</v>
      </c>
      <c r="E5" s="5" t="s">
        <v>124</v>
      </c>
      <c r="F5" s="5" t="s">
        <v>35</v>
      </c>
      <c r="G5" s="5" t="s">
        <v>394</v>
      </c>
      <c r="H5" s="5" t="s">
        <v>124</v>
      </c>
      <c r="I5" s="5" t="s">
        <v>35</v>
      </c>
      <c r="J5" s="5" t="s">
        <v>394</v>
      </c>
      <c r="K5" s="5" t="s">
        <v>124</v>
      </c>
      <c r="X5" s="226" t="s">
        <v>433</v>
      </c>
      <c r="Y5" s="227" t="s">
        <v>434</v>
      </c>
      <c r="Z5" s="228" t="s">
        <v>436</v>
      </c>
      <c r="AA5" s="229" t="s">
        <v>435</v>
      </c>
      <c r="AB5" s="229"/>
      <c r="AC5" s="229"/>
      <c r="AD5" s="230"/>
      <c r="AE5" s="230"/>
      <c r="AF5" s="230"/>
      <c r="AG5" s="230"/>
      <c r="AH5" s="230"/>
      <c r="AI5" s="230"/>
      <c r="AJ5" s="230"/>
      <c r="AK5" s="231"/>
    </row>
    <row r="6" spans="1:37" s="13" customFormat="1" x14ac:dyDescent="0.2">
      <c r="B6" s="7" t="s">
        <v>4</v>
      </c>
      <c r="C6" s="82">
        <f>SUMIF('BP costs'!$B$7:$B$66,$B6,'BP costs'!AD$7:AD$66)</f>
        <v>488.63271494137092</v>
      </c>
      <c r="D6" s="82">
        <f>SUMIF('BP costs'!$B$7:$B$66,$B6,'BP costs'!AH$7:AH$66)</f>
        <v>2950.7156219021717</v>
      </c>
      <c r="E6" s="82">
        <f>SUMIF('BP costs'!$B$7:$B$66,$B6,'BP costs'!AI$7:AI$66)</f>
        <v>3439.3483368435427</v>
      </c>
      <c r="F6" s="185">
        <f>S22+P39</f>
        <v>328.1013397017278</v>
      </c>
      <c r="G6" s="185">
        <f t="shared" ref="G6:H16" si="0">T22+Q39</f>
        <v>2514.321070717438</v>
      </c>
      <c r="H6" s="185">
        <f t="shared" si="0"/>
        <v>2842.4224104191658</v>
      </c>
      <c r="I6" s="185">
        <f t="shared" ref="I6:I16" si="1">F6+I55</f>
        <v>342.58373935766184</v>
      </c>
      <c r="J6" s="185">
        <f t="shared" ref="J6:J16" si="2">G6+J55</f>
        <v>2552.2251141491265</v>
      </c>
      <c r="K6" s="185">
        <f t="shared" ref="K6:K16" si="3">H6+K55</f>
        <v>2894.8088535067882</v>
      </c>
      <c r="M6" s="206"/>
      <c r="X6" s="227" t="s">
        <v>4</v>
      </c>
      <c r="Y6" s="232" t="s">
        <v>393</v>
      </c>
      <c r="Z6" s="233">
        <v>13.122434138263984</v>
      </c>
      <c r="AA6" s="246" t="s">
        <v>438</v>
      </c>
      <c r="AB6" s="247"/>
      <c r="AC6" s="247"/>
      <c r="AD6" s="247"/>
      <c r="AE6" s="247"/>
      <c r="AF6" s="247"/>
      <c r="AG6" s="247"/>
      <c r="AH6" s="247"/>
      <c r="AI6" s="247"/>
      <c r="AJ6" s="247"/>
      <c r="AK6" s="248"/>
    </row>
    <row r="7" spans="1:37" s="13" customFormat="1" x14ac:dyDescent="0.2">
      <c r="B7" s="7" t="s">
        <v>87</v>
      </c>
      <c r="C7" s="82">
        <f>SUMIF('BP costs'!$B$7:$B$66,$B7,'BP costs'!AD$7:AD$66)</f>
        <v>3.6020000000000008</v>
      </c>
      <c r="D7" s="82">
        <f>SUMIF('BP costs'!$B$7:$B$66,$B7,'BP costs'!AH$7:AH$66)</f>
        <v>21.912000000000003</v>
      </c>
      <c r="E7" s="82">
        <f>SUMIF('BP costs'!$B$7:$B$66,$B7,'BP costs'!AI$7:AI$66)</f>
        <v>25.513999999999999</v>
      </c>
      <c r="F7" s="185">
        <f t="shared" ref="F7:G7" si="4">S23+P40</f>
        <v>5.3529877962907264</v>
      </c>
      <c r="G7" s="185">
        <f t="shared" si="4"/>
        <v>22.691100152727238</v>
      </c>
      <c r="H7" s="185">
        <f t="shared" si="0"/>
        <v>28.044087949017964</v>
      </c>
      <c r="I7" s="185">
        <f t="shared" si="1"/>
        <v>5.3529877962907264</v>
      </c>
      <c r="J7" s="185">
        <f t="shared" si="2"/>
        <v>22.691100152727238</v>
      </c>
      <c r="K7" s="185">
        <f t="shared" si="3"/>
        <v>28.044087949017964</v>
      </c>
      <c r="M7" s="206"/>
      <c r="X7" s="227" t="s">
        <v>5</v>
      </c>
      <c r="Y7" s="232" t="s">
        <v>392</v>
      </c>
      <c r="Z7" s="233">
        <v>1.6400000000000006</v>
      </c>
      <c r="AA7" s="239" t="s">
        <v>439</v>
      </c>
      <c r="AB7" s="234"/>
      <c r="AC7" s="234"/>
      <c r="AD7" s="234"/>
      <c r="AE7" s="238"/>
      <c r="AF7" s="238"/>
      <c r="AG7" s="238"/>
      <c r="AH7" s="236"/>
      <c r="AI7" s="236"/>
      <c r="AJ7" s="236"/>
      <c r="AK7" s="237"/>
    </row>
    <row r="8" spans="1:37" s="13" customFormat="1" x14ac:dyDescent="0.2">
      <c r="B8" s="7" t="s">
        <v>5</v>
      </c>
      <c r="C8" s="82">
        <f>SUMIF('BP costs'!$B$7:$B$66,$B8,'BP costs'!AD$7:AD$66)</f>
        <v>74.143000000000001</v>
      </c>
      <c r="D8" s="82">
        <f>SUMIF('BP costs'!$B$7:$B$66,$B8,'BP costs'!AH$7:AH$66)</f>
        <v>1140.7260000000001</v>
      </c>
      <c r="E8" s="82">
        <f>SUMIF('BP costs'!$B$7:$B$66,$B8,'BP costs'!AI$7:AI$66)</f>
        <v>1214.8689999999999</v>
      </c>
      <c r="F8" s="185">
        <f t="shared" ref="F8:G8" si="5">S24+P41</f>
        <v>124.53980054484677</v>
      </c>
      <c r="G8" s="185">
        <f t="shared" si="5"/>
        <v>928.64525736933979</v>
      </c>
      <c r="H8" s="185">
        <f t="shared" si="0"/>
        <v>1053.1850579141865</v>
      </c>
      <c r="I8" s="185">
        <f t="shared" si="1"/>
        <v>125.87179034794922</v>
      </c>
      <c r="J8" s="185">
        <f t="shared" si="2"/>
        <v>940.05409194696949</v>
      </c>
      <c r="K8" s="185">
        <f t="shared" si="3"/>
        <v>1065.9258822949187</v>
      </c>
      <c r="M8" s="206"/>
      <c r="X8" s="227" t="s">
        <v>6</v>
      </c>
      <c r="Y8" s="232" t="s">
        <v>393</v>
      </c>
      <c r="Z8" s="233">
        <v>35.716548467194784</v>
      </c>
      <c r="AA8" s="239" t="s">
        <v>440</v>
      </c>
      <c r="AB8" s="234"/>
      <c r="AC8" s="234"/>
      <c r="AD8" s="234"/>
      <c r="AE8" s="238"/>
      <c r="AF8" s="238"/>
      <c r="AG8" s="238"/>
      <c r="AH8" s="236"/>
      <c r="AI8" s="236"/>
      <c r="AJ8" s="236"/>
      <c r="AK8" s="237"/>
    </row>
    <row r="9" spans="1:37" s="13" customFormat="1" x14ac:dyDescent="0.2">
      <c r="B9" s="7" t="s">
        <v>6</v>
      </c>
      <c r="C9" s="82">
        <f>SUMIF('BP costs'!$B$7:$B$66,$B9,'BP costs'!AD$7:AD$66)</f>
        <v>372.45047147371469</v>
      </c>
      <c r="D9" s="82">
        <f>SUMIF('BP costs'!$B$7:$B$66,$B9,'BP costs'!AH$7:AH$66)</f>
        <v>2701.9693300111039</v>
      </c>
      <c r="E9" s="82">
        <f>SUMIF('BP costs'!$B$7:$B$66,$B9,'BP costs'!AI$7:AI$66)</f>
        <v>3074.4198014848184</v>
      </c>
      <c r="F9" s="185">
        <f t="shared" ref="F9:G9" si="6">S25+P42</f>
        <v>390.13571157454669</v>
      </c>
      <c r="G9" s="185">
        <f t="shared" si="6"/>
        <v>2472.5119650948377</v>
      </c>
      <c r="H9" s="185">
        <f t="shared" si="0"/>
        <v>2862.6476766693845</v>
      </c>
      <c r="I9" s="185">
        <f t="shared" si="1"/>
        <v>390.13571157454669</v>
      </c>
      <c r="J9" s="185">
        <f t="shared" si="2"/>
        <v>2473.1503099149227</v>
      </c>
      <c r="K9" s="185">
        <f t="shared" si="3"/>
        <v>2863.2860214894695</v>
      </c>
      <c r="M9" s="206"/>
      <c r="X9" s="227" t="s">
        <v>6</v>
      </c>
      <c r="Y9" s="232" t="s">
        <v>279</v>
      </c>
      <c r="Z9" s="233">
        <v>40.032881246454508</v>
      </c>
      <c r="AA9" s="239" t="s">
        <v>441</v>
      </c>
      <c r="AB9" s="234"/>
      <c r="AC9" s="234"/>
      <c r="AD9" s="234"/>
      <c r="AE9" s="238"/>
      <c r="AF9" s="238"/>
      <c r="AG9" s="238"/>
      <c r="AH9" s="236"/>
      <c r="AI9" s="236"/>
      <c r="AJ9" s="236"/>
      <c r="AK9" s="237"/>
    </row>
    <row r="10" spans="1:37" s="13" customFormat="1" ht="12.95" customHeight="1" x14ac:dyDescent="0.2">
      <c r="B10" s="7" t="s">
        <v>7</v>
      </c>
      <c r="C10" s="82">
        <f>SUMIF('BP costs'!$B$7:$B$66,$B10,'BP costs'!AD$7:AD$66)</f>
        <v>202.96900000000002</v>
      </c>
      <c r="D10" s="82">
        <f>SUMIF('BP costs'!$B$7:$B$66,$B10,'BP costs'!AH$7:AH$66)</f>
        <v>2106.7759999999998</v>
      </c>
      <c r="E10" s="82">
        <f>SUMIF('BP costs'!$B$7:$B$66,$B10,'BP costs'!AI$7:AI$66)</f>
        <v>2309.7449999999999</v>
      </c>
      <c r="F10" s="185">
        <f t="shared" ref="F10:G10" si="7">S26+P43</f>
        <v>211.20802324625268</v>
      </c>
      <c r="G10" s="185">
        <f t="shared" si="7"/>
        <v>1942.1289571702005</v>
      </c>
      <c r="H10" s="185">
        <f t="shared" si="0"/>
        <v>2153.3369804164531</v>
      </c>
      <c r="I10" s="185">
        <f t="shared" si="1"/>
        <v>213.52354824778274</v>
      </c>
      <c r="J10" s="185">
        <f t="shared" si="2"/>
        <v>1980.1227935904028</v>
      </c>
      <c r="K10" s="185">
        <f t="shared" si="3"/>
        <v>2193.6463418381854</v>
      </c>
      <c r="M10" s="206"/>
      <c r="X10" s="227" t="s">
        <v>6</v>
      </c>
      <c r="Y10" s="232" t="s">
        <v>393</v>
      </c>
      <c r="Z10" s="233">
        <v>5.1375102684897769</v>
      </c>
      <c r="AA10" s="246" t="s">
        <v>442</v>
      </c>
      <c r="AB10" s="247"/>
      <c r="AC10" s="247"/>
      <c r="AD10" s="247"/>
      <c r="AE10" s="247"/>
      <c r="AF10" s="247"/>
      <c r="AG10" s="247"/>
      <c r="AH10" s="247"/>
      <c r="AI10" s="247"/>
      <c r="AJ10" s="247"/>
      <c r="AK10" s="248"/>
    </row>
    <row r="11" spans="1:37" s="13" customFormat="1" ht="12.95" customHeight="1" x14ac:dyDescent="0.2">
      <c r="B11" s="7" t="s">
        <v>116</v>
      </c>
      <c r="C11" s="82">
        <f>SUMIF('BP costs'!$B$7:$B$66,$B11,'BP costs'!AD$7:AD$66)</f>
        <v>311.73463560526437</v>
      </c>
      <c r="D11" s="82">
        <f>SUMIF('BP costs'!$B$7:$B$66,$B11,'BP costs'!AH$7:AH$66)</f>
        <v>2648.3484750752582</v>
      </c>
      <c r="E11" s="82">
        <f>SUMIF('BP costs'!$B$7:$B$66,$B11,'BP costs'!AI$7:AI$66)</f>
        <v>2960.0831106805226</v>
      </c>
      <c r="F11" s="185">
        <f t="shared" ref="F11:G11" si="8">S27+P44</f>
        <v>448.21725549472745</v>
      </c>
      <c r="G11" s="185">
        <f t="shared" si="8"/>
        <v>2688.2913970624318</v>
      </c>
      <c r="H11" s="185">
        <f t="shared" si="0"/>
        <v>3136.5086525571592</v>
      </c>
      <c r="I11" s="185">
        <f t="shared" si="1"/>
        <v>453.44130563808591</v>
      </c>
      <c r="J11" s="185">
        <f t="shared" si="2"/>
        <v>2709.5687708618348</v>
      </c>
      <c r="K11" s="185">
        <f t="shared" si="3"/>
        <v>3163.0100764999206</v>
      </c>
      <c r="M11" s="206"/>
      <c r="X11" s="227" t="s">
        <v>7</v>
      </c>
      <c r="Y11" s="232" t="s">
        <v>393</v>
      </c>
      <c r="Z11" s="233">
        <v>8.5339999999999918</v>
      </c>
      <c r="AA11" s="246" t="s">
        <v>443</v>
      </c>
      <c r="AB11" s="247"/>
      <c r="AC11" s="247"/>
      <c r="AD11" s="247"/>
      <c r="AE11" s="247"/>
      <c r="AF11" s="247"/>
      <c r="AG11" s="247"/>
      <c r="AH11" s="247"/>
      <c r="AI11" s="247"/>
      <c r="AJ11" s="247"/>
      <c r="AK11" s="248"/>
    </row>
    <row r="12" spans="1:37" s="13" customFormat="1" ht="12.95" customHeight="1" x14ac:dyDescent="0.2">
      <c r="B12" s="7" t="s">
        <v>12</v>
      </c>
      <c r="C12" s="82">
        <f>SUMIF('BP costs'!$B$7:$B$66,$B12,'BP costs'!AD$7:AD$66)</f>
        <v>101.12299999999999</v>
      </c>
      <c r="D12" s="82">
        <f>SUMIF('BP costs'!$B$7:$B$66,$B12,'BP costs'!AH$7:AH$66)</f>
        <v>882.13699999999994</v>
      </c>
      <c r="E12" s="82">
        <f>SUMIF('BP costs'!$B$7:$B$66,$B12,'BP costs'!AI$7:AI$66)</f>
        <v>983.26</v>
      </c>
      <c r="F12" s="185">
        <f t="shared" ref="F12:G12" si="9">S28+P45</f>
        <v>97.338886431624474</v>
      </c>
      <c r="G12" s="185">
        <f t="shared" si="9"/>
        <v>816.30443643143644</v>
      </c>
      <c r="H12" s="185">
        <f t="shared" si="0"/>
        <v>913.64332286306092</v>
      </c>
      <c r="I12" s="185">
        <f t="shared" si="1"/>
        <v>98.952152878259483</v>
      </c>
      <c r="J12" s="185">
        <f t="shared" si="2"/>
        <v>832.35347538077053</v>
      </c>
      <c r="K12" s="185">
        <f t="shared" si="3"/>
        <v>931.30562825903007</v>
      </c>
      <c r="M12" s="206"/>
      <c r="X12" s="243" t="s">
        <v>116</v>
      </c>
      <c r="Y12" s="244" t="s">
        <v>393</v>
      </c>
      <c r="Z12" s="245">
        <v>1.6342926545960168</v>
      </c>
      <c r="AA12" s="246" t="s">
        <v>444</v>
      </c>
      <c r="AB12" s="241"/>
      <c r="AC12" s="241"/>
      <c r="AD12" s="241"/>
      <c r="AE12" s="241"/>
      <c r="AF12" s="241"/>
      <c r="AG12" s="241"/>
      <c r="AH12" s="241"/>
      <c r="AI12" s="241"/>
      <c r="AJ12" s="241"/>
      <c r="AK12" s="242"/>
    </row>
    <row r="13" spans="1:37" s="13" customFormat="1" x14ac:dyDescent="0.2">
      <c r="B13" s="7" t="s">
        <v>9</v>
      </c>
      <c r="C13" s="82">
        <f>SUMIF('BP costs'!$B$7:$B$66,$B13,'BP costs'!AD$7:AD$66)</f>
        <v>657.65507124941519</v>
      </c>
      <c r="D13" s="82">
        <f>SUMIF('BP costs'!$B$7:$B$66,$B13,'BP costs'!AH$7:AH$66)</f>
        <v>4137.1341612828974</v>
      </c>
      <c r="E13" s="82">
        <f>SUMIF('BP costs'!$B$7:$B$66,$B13,'BP costs'!AI$7:AI$66)</f>
        <v>4794.7892325323128</v>
      </c>
      <c r="F13" s="185">
        <f t="shared" ref="F13:G13" si="10">S29+P46</f>
        <v>723.48614691002012</v>
      </c>
      <c r="G13" s="185">
        <f t="shared" si="10"/>
        <v>3622.4792181744206</v>
      </c>
      <c r="H13" s="185">
        <f t="shared" si="0"/>
        <v>4345.9653650844411</v>
      </c>
      <c r="I13" s="185">
        <f t="shared" si="1"/>
        <v>731.27845248991707</v>
      </c>
      <c r="J13" s="185">
        <f t="shared" si="2"/>
        <v>3666.2441562135227</v>
      </c>
      <c r="K13" s="185">
        <f t="shared" si="3"/>
        <v>4397.5226087034398</v>
      </c>
      <c r="M13" s="206"/>
      <c r="X13" s="227" t="s">
        <v>116</v>
      </c>
      <c r="Y13" s="232" t="s">
        <v>393</v>
      </c>
      <c r="Z13" s="233">
        <v>33.311052827832619</v>
      </c>
      <c r="AA13" s="239" t="s">
        <v>445</v>
      </c>
      <c r="AB13" s="234"/>
      <c r="AC13" s="234"/>
      <c r="AD13" s="234"/>
      <c r="AE13" s="238"/>
      <c r="AF13" s="238"/>
      <c r="AG13" s="238"/>
      <c r="AH13" s="236"/>
      <c r="AI13" s="236"/>
      <c r="AJ13" s="236"/>
      <c r="AK13" s="237"/>
    </row>
    <row r="14" spans="1:37" s="13" customFormat="1" x14ac:dyDescent="0.2">
      <c r="B14" s="7" t="s">
        <v>15</v>
      </c>
      <c r="C14" s="82">
        <f>SUMIF('BP costs'!$B$7:$B$66,$B14,'BP costs'!AD$7:AD$66)</f>
        <v>125.459</v>
      </c>
      <c r="D14" s="82">
        <f>SUMIF('BP costs'!$B$7:$B$66,$B14,'BP costs'!AH$7:AH$66)</f>
        <v>1450.366</v>
      </c>
      <c r="E14" s="82">
        <f>SUMIF('BP costs'!$B$7:$B$66,$B14,'BP costs'!AI$7:AI$66)</f>
        <v>1575.8249999999998</v>
      </c>
      <c r="F14" s="185">
        <f t="shared" ref="F14:G14" si="11">S30+P47</f>
        <v>167.44440014418541</v>
      </c>
      <c r="G14" s="185">
        <f t="shared" si="11"/>
        <v>1228.7852923733453</v>
      </c>
      <c r="H14" s="185">
        <f t="shared" si="0"/>
        <v>1396.2296925175306</v>
      </c>
      <c r="I14" s="185">
        <f t="shared" si="1"/>
        <v>167.44440014418541</v>
      </c>
      <c r="J14" s="185">
        <f t="shared" si="2"/>
        <v>1229.7802923733452</v>
      </c>
      <c r="K14" s="185">
        <f t="shared" si="3"/>
        <v>1397.2246925175305</v>
      </c>
      <c r="M14" s="206"/>
      <c r="X14" s="227" t="s">
        <v>116</v>
      </c>
      <c r="Y14" s="232" t="s">
        <v>393</v>
      </c>
      <c r="Z14" s="233">
        <v>1.9810000000000001</v>
      </c>
      <c r="AA14" s="240" t="s">
        <v>446</v>
      </c>
      <c r="AB14" s="236"/>
      <c r="AC14" s="236"/>
      <c r="AD14" s="236"/>
      <c r="AE14" s="236"/>
      <c r="AF14" s="236"/>
      <c r="AG14" s="236"/>
      <c r="AH14" s="236"/>
      <c r="AI14" s="236"/>
      <c r="AJ14" s="236"/>
      <c r="AK14" s="237"/>
    </row>
    <row r="15" spans="1:37" s="13" customFormat="1" x14ac:dyDescent="0.2">
      <c r="B15" s="7" t="s">
        <v>10</v>
      </c>
      <c r="C15" s="82">
        <f>SUMIF('BP costs'!$B$7:$B$66,$B15,'BP costs'!AD$7:AD$66)</f>
        <v>123.37201228967214</v>
      </c>
      <c r="D15" s="82">
        <f>SUMIF('BP costs'!$B$7:$B$66,$B15,'BP costs'!AH$7:AH$66)</f>
        <v>1430.7256639955513</v>
      </c>
      <c r="E15" s="82">
        <f>SUMIF('BP costs'!$B$7:$B$66,$B15,'BP costs'!AI$7:AI$66)</f>
        <v>1554.0976762852233</v>
      </c>
      <c r="F15" s="185">
        <f t="shared" ref="F15:G15" si="12">S31+P48</f>
        <v>139.13126523483444</v>
      </c>
      <c r="G15" s="185">
        <f t="shared" si="12"/>
        <v>1235.125692825882</v>
      </c>
      <c r="H15" s="185">
        <f t="shared" si="0"/>
        <v>1374.2569580607167</v>
      </c>
      <c r="I15" s="185">
        <f t="shared" si="1"/>
        <v>141.00787759259924</v>
      </c>
      <c r="J15" s="185">
        <f t="shared" si="2"/>
        <v>1242.4731586953494</v>
      </c>
      <c r="K15" s="185">
        <f t="shared" si="3"/>
        <v>1383.4810362879489</v>
      </c>
      <c r="M15" s="206"/>
      <c r="X15" s="227" t="s">
        <v>12</v>
      </c>
      <c r="Y15" s="232" t="s">
        <v>393</v>
      </c>
      <c r="Z15" s="233">
        <v>10.809999999999999</v>
      </c>
      <c r="AA15" s="246" t="s">
        <v>447</v>
      </c>
      <c r="AB15" s="247"/>
      <c r="AC15" s="247"/>
      <c r="AD15" s="247"/>
      <c r="AE15" s="247"/>
      <c r="AF15" s="247"/>
      <c r="AG15" s="247"/>
      <c r="AH15" s="247"/>
      <c r="AI15" s="247"/>
      <c r="AJ15" s="247"/>
      <c r="AK15" s="248"/>
    </row>
    <row r="16" spans="1:37" s="13" customFormat="1" x14ac:dyDescent="0.2">
      <c r="B16" s="7" t="s">
        <v>11</v>
      </c>
      <c r="C16" s="82">
        <f>SUMIF('BP costs'!$B$7:$B$66,$B16,'BP costs'!AD$7:AD$66)</f>
        <v>372.01900000000001</v>
      </c>
      <c r="D16" s="82">
        <f>SUMIF('BP costs'!$B$7:$B$66,$B16,'BP costs'!AH$7:AH$66)</f>
        <v>2558.1489999999999</v>
      </c>
      <c r="E16" s="82">
        <f>SUMIF('BP costs'!$B$7:$B$66,$B16,'BP costs'!AI$7:AI$66)</f>
        <v>2930.1679999999997</v>
      </c>
      <c r="F16" s="185">
        <f t="shared" ref="F16:G16" si="13">S32+P49</f>
        <v>314.32074110580749</v>
      </c>
      <c r="G16" s="185">
        <f t="shared" si="13"/>
        <v>2000.2163817148166</v>
      </c>
      <c r="H16" s="185">
        <f t="shared" si="0"/>
        <v>2314.5371228206241</v>
      </c>
      <c r="I16" s="185">
        <f t="shared" si="1"/>
        <v>317.25882798217526</v>
      </c>
      <c r="J16" s="185">
        <f t="shared" si="2"/>
        <v>2011.1449665446705</v>
      </c>
      <c r="K16" s="185">
        <f t="shared" si="3"/>
        <v>2328.4037945268456</v>
      </c>
      <c r="M16" s="206"/>
      <c r="X16" s="227" t="s">
        <v>9</v>
      </c>
      <c r="Y16" s="232" t="s">
        <v>393</v>
      </c>
      <c r="Z16" s="233">
        <v>106.24295422580001</v>
      </c>
      <c r="AA16" s="246" t="s">
        <v>448</v>
      </c>
      <c r="AB16" s="247"/>
      <c r="AC16" s="247"/>
      <c r="AD16" s="247"/>
      <c r="AE16" s="247"/>
      <c r="AF16" s="247"/>
      <c r="AG16" s="247"/>
      <c r="AH16" s="247"/>
      <c r="AI16" s="247"/>
      <c r="AJ16" s="247"/>
      <c r="AK16" s="248"/>
    </row>
    <row r="17" spans="2:37" s="13" customFormat="1" x14ac:dyDescent="0.2">
      <c r="B17" s="186" t="s">
        <v>24</v>
      </c>
      <c r="C17" s="187">
        <f>SUM(C6:C16)</f>
        <v>2833.159905559437</v>
      </c>
      <c r="D17" s="187">
        <f t="shared" ref="D17:H17" si="14">SUM(D6:D16)</f>
        <v>22028.959252266981</v>
      </c>
      <c r="E17" s="187">
        <f t="shared" si="14"/>
        <v>24862.119157826419</v>
      </c>
      <c r="F17" s="188">
        <f t="shared" si="14"/>
        <v>2949.2765581848635</v>
      </c>
      <c r="G17" s="188">
        <f t="shared" si="14"/>
        <v>19471.500769086873</v>
      </c>
      <c r="H17" s="188">
        <f t="shared" si="14"/>
        <v>22420.777327271742</v>
      </c>
      <c r="I17" s="188">
        <f t="shared" ref="I17:K17" si="15">SUM(I6:I16)</f>
        <v>2986.8507940494533</v>
      </c>
      <c r="J17" s="188">
        <f t="shared" si="15"/>
        <v>19659.80822982364</v>
      </c>
      <c r="K17" s="188">
        <f t="shared" si="15"/>
        <v>22646.659023873097</v>
      </c>
      <c r="X17" s="227" t="s">
        <v>15</v>
      </c>
      <c r="Y17" s="232" t="s">
        <v>393</v>
      </c>
      <c r="Z17" s="233">
        <v>0.39500000000000002</v>
      </c>
      <c r="AA17" s="246" t="s">
        <v>449</v>
      </c>
      <c r="AB17" s="247"/>
      <c r="AC17" s="247"/>
      <c r="AD17" s="247"/>
      <c r="AE17" s="247"/>
      <c r="AF17" s="247"/>
      <c r="AG17" s="247"/>
      <c r="AH17" s="247"/>
      <c r="AI17" s="247"/>
      <c r="AJ17" s="247"/>
      <c r="AK17" s="248"/>
    </row>
    <row r="18" spans="2:37" x14ac:dyDescent="0.2">
      <c r="B18" s="147"/>
      <c r="C18" s="148"/>
      <c r="D18" s="148"/>
      <c r="E18" s="148"/>
      <c r="F18" s="151"/>
      <c r="G18" s="151"/>
      <c r="H18" s="151"/>
      <c r="X18" s="227" t="s">
        <v>10</v>
      </c>
      <c r="Y18" s="232" t="s">
        <v>392</v>
      </c>
      <c r="Z18" s="233">
        <v>4.9099999999999966</v>
      </c>
      <c r="AA18" s="239" t="s">
        <v>450</v>
      </c>
      <c r="AB18" s="234"/>
      <c r="AC18" s="234"/>
      <c r="AD18" s="235"/>
      <c r="AE18" s="236"/>
      <c r="AF18" s="236"/>
      <c r="AG18" s="236"/>
      <c r="AH18" s="236"/>
      <c r="AI18" s="236"/>
      <c r="AJ18" s="236"/>
      <c r="AK18" s="237"/>
    </row>
    <row r="19" spans="2:37" x14ac:dyDescent="0.2">
      <c r="X19" s="227" t="s">
        <v>10</v>
      </c>
      <c r="Y19" s="232" t="s">
        <v>393</v>
      </c>
      <c r="Z19" s="233">
        <v>7.6313289885260538</v>
      </c>
      <c r="AA19" s="246" t="s">
        <v>451</v>
      </c>
      <c r="AB19" s="247"/>
      <c r="AC19" s="247"/>
      <c r="AD19" s="247"/>
      <c r="AE19" s="247"/>
      <c r="AF19" s="247"/>
      <c r="AG19" s="247"/>
      <c r="AH19" s="247"/>
      <c r="AI19" s="247"/>
      <c r="AJ19" s="247"/>
      <c r="AK19" s="248"/>
    </row>
    <row r="20" spans="2:37" s="13" customFormat="1" ht="15.75" x14ac:dyDescent="0.2">
      <c r="B20" s="207" t="s">
        <v>277</v>
      </c>
      <c r="C20" s="182" t="s">
        <v>279</v>
      </c>
      <c r="D20" s="183"/>
      <c r="E20" s="183"/>
      <c r="F20" s="184"/>
      <c r="G20" s="182" t="s">
        <v>280</v>
      </c>
      <c r="H20" s="183"/>
      <c r="I20" s="184"/>
      <c r="J20" s="182" t="s">
        <v>362</v>
      </c>
      <c r="K20" s="183"/>
      <c r="L20" s="184"/>
      <c r="M20" s="182" t="s">
        <v>281</v>
      </c>
      <c r="N20" s="183"/>
      <c r="O20" s="184"/>
      <c r="P20" s="198" t="s">
        <v>364</v>
      </c>
      <c r="Q20" s="199"/>
      <c r="R20" s="200"/>
      <c r="S20" s="198" t="s">
        <v>282</v>
      </c>
      <c r="T20" s="199"/>
      <c r="U20" s="200"/>
      <c r="X20" s="227" t="s">
        <v>11</v>
      </c>
      <c r="Y20" s="232" t="s">
        <v>393</v>
      </c>
      <c r="Z20" s="233">
        <v>0.30299999999999727</v>
      </c>
      <c r="AA20" s="246" t="s">
        <v>452</v>
      </c>
      <c r="AB20" s="247"/>
      <c r="AC20" s="247"/>
      <c r="AD20" s="247"/>
      <c r="AE20" s="247"/>
      <c r="AF20" s="247"/>
      <c r="AG20" s="247"/>
      <c r="AH20" s="247"/>
      <c r="AI20" s="247"/>
      <c r="AJ20" s="247"/>
      <c r="AK20" s="248"/>
    </row>
    <row r="21" spans="2:37" s="13" customFormat="1" ht="38.25" x14ac:dyDescent="0.2">
      <c r="B21" s="5" t="s">
        <v>13</v>
      </c>
      <c r="C21" s="5" t="s">
        <v>35</v>
      </c>
      <c r="D21" s="5" t="s">
        <v>394</v>
      </c>
      <c r="E21" s="5" t="s">
        <v>124</v>
      </c>
      <c r="F21" s="5" t="s">
        <v>147</v>
      </c>
      <c r="G21" s="5" t="s">
        <v>35</v>
      </c>
      <c r="H21" s="5" t="s">
        <v>394</v>
      </c>
      <c r="I21" s="5" t="s">
        <v>124</v>
      </c>
      <c r="J21" s="5" t="s">
        <v>35</v>
      </c>
      <c r="K21" s="5" t="s">
        <v>394</v>
      </c>
      <c r="L21" s="5" t="s">
        <v>124</v>
      </c>
      <c r="M21" s="5" t="s">
        <v>35</v>
      </c>
      <c r="N21" s="5" t="s">
        <v>394</v>
      </c>
      <c r="O21" s="5" t="s">
        <v>124</v>
      </c>
      <c r="P21" s="5" t="s">
        <v>35</v>
      </c>
      <c r="Q21" s="5" t="s">
        <v>394</v>
      </c>
      <c r="R21" s="5" t="s">
        <v>124</v>
      </c>
      <c r="S21" s="5" t="s">
        <v>35</v>
      </c>
      <c r="T21" s="5" t="s">
        <v>394</v>
      </c>
      <c r="U21" s="5" t="s">
        <v>124</v>
      </c>
      <c r="X21" s="227" t="s">
        <v>11</v>
      </c>
      <c r="Y21" s="232" t="s">
        <v>392</v>
      </c>
      <c r="Z21" s="233">
        <v>35.887999999999977</v>
      </c>
      <c r="AA21" s="239" t="s">
        <v>453</v>
      </c>
      <c r="AB21" s="234"/>
      <c r="AC21" s="234"/>
      <c r="AD21" s="234"/>
      <c r="AE21" s="238"/>
      <c r="AF21" s="238"/>
      <c r="AG21" s="238"/>
      <c r="AH21" s="236"/>
      <c r="AI21" s="236"/>
      <c r="AJ21" s="236"/>
      <c r="AK21" s="237"/>
    </row>
    <row r="22" spans="2:37" s="13" customFormat="1" x14ac:dyDescent="0.2">
      <c r="B22" s="7" t="s">
        <v>4</v>
      </c>
      <c r="C22" s="82">
        <f>SUMIF('BP costs'!$B$7:$B$66,$B22,'BP costs'!D$7:D$66)</f>
        <v>442.21721209869582</v>
      </c>
      <c r="D22" s="82">
        <f>SUMIF('BP costs'!$B$7:$B$66,$B22,'BP costs'!H$7:H$66)</f>
        <v>2055.8055476194841</v>
      </c>
      <c r="E22" s="82">
        <f>C22+D22</f>
        <v>2498.0227597181797</v>
      </c>
      <c r="F22" s="189">
        <f>C22/E22</f>
        <v>0.17702689472236258</v>
      </c>
      <c r="G22" s="82">
        <f>I22*Apportion!J8</f>
        <v>310.9306306455191</v>
      </c>
      <c r="H22" s="82">
        <f>I22*(1-Apportion!J8)</f>
        <v>1711.0291820586569</v>
      </c>
      <c r="I22" s="82">
        <v>2021.9598127041759</v>
      </c>
      <c r="J22" s="190">
        <v>15.843393288</v>
      </c>
      <c r="K22" s="190">
        <v>113.880823576</v>
      </c>
      <c r="L22" s="190">
        <f>J22+K22</f>
        <v>129.724216864</v>
      </c>
      <c r="M22" s="201">
        <v>14.43794907788639</v>
      </c>
      <c r="N22" s="201">
        <v>103.76937482711358</v>
      </c>
      <c r="O22" s="201">
        <f>M22+N22</f>
        <v>118.20732390499997</v>
      </c>
      <c r="P22" s="190">
        <f>C22+J22</f>
        <v>458.06060538669584</v>
      </c>
      <c r="Q22" s="190">
        <f t="shared" ref="Q22:Q32" si="16">D22+K22</f>
        <v>2169.6863711954838</v>
      </c>
      <c r="R22" s="190">
        <f t="shared" ref="R22:R32" si="17">E22+L22</f>
        <v>2627.7469765821797</v>
      </c>
      <c r="S22" s="190">
        <f>G22+M22</f>
        <v>325.3685797234055</v>
      </c>
      <c r="T22" s="190">
        <f t="shared" ref="T22:T32" si="18">H22+N22</f>
        <v>1814.7985568857705</v>
      </c>
      <c r="U22" s="190">
        <f t="shared" ref="U22:U32" si="19">I22+O22</f>
        <v>2140.1671366091759</v>
      </c>
    </row>
    <row r="23" spans="2:37" s="13" customFormat="1" x14ac:dyDescent="0.2">
      <c r="B23" s="7" t="s">
        <v>87</v>
      </c>
      <c r="C23" s="82">
        <f>SUMIF('BP costs'!$B$7:$B$66,$B23,'BP costs'!D$7:D$66)</f>
        <v>2.8399157116782576</v>
      </c>
      <c r="D23" s="82">
        <f>SUMIF('BP costs'!$B$7:$B$66,$B23,'BP costs'!H$7:H$66)</f>
        <v>18.606012867428429</v>
      </c>
      <c r="E23" s="82">
        <f t="shared" ref="E23:E32" si="20">C23+D23</f>
        <v>21.445928579106688</v>
      </c>
      <c r="F23" s="189">
        <f t="shared" ref="F23:F33" si="21">C23/E23</f>
        <v>0.1324221378991719</v>
      </c>
      <c r="G23" s="82">
        <f>I23*Apportion!J9</f>
        <v>4.7168251712907256</v>
      </c>
      <c r="H23" s="82">
        <f>I23*(1-Apportion!J9)</f>
        <v>19.384969764169671</v>
      </c>
      <c r="I23" s="82">
        <v>24.101794935460397</v>
      </c>
      <c r="J23" s="190">
        <v>0.76208428832174158</v>
      </c>
      <c r="K23" s="190">
        <v>0.78404878619467011</v>
      </c>
      <c r="L23" s="190">
        <f t="shared" ref="L23:L32" si="22">J23+K23</f>
        <v>1.5461330745164117</v>
      </c>
      <c r="M23" s="201">
        <v>0.63616262500000065</v>
      </c>
      <c r="N23" s="201">
        <v>0.65812712287292929</v>
      </c>
      <c r="O23" s="201">
        <f t="shared" ref="O23:O32" si="23">M23+N23</f>
        <v>1.2942897478729298</v>
      </c>
      <c r="P23" s="190">
        <f t="shared" ref="P23:P32" si="24">C23+J23</f>
        <v>3.6019999999999994</v>
      </c>
      <c r="Q23" s="190">
        <f t="shared" si="16"/>
        <v>19.3900616536231</v>
      </c>
      <c r="R23" s="190">
        <f t="shared" si="17"/>
        <v>22.9920616536231</v>
      </c>
      <c r="S23" s="190">
        <f t="shared" ref="S23:S32" si="25">G23+M23</f>
        <v>5.3529877962907264</v>
      </c>
      <c r="T23" s="190">
        <f t="shared" si="18"/>
        <v>20.043096887042601</v>
      </c>
      <c r="U23" s="190">
        <f t="shared" si="19"/>
        <v>25.396084683333328</v>
      </c>
    </row>
    <row r="24" spans="2:37" s="13" customFormat="1" x14ac:dyDescent="0.2">
      <c r="B24" s="7" t="s">
        <v>5</v>
      </c>
      <c r="C24" s="82">
        <f>SUMIF('BP costs'!$B$7:$B$66,$B24,'BP costs'!D$7:D$66)</f>
        <v>67.344000000000008</v>
      </c>
      <c r="D24" s="82">
        <f>SUMIF('BP costs'!$B$7:$B$66,$B24,'BP costs'!H$7:H$66)</f>
        <v>814.00099999999998</v>
      </c>
      <c r="E24" s="82">
        <f t="shared" si="20"/>
        <v>881.34500000000003</v>
      </c>
      <c r="F24" s="189">
        <f t="shared" si="21"/>
        <v>7.6410486245454393E-2</v>
      </c>
      <c r="G24" s="82">
        <f>I24*Apportion!J10</f>
        <v>117.73623403959837</v>
      </c>
      <c r="H24" s="82">
        <f>I24*(1-Apportion!J10)</f>
        <v>714.32727315507088</v>
      </c>
      <c r="I24" s="82">
        <v>832.06350719466923</v>
      </c>
      <c r="J24" s="190">
        <v>6.7989999999999995</v>
      </c>
      <c r="K24" s="190">
        <v>35.152999999999999</v>
      </c>
      <c r="L24" s="190">
        <f t="shared" si="22"/>
        <v>41.951999999999998</v>
      </c>
      <c r="M24" s="201">
        <v>6.8035665052483907</v>
      </c>
      <c r="N24" s="201">
        <v>33.535243494751626</v>
      </c>
      <c r="O24" s="201">
        <f t="shared" si="23"/>
        <v>40.338810000000016</v>
      </c>
      <c r="P24" s="190">
        <f t="shared" si="24"/>
        <v>74.143000000000001</v>
      </c>
      <c r="Q24" s="190">
        <f t="shared" si="16"/>
        <v>849.154</v>
      </c>
      <c r="R24" s="190">
        <f t="shared" si="17"/>
        <v>923.29700000000003</v>
      </c>
      <c r="S24" s="190">
        <f t="shared" si="25"/>
        <v>124.53980054484677</v>
      </c>
      <c r="T24" s="190">
        <f t="shared" si="18"/>
        <v>747.86251664982251</v>
      </c>
      <c r="U24" s="190">
        <f t="shared" si="19"/>
        <v>872.40231719466919</v>
      </c>
    </row>
    <row r="25" spans="2:37" s="13" customFormat="1" x14ac:dyDescent="0.2">
      <c r="B25" s="7" t="s">
        <v>6</v>
      </c>
      <c r="C25" s="82">
        <f>SUMIF('BP costs'!$B$7:$B$66,$B25,'BP costs'!D$7:D$66)</f>
        <v>328.0448599088117</v>
      </c>
      <c r="D25" s="82">
        <f>SUMIF('BP costs'!$B$7:$B$66,$B25,'BP costs'!H$7:H$66)</f>
        <v>1903.6680949807601</v>
      </c>
      <c r="E25" s="82">
        <f t="shared" si="20"/>
        <v>2231.7129548895718</v>
      </c>
      <c r="F25" s="189">
        <f t="shared" si="21"/>
        <v>0.14699240741963779</v>
      </c>
      <c r="G25" s="82">
        <f>I25*Apportion!J11</f>
        <v>351.00618255708235</v>
      </c>
      <c r="H25" s="82">
        <f>I25*(1-Apportion!J11)</f>
        <v>1730.7799127076623</v>
      </c>
      <c r="I25" s="82">
        <v>2081.7860952647447</v>
      </c>
      <c r="J25" s="190">
        <v>44.405611564902998</v>
      </c>
      <c r="K25" s="190">
        <v>126.83191816018153</v>
      </c>
      <c r="L25" s="190">
        <f t="shared" si="22"/>
        <v>171.23752972508453</v>
      </c>
      <c r="M25" s="201">
        <v>38.483682590923152</v>
      </c>
      <c r="N25" s="201">
        <v>106.43109662071907</v>
      </c>
      <c r="O25" s="201">
        <f t="shared" si="23"/>
        <v>144.91477921164221</v>
      </c>
      <c r="P25" s="190">
        <f t="shared" si="24"/>
        <v>372.45047147371469</v>
      </c>
      <c r="Q25" s="190">
        <f t="shared" si="16"/>
        <v>2030.5000131409415</v>
      </c>
      <c r="R25" s="190">
        <f t="shared" si="17"/>
        <v>2402.9504846146565</v>
      </c>
      <c r="S25" s="190">
        <f t="shared" si="25"/>
        <v>389.48986514800549</v>
      </c>
      <c r="T25" s="190">
        <f t="shared" si="18"/>
        <v>1837.2110093283814</v>
      </c>
      <c r="U25" s="190">
        <f t="shared" si="19"/>
        <v>2226.7008744763871</v>
      </c>
    </row>
    <row r="26" spans="2:37" s="13" customFormat="1" x14ac:dyDescent="0.2">
      <c r="B26" s="7" t="s">
        <v>7</v>
      </c>
      <c r="C26" s="82">
        <f>SUMIF('BP costs'!$B$7:$B$66,$B26,'BP costs'!D$7:D$66)</f>
        <v>191.74</v>
      </c>
      <c r="D26" s="82">
        <f>SUMIF('BP costs'!$B$7:$B$66,$B26,'BP costs'!H$7:H$66)</f>
        <v>1463.4569999999999</v>
      </c>
      <c r="E26" s="82">
        <f t="shared" si="20"/>
        <v>1655.1969999999999</v>
      </c>
      <c r="F26" s="189">
        <f t="shared" si="21"/>
        <v>0.11584119594223528</v>
      </c>
      <c r="G26" s="82">
        <f>I26*Apportion!J12</f>
        <v>199.85278835719376</v>
      </c>
      <c r="H26" s="82">
        <f>I26*(1-Apportion!J12)</f>
        <v>1326.5256669148298</v>
      </c>
      <c r="I26" s="82">
        <v>1526.3784552720235</v>
      </c>
      <c r="J26" s="190">
        <v>6.4089999999999998</v>
      </c>
      <c r="K26" s="190">
        <v>62.665000000000006</v>
      </c>
      <c r="L26" s="190">
        <f t="shared" si="22"/>
        <v>69.074000000000012</v>
      </c>
      <c r="M26" s="201">
        <v>6.2992348890589138</v>
      </c>
      <c r="N26" s="201">
        <v>61.56290816911055</v>
      </c>
      <c r="O26" s="201">
        <f t="shared" si="23"/>
        <v>67.862143058169465</v>
      </c>
      <c r="P26" s="190">
        <f t="shared" si="24"/>
        <v>198.149</v>
      </c>
      <c r="Q26" s="190">
        <f t="shared" si="16"/>
        <v>1526.1219999999998</v>
      </c>
      <c r="R26" s="190">
        <f t="shared" si="17"/>
        <v>1724.271</v>
      </c>
      <c r="S26" s="190">
        <f t="shared" si="25"/>
        <v>206.15202324625267</v>
      </c>
      <c r="T26" s="190">
        <f t="shared" si="18"/>
        <v>1388.0885750839404</v>
      </c>
      <c r="U26" s="190">
        <f t="shared" si="19"/>
        <v>1594.2405983301931</v>
      </c>
    </row>
    <row r="27" spans="2:37" s="13" customFormat="1" x14ac:dyDescent="0.2">
      <c r="B27" s="7" t="s">
        <v>116</v>
      </c>
      <c r="C27" s="82">
        <f>SUMIF('BP costs'!$B$7:$B$66,$B27,'BP costs'!D$7:D$66)</f>
        <v>259.44867083921048</v>
      </c>
      <c r="D27" s="82">
        <f>SUMIF('BP costs'!$B$7:$B$66,$B27,'BP costs'!H$7:H$66)</f>
        <v>2040.6111294627972</v>
      </c>
      <c r="E27" s="82">
        <f t="shared" si="20"/>
        <v>2300.0598003020077</v>
      </c>
      <c r="F27" s="189">
        <f t="shared" si="21"/>
        <v>0.11280083709351546</v>
      </c>
      <c r="G27" s="82">
        <f>I27*Apportion!J13</f>
        <v>426.52625259277136</v>
      </c>
      <c r="H27" s="82">
        <f>I27*(1-Apportion!J13)</f>
        <v>2126.1619877574221</v>
      </c>
      <c r="I27" s="82">
        <v>2552.6882403501936</v>
      </c>
      <c r="J27" s="190">
        <v>28.413964766054207</v>
      </c>
      <c r="K27" s="190">
        <v>149.36834561245979</v>
      </c>
      <c r="L27" s="190">
        <f t="shared" si="22"/>
        <v>177.78231037851401</v>
      </c>
      <c r="M27" s="201">
        <v>21.691002901956118</v>
      </c>
      <c r="N27" s="201">
        <v>115.36672643140527</v>
      </c>
      <c r="O27" s="201">
        <f t="shared" si="23"/>
        <v>137.05772933336138</v>
      </c>
      <c r="P27" s="190">
        <f t="shared" si="24"/>
        <v>287.8626356052647</v>
      </c>
      <c r="Q27" s="190">
        <f t="shared" si="16"/>
        <v>2189.9794750752571</v>
      </c>
      <c r="R27" s="190">
        <f t="shared" si="17"/>
        <v>2477.8421106805217</v>
      </c>
      <c r="S27" s="190">
        <f t="shared" si="25"/>
        <v>448.21725549472745</v>
      </c>
      <c r="T27" s="190">
        <f t="shared" si="18"/>
        <v>2241.5287141888275</v>
      </c>
      <c r="U27" s="190">
        <f t="shared" si="19"/>
        <v>2689.7459696835549</v>
      </c>
    </row>
    <row r="28" spans="2:37" s="13" customFormat="1" x14ac:dyDescent="0.2">
      <c r="B28" s="7" t="s">
        <v>12</v>
      </c>
      <c r="C28" s="82">
        <f>SUMIF('BP costs'!$B$7:$B$66,$B28,'BP costs'!D$7:D$66)</f>
        <v>89.88</v>
      </c>
      <c r="D28" s="82">
        <f>SUMIF('BP costs'!$B$7:$B$66,$B28,'BP costs'!H$7:H$66)</f>
        <v>680.56400000000008</v>
      </c>
      <c r="E28" s="82">
        <f t="shared" si="20"/>
        <v>770.44400000000007</v>
      </c>
      <c r="F28" s="189">
        <f t="shared" si="21"/>
        <v>0.11666000384194047</v>
      </c>
      <c r="G28" s="82">
        <f>I28*Apportion!J14</f>
        <v>91.765016435109317</v>
      </c>
      <c r="H28" s="82">
        <f>I28*(1-Apportion!J14)</f>
        <v>636.80119186196305</v>
      </c>
      <c r="I28" s="82">
        <v>728.56620829707231</v>
      </c>
      <c r="J28" s="190">
        <v>3.74</v>
      </c>
      <c r="K28" s="190">
        <v>27.680000000000003</v>
      </c>
      <c r="L28" s="190">
        <f t="shared" si="22"/>
        <v>31.42</v>
      </c>
      <c r="M28" s="201">
        <v>3.6800320133195412</v>
      </c>
      <c r="N28" s="201">
        <v>27.236172761680457</v>
      </c>
      <c r="O28" s="201">
        <f t="shared" si="23"/>
        <v>30.916204774999997</v>
      </c>
      <c r="P28" s="190">
        <f t="shared" si="24"/>
        <v>93.61999999999999</v>
      </c>
      <c r="Q28" s="190">
        <f t="shared" si="16"/>
        <v>708.24400000000003</v>
      </c>
      <c r="R28" s="190">
        <f t="shared" si="17"/>
        <v>801.86400000000003</v>
      </c>
      <c r="S28" s="190">
        <f t="shared" si="25"/>
        <v>95.445048448428864</v>
      </c>
      <c r="T28" s="190">
        <f t="shared" si="18"/>
        <v>664.0373646236435</v>
      </c>
      <c r="U28" s="190">
        <f t="shared" si="19"/>
        <v>759.48241307207229</v>
      </c>
    </row>
    <row r="29" spans="2:37" s="13" customFormat="1" x14ac:dyDescent="0.2">
      <c r="B29" s="7" t="s">
        <v>9</v>
      </c>
      <c r="C29" s="82">
        <f>SUMIF('BP costs'!$B$7:$B$66,$B29,'BP costs'!D$7:D$66)</f>
        <v>572.03928963130329</v>
      </c>
      <c r="D29" s="82">
        <f>SUMIF('BP costs'!$B$7:$B$66,$B29,'BP costs'!H$7:H$66)</f>
        <v>3511.4258437458548</v>
      </c>
      <c r="E29" s="82">
        <f t="shared" si="20"/>
        <v>4083.4651333771581</v>
      </c>
      <c r="F29" s="189">
        <f t="shared" si="21"/>
        <v>0.14008673294541105</v>
      </c>
      <c r="G29" s="82">
        <f>I29*Apportion!J15</f>
        <v>676.6024455564085</v>
      </c>
      <c r="H29" s="82">
        <f>I29*(1-Apportion!J15)</f>
        <v>3150.5534510523098</v>
      </c>
      <c r="I29" s="82">
        <v>3827.1558966087182</v>
      </c>
      <c r="J29" s="190">
        <v>46.883701353611649</v>
      </c>
      <c r="K29" s="190">
        <v>144.02623990884314</v>
      </c>
      <c r="L29" s="190">
        <f t="shared" si="22"/>
        <v>190.90994126245479</v>
      </c>
      <c r="M29" s="201">
        <v>46.883701353611642</v>
      </c>
      <c r="N29" s="201">
        <v>143.08365875414847</v>
      </c>
      <c r="O29" s="201">
        <f t="shared" si="23"/>
        <v>189.9673601077601</v>
      </c>
      <c r="P29" s="190">
        <f t="shared" si="24"/>
        <v>618.92299098491492</v>
      </c>
      <c r="Q29" s="190">
        <f t="shared" si="16"/>
        <v>3655.4520836546981</v>
      </c>
      <c r="R29" s="190">
        <f t="shared" si="17"/>
        <v>4274.3750746396126</v>
      </c>
      <c r="S29" s="190">
        <f t="shared" si="25"/>
        <v>723.48614691002012</v>
      </c>
      <c r="T29" s="190">
        <f t="shared" si="18"/>
        <v>3293.6371098064583</v>
      </c>
      <c r="U29" s="190">
        <f t="shared" si="19"/>
        <v>4017.1232567164784</v>
      </c>
    </row>
    <row r="30" spans="2:37" s="13" customFormat="1" x14ac:dyDescent="0.2">
      <c r="B30" s="7" t="s">
        <v>15</v>
      </c>
      <c r="C30" s="82">
        <f>SUMIF('BP costs'!$B$7:$B$66,$B30,'BP costs'!D$7:D$66)</f>
        <v>115.11000000000001</v>
      </c>
      <c r="D30" s="82">
        <f>SUMIF('BP costs'!$B$7:$B$66,$B30,'BP costs'!H$7:H$66)</f>
        <v>1025.471</v>
      </c>
      <c r="E30" s="82">
        <f t="shared" si="20"/>
        <v>1140.5810000000001</v>
      </c>
      <c r="F30" s="189">
        <f t="shared" si="21"/>
        <v>0.10092224927471175</v>
      </c>
      <c r="G30" s="82">
        <f>I30*Apportion!J16</f>
        <v>157.40075433842443</v>
      </c>
      <c r="H30" s="82">
        <f>I30*(1-Apportion!J16)</f>
        <v>959.15905447494413</v>
      </c>
      <c r="I30" s="82">
        <v>1116.5598088133686</v>
      </c>
      <c r="J30" s="190">
        <v>3.5860000000000003</v>
      </c>
      <c r="K30" s="190">
        <v>60.231999999999999</v>
      </c>
      <c r="L30" s="190">
        <f t="shared" si="22"/>
        <v>63.817999999999998</v>
      </c>
      <c r="M30" s="201">
        <v>2.7270761712925524</v>
      </c>
      <c r="N30" s="201">
        <v>45.126876210375478</v>
      </c>
      <c r="O30" s="201">
        <f t="shared" si="23"/>
        <v>47.85395238166803</v>
      </c>
      <c r="P30" s="190">
        <f t="shared" si="24"/>
        <v>118.69600000000001</v>
      </c>
      <c r="Q30" s="190">
        <f t="shared" si="16"/>
        <v>1085.703</v>
      </c>
      <c r="R30" s="190">
        <f t="shared" si="17"/>
        <v>1204.3990000000001</v>
      </c>
      <c r="S30" s="190">
        <f t="shared" si="25"/>
        <v>160.127830509717</v>
      </c>
      <c r="T30" s="190">
        <f t="shared" si="18"/>
        <v>1004.2859306853196</v>
      </c>
      <c r="U30" s="190">
        <f t="shared" si="19"/>
        <v>1164.4137611950366</v>
      </c>
    </row>
    <row r="31" spans="2:37" s="13" customFormat="1" x14ac:dyDescent="0.2">
      <c r="B31" s="7" t="s">
        <v>10</v>
      </c>
      <c r="C31" s="82">
        <f>SUMIF('BP costs'!$B$7:$B$66,$B31,'BP costs'!D$7:D$66)</f>
        <v>110.89383536659518</v>
      </c>
      <c r="D31" s="82">
        <f>SUMIF('BP costs'!$B$7:$B$66,$B31,'BP costs'!H$7:H$66)</f>
        <v>891.07239548133361</v>
      </c>
      <c r="E31" s="82">
        <f t="shared" si="20"/>
        <v>1001.9662308479288</v>
      </c>
      <c r="F31" s="189">
        <f t="shared" si="21"/>
        <v>0.1106762203679755</v>
      </c>
      <c r="G31" s="82">
        <f>I31*Apportion!J17</f>
        <v>127.13974918188855</v>
      </c>
      <c r="H31" s="82">
        <f>I31*(1-Apportion!J17)</f>
        <v>800.4815520112445</v>
      </c>
      <c r="I31" s="82">
        <v>927.62130119313315</v>
      </c>
      <c r="J31" s="190">
        <v>8.3099999999999987</v>
      </c>
      <c r="K31" s="190">
        <v>35.42</v>
      </c>
      <c r="L31" s="190">
        <f t="shared" si="22"/>
        <v>43.730000000000004</v>
      </c>
      <c r="M31" s="201">
        <v>8.3101654678606938</v>
      </c>
      <c r="N31" s="201">
        <v>35.420705279377358</v>
      </c>
      <c r="O31" s="201">
        <f t="shared" si="23"/>
        <v>43.73087074723805</v>
      </c>
      <c r="P31" s="190">
        <f t="shared" si="24"/>
        <v>119.20383536659519</v>
      </c>
      <c r="Q31" s="190">
        <f t="shared" si="16"/>
        <v>926.49239548133357</v>
      </c>
      <c r="R31" s="190">
        <f t="shared" si="17"/>
        <v>1045.6962308479287</v>
      </c>
      <c r="S31" s="190">
        <f t="shared" si="25"/>
        <v>135.44991464974925</v>
      </c>
      <c r="T31" s="190">
        <f t="shared" si="18"/>
        <v>835.90225729062183</v>
      </c>
      <c r="U31" s="190">
        <f t="shared" si="19"/>
        <v>971.35217194037125</v>
      </c>
    </row>
    <row r="32" spans="2:37" s="13" customFormat="1" x14ac:dyDescent="0.2">
      <c r="B32" s="7" t="s">
        <v>11</v>
      </c>
      <c r="C32" s="82">
        <f>SUMIF('BP costs'!$B$7:$B$66,$B32,'BP costs'!D$7:D$66)</f>
        <v>304.35600000000005</v>
      </c>
      <c r="D32" s="82">
        <f>SUMIF('BP costs'!$B$7:$B$66,$B32,'BP costs'!H$7:H$66)</f>
        <v>1618.827</v>
      </c>
      <c r="E32" s="82">
        <f t="shared" si="20"/>
        <v>1923.183</v>
      </c>
      <c r="F32" s="189">
        <f t="shared" si="21"/>
        <v>0.15825639057749577</v>
      </c>
      <c r="G32" s="82">
        <f>I32*Apportion!J18</f>
        <v>272.9242290895848</v>
      </c>
      <c r="H32" s="82">
        <f>I32*(1-Apportion!J18)</f>
        <v>1285.1615060866925</v>
      </c>
      <c r="I32" s="82">
        <v>1558.0857351762772</v>
      </c>
      <c r="J32" s="190">
        <v>7.1669999999999989</v>
      </c>
      <c r="K32" s="190">
        <v>111.22200000000001</v>
      </c>
      <c r="L32" s="190">
        <f t="shared" si="22"/>
        <v>118.38900000000001</v>
      </c>
      <c r="M32" s="201">
        <v>5.6805120162226919</v>
      </c>
      <c r="N32" s="201">
        <v>86.02074645877731</v>
      </c>
      <c r="O32" s="201">
        <f t="shared" si="23"/>
        <v>91.701258475000003</v>
      </c>
      <c r="P32" s="190">
        <f t="shared" si="24"/>
        <v>311.52300000000002</v>
      </c>
      <c r="Q32" s="190">
        <f t="shared" si="16"/>
        <v>1730.049</v>
      </c>
      <c r="R32" s="190">
        <f t="shared" si="17"/>
        <v>2041.5720000000001</v>
      </c>
      <c r="S32" s="190">
        <f t="shared" si="25"/>
        <v>278.60474110580748</v>
      </c>
      <c r="T32" s="190">
        <f t="shared" si="18"/>
        <v>1371.1822525454697</v>
      </c>
      <c r="U32" s="190">
        <f t="shared" si="19"/>
        <v>1649.7869936512773</v>
      </c>
    </row>
    <row r="33" spans="2:21" s="13" customFormat="1" x14ac:dyDescent="0.2">
      <c r="B33" s="186" t="s">
        <v>24</v>
      </c>
      <c r="C33" s="187">
        <f>SUM(C22:C32)</f>
        <v>2483.9137835562951</v>
      </c>
      <c r="D33" s="187">
        <f t="shared" ref="D33:E33" si="26">SUM(D22:D32)</f>
        <v>16023.509024157658</v>
      </c>
      <c r="E33" s="187">
        <f t="shared" si="26"/>
        <v>18507.422807713952</v>
      </c>
      <c r="F33" s="191">
        <f t="shared" si="21"/>
        <v>0.13421175975517197</v>
      </c>
      <c r="G33" s="187">
        <f t="shared" ref="G33:O33" si="27">SUM(G22:G32)</f>
        <v>2736.6011079648715</v>
      </c>
      <c r="H33" s="187">
        <f t="shared" si="27"/>
        <v>14460.365747844964</v>
      </c>
      <c r="I33" s="187">
        <f t="shared" si="27"/>
        <v>17196.966855809838</v>
      </c>
      <c r="J33" s="192">
        <f t="shared" si="27"/>
        <v>172.31975526089062</v>
      </c>
      <c r="K33" s="192">
        <f t="shared" si="27"/>
        <v>867.26337604367893</v>
      </c>
      <c r="L33" s="192">
        <f t="shared" si="27"/>
        <v>1039.5831313045696</v>
      </c>
      <c r="M33" s="202">
        <f t="shared" si="27"/>
        <v>155.63308561238009</v>
      </c>
      <c r="N33" s="202">
        <f t="shared" si="27"/>
        <v>758.21163613033207</v>
      </c>
      <c r="O33" s="202">
        <f t="shared" si="27"/>
        <v>913.84472174271218</v>
      </c>
      <c r="P33" s="192">
        <f t="shared" ref="P33:U33" si="28">SUM(P22:P32)</f>
        <v>2656.2335388171855</v>
      </c>
      <c r="Q33" s="192">
        <f t="shared" si="28"/>
        <v>16890.772400201335</v>
      </c>
      <c r="R33" s="192">
        <f t="shared" si="28"/>
        <v>19547.00593901852</v>
      </c>
      <c r="S33" s="192">
        <f t="shared" si="28"/>
        <v>2892.2341935772515</v>
      </c>
      <c r="T33" s="192">
        <f t="shared" si="28"/>
        <v>15218.577383975296</v>
      </c>
      <c r="U33" s="192">
        <f t="shared" si="28"/>
        <v>18110.811577552548</v>
      </c>
    </row>
    <row r="37" spans="2:21" s="13" customFormat="1" ht="40.5" customHeight="1" x14ac:dyDescent="0.2">
      <c r="B37" s="207" t="s">
        <v>284</v>
      </c>
      <c r="C37" s="215" t="s">
        <v>392</v>
      </c>
      <c r="D37" s="204"/>
      <c r="E37" s="205"/>
      <c r="F37" s="215" t="s">
        <v>391</v>
      </c>
      <c r="G37" s="204"/>
      <c r="H37" s="205"/>
      <c r="J37" s="203" t="s">
        <v>393</v>
      </c>
      <c r="K37" s="204"/>
      <c r="L37" s="205"/>
      <c r="M37" s="203" t="s">
        <v>390</v>
      </c>
      <c r="N37" s="204"/>
      <c r="O37" s="205"/>
      <c r="P37" s="180" t="s">
        <v>47</v>
      </c>
      <c r="Q37" s="181"/>
      <c r="R37" s="110"/>
      <c r="U37" s="212" t="s">
        <v>396</v>
      </c>
    </row>
    <row r="38" spans="2:21" s="13" customFormat="1" ht="36.75" customHeight="1" x14ac:dyDescent="0.2">
      <c r="B38" s="5" t="s">
        <v>13</v>
      </c>
      <c r="C38" s="5" t="s">
        <v>35</v>
      </c>
      <c r="D38" s="5" t="s">
        <v>394</v>
      </c>
      <c r="E38" s="5" t="s">
        <v>124</v>
      </c>
      <c r="F38" s="5" t="s">
        <v>35</v>
      </c>
      <c r="G38" s="5" t="s">
        <v>394</v>
      </c>
      <c r="H38" s="5" t="s">
        <v>124</v>
      </c>
      <c r="J38" s="5" t="s">
        <v>35</v>
      </c>
      <c r="K38" s="5" t="s">
        <v>394</v>
      </c>
      <c r="L38" s="5" t="s">
        <v>124</v>
      </c>
      <c r="M38" s="5" t="s">
        <v>35</v>
      </c>
      <c r="N38" s="5" t="s">
        <v>394</v>
      </c>
      <c r="O38" s="5" t="s">
        <v>124</v>
      </c>
      <c r="P38" s="5" t="s">
        <v>35</v>
      </c>
      <c r="Q38" s="5" t="s">
        <v>394</v>
      </c>
      <c r="R38" s="5" t="s">
        <v>124</v>
      </c>
      <c r="U38" s="216" t="s">
        <v>395</v>
      </c>
    </row>
    <row r="39" spans="2:21" s="13" customFormat="1" x14ac:dyDescent="0.2">
      <c r="B39" s="7" t="s">
        <v>4</v>
      </c>
      <c r="C39" s="190">
        <v>25.877464142822635</v>
      </c>
      <c r="D39" s="190">
        <v>853.43233365781396</v>
      </c>
      <c r="E39" s="190">
        <f>C39+D39</f>
        <v>879.3097978006366</v>
      </c>
      <c r="F39" s="190">
        <v>2.7327599783222909</v>
      </c>
      <c r="G39" s="190">
        <v>705.3606583462672</v>
      </c>
      <c r="H39" s="190">
        <f>F39+G39</f>
        <v>708.09341832458949</v>
      </c>
      <c r="J39" s="190">
        <v>0</v>
      </c>
      <c r="K39" s="190">
        <v>80.831456652728903</v>
      </c>
      <c r="L39" s="190">
        <f>J39+K39</f>
        <v>80.831456652728903</v>
      </c>
      <c r="M39" s="190">
        <v>0</v>
      </c>
      <c r="N39" s="190">
        <v>5.8381445145997475</v>
      </c>
      <c r="O39" s="190">
        <f>M39+N39</f>
        <v>5.8381445145997475</v>
      </c>
      <c r="P39" s="190">
        <f>F39-M39</f>
        <v>2.7327599783222909</v>
      </c>
      <c r="Q39" s="190">
        <f t="shared" ref="Q39:Q49" si="29">G39-N39</f>
        <v>699.52251383166742</v>
      </c>
      <c r="R39" s="190">
        <f>H39-O39</f>
        <v>702.25527380998972</v>
      </c>
      <c r="U39" s="217">
        <v>2021.9598127041759</v>
      </c>
    </row>
    <row r="40" spans="2:21" s="13" customFormat="1" x14ac:dyDescent="0.2">
      <c r="B40" s="7" t="s">
        <v>87</v>
      </c>
      <c r="C40" s="190">
        <v>0</v>
      </c>
      <c r="D40" s="190">
        <v>2.7203383463768995</v>
      </c>
      <c r="E40" s="190">
        <f t="shared" ref="E40:E49" si="30">C40+D40</f>
        <v>2.7203383463768995</v>
      </c>
      <c r="F40" s="190">
        <v>0</v>
      </c>
      <c r="G40" s="190">
        <v>2.7175940463768997</v>
      </c>
      <c r="H40" s="190">
        <f t="shared" ref="H40:H49" si="31">F40+G40</f>
        <v>2.7175940463768997</v>
      </c>
      <c r="J40" s="190">
        <v>0</v>
      </c>
      <c r="K40" s="190">
        <v>0.19840000000000002</v>
      </c>
      <c r="L40" s="190">
        <f t="shared" ref="L40:L49" si="32">J40+K40</f>
        <v>0.19840000000000002</v>
      </c>
      <c r="M40" s="190">
        <v>0</v>
      </c>
      <c r="N40" s="190">
        <v>6.9590780692263307E-2</v>
      </c>
      <c r="O40" s="190">
        <f t="shared" ref="O40:O49" si="33">M40+N40</f>
        <v>6.9590780692263307E-2</v>
      </c>
      <c r="P40" s="190">
        <f t="shared" ref="P40:P49" si="34">F40-M40</f>
        <v>0</v>
      </c>
      <c r="Q40" s="190">
        <f t="shared" si="29"/>
        <v>2.6480032656846366</v>
      </c>
      <c r="R40" s="190">
        <f t="shared" ref="R40:R49" si="35">H40-O40</f>
        <v>2.6480032656846366</v>
      </c>
      <c r="U40" s="217">
        <v>24.101794935460397</v>
      </c>
    </row>
    <row r="41" spans="2:21" s="13" customFormat="1" x14ac:dyDescent="0.2">
      <c r="B41" s="7" t="s">
        <v>5</v>
      </c>
      <c r="C41" s="190">
        <v>0</v>
      </c>
      <c r="D41" s="190">
        <v>293.21187799499995</v>
      </c>
      <c r="E41" s="190">
        <f t="shared" si="30"/>
        <v>293.21187799499995</v>
      </c>
      <c r="F41" s="190">
        <v>0</v>
      </c>
      <c r="G41" s="190">
        <v>183.18521527405878</v>
      </c>
      <c r="H41" s="190">
        <f t="shared" si="31"/>
        <v>183.18521527405878</v>
      </c>
      <c r="J41" s="190">
        <v>0</v>
      </c>
      <c r="K41" s="190">
        <v>0</v>
      </c>
      <c r="L41" s="190">
        <f t="shared" si="32"/>
        <v>0</v>
      </c>
      <c r="M41" s="190">
        <v>0</v>
      </c>
      <c r="N41" s="190">
        <v>2.4024745545414534</v>
      </c>
      <c r="O41" s="190">
        <f t="shared" si="33"/>
        <v>2.4024745545414534</v>
      </c>
      <c r="P41" s="190">
        <f t="shared" si="34"/>
        <v>0</v>
      </c>
      <c r="Q41" s="190">
        <f t="shared" si="29"/>
        <v>180.78274071951734</v>
      </c>
      <c r="R41" s="190">
        <f t="shared" si="35"/>
        <v>180.78274071951734</v>
      </c>
      <c r="U41" s="217">
        <v>832.06350719466923</v>
      </c>
    </row>
    <row r="42" spans="2:21" s="13" customFormat="1" x14ac:dyDescent="0.2">
      <c r="B42" s="7" t="s">
        <v>6</v>
      </c>
      <c r="C42" s="190">
        <v>0.67799999999999994</v>
      </c>
      <c r="D42" s="190">
        <v>664.94326404928427</v>
      </c>
      <c r="E42" s="190">
        <f t="shared" si="30"/>
        <v>665.62126404928426</v>
      </c>
      <c r="F42" s="190">
        <v>0.6458464265411753</v>
      </c>
      <c r="G42" s="190">
        <v>641.31184084749327</v>
      </c>
      <c r="H42" s="190">
        <f t="shared" si="31"/>
        <v>641.95768727403447</v>
      </c>
      <c r="J42" s="190">
        <v>0</v>
      </c>
      <c r="K42" s="190">
        <v>75.038765739688117</v>
      </c>
      <c r="L42" s="190">
        <f t="shared" si="32"/>
        <v>75.038765739688117</v>
      </c>
      <c r="M42" s="190">
        <v>0</v>
      </c>
      <c r="N42" s="190">
        <v>6.0108850810370003</v>
      </c>
      <c r="O42" s="190">
        <f t="shared" si="33"/>
        <v>6.0108850810370003</v>
      </c>
      <c r="P42" s="190">
        <f t="shared" si="34"/>
        <v>0.6458464265411753</v>
      </c>
      <c r="Q42" s="190">
        <f t="shared" si="29"/>
        <v>635.30095576645624</v>
      </c>
      <c r="R42" s="190">
        <f t="shared" si="35"/>
        <v>635.94680219299744</v>
      </c>
      <c r="U42" s="217">
        <v>2081.7860952647447</v>
      </c>
    </row>
    <row r="43" spans="2:21" s="13" customFormat="1" x14ac:dyDescent="0.2">
      <c r="B43" s="7" t="s">
        <v>7</v>
      </c>
      <c r="C43" s="190">
        <v>6.4489999999999998</v>
      </c>
      <c r="D43" s="190">
        <v>649.11900000000014</v>
      </c>
      <c r="E43" s="190">
        <f t="shared" si="30"/>
        <v>655.5680000000001</v>
      </c>
      <c r="F43" s="190">
        <v>5.056</v>
      </c>
      <c r="G43" s="190">
        <v>558.44760024651202</v>
      </c>
      <c r="H43" s="190">
        <f t="shared" si="31"/>
        <v>563.50360024651206</v>
      </c>
      <c r="J43" s="190">
        <v>0</v>
      </c>
      <c r="K43" s="190">
        <v>78.647999999999996</v>
      </c>
      <c r="L43" s="190">
        <f t="shared" si="32"/>
        <v>78.647999999999996</v>
      </c>
      <c r="M43" s="190">
        <v>0</v>
      </c>
      <c r="N43" s="190">
        <v>4.407218160252012</v>
      </c>
      <c r="O43" s="190">
        <f t="shared" si="33"/>
        <v>4.407218160252012</v>
      </c>
      <c r="P43" s="190">
        <f t="shared" si="34"/>
        <v>5.056</v>
      </c>
      <c r="Q43" s="190">
        <f t="shared" si="29"/>
        <v>554.04038208626002</v>
      </c>
      <c r="R43" s="190">
        <f t="shared" si="35"/>
        <v>559.09638208626006</v>
      </c>
      <c r="U43" s="217">
        <v>1526.3784552720235</v>
      </c>
    </row>
    <row r="44" spans="2:21" s="13" customFormat="1" x14ac:dyDescent="0.2">
      <c r="B44" s="7" t="s">
        <v>116</v>
      </c>
      <c r="C44" s="190">
        <v>26.854222918587794</v>
      </c>
      <c r="D44" s="190">
        <v>476.78484453366934</v>
      </c>
      <c r="E44" s="190">
        <f t="shared" si="30"/>
        <v>503.63906745225711</v>
      </c>
      <c r="F44" s="190">
        <v>0</v>
      </c>
      <c r="G44" s="190">
        <v>454.13323631104015</v>
      </c>
      <c r="H44" s="190">
        <f t="shared" si="31"/>
        <v>454.13323631104015</v>
      </c>
      <c r="J44" s="190">
        <v>0</v>
      </c>
      <c r="K44" s="190">
        <v>54.362412934685793</v>
      </c>
      <c r="L44" s="190">
        <f t="shared" si="32"/>
        <v>54.362412934685793</v>
      </c>
      <c r="M44" s="190">
        <v>0</v>
      </c>
      <c r="N44" s="190">
        <v>7.3705534374357775</v>
      </c>
      <c r="O44" s="190">
        <f t="shared" si="33"/>
        <v>7.3705534374357775</v>
      </c>
      <c r="P44" s="190">
        <f t="shared" si="34"/>
        <v>0</v>
      </c>
      <c r="Q44" s="190">
        <f t="shared" si="29"/>
        <v>446.76268287360438</v>
      </c>
      <c r="R44" s="190">
        <f t="shared" si="35"/>
        <v>446.76268287360438</v>
      </c>
      <c r="U44" s="217">
        <v>2552.6882403501936</v>
      </c>
    </row>
    <row r="45" spans="2:21" s="13" customFormat="1" x14ac:dyDescent="0.2">
      <c r="B45" s="7" t="s">
        <v>12</v>
      </c>
      <c r="C45" s="190">
        <v>18.157576920883159</v>
      </c>
      <c r="D45" s="190">
        <v>174.09842307911686</v>
      </c>
      <c r="E45" s="190">
        <f t="shared" si="30"/>
        <v>192.25600000000003</v>
      </c>
      <c r="F45" s="190">
        <v>1.89383798319561</v>
      </c>
      <c r="G45" s="190">
        <v>154.37071144779338</v>
      </c>
      <c r="H45" s="190">
        <f t="shared" si="31"/>
        <v>156.26454943098901</v>
      </c>
      <c r="J45" s="190">
        <v>0</v>
      </c>
      <c r="K45" s="190">
        <v>21.67</v>
      </c>
      <c r="L45" s="190">
        <f t="shared" si="32"/>
        <v>21.67</v>
      </c>
      <c r="M45" s="190">
        <v>0</v>
      </c>
      <c r="N45" s="190">
        <v>2.1036396400004005</v>
      </c>
      <c r="O45" s="190">
        <f t="shared" si="33"/>
        <v>2.1036396400004005</v>
      </c>
      <c r="P45" s="190">
        <f t="shared" si="34"/>
        <v>1.89383798319561</v>
      </c>
      <c r="Q45" s="190">
        <f t="shared" si="29"/>
        <v>152.26707180779297</v>
      </c>
      <c r="R45" s="190">
        <f t="shared" si="35"/>
        <v>154.1609097909886</v>
      </c>
      <c r="U45" s="217">
        <v>728.56620829707231</v>
      </c>
    </row>
    <row r="46" spans="2:21" s="13" customFormat="1" x14ac:dyDescent="0.2">
      <c r="B46" s="7" t="s">
        <v>9</v>
      </c>
      <c r="C46" s="190">
        <v>38.732080264499999</v>
      </c>
      <c r="D46" s="190">
        <v>496.36276777519998</v>
      </c>
      <c r="E46" s="190">
        <f t="shared" si="30"/>
        <v>535.09484803969997</v>
      </c>
      <c r="F46" s="190">
        <v>0</v>
      </c>
      <c r="G46" s="190">
        <v>339.89252047997275</v>
      </c>
      <c r="H46" s="190">
        <f t="shared" si="31"/>
        <v>339.89252047997275</v>
      </c>
      <c r="J46" s="190">
        <v>0</v>
      </c>
      <c r="K46" s="190">
        <v>120.92364437240002</v>
      </c>
      <c r="L46" s="190">
        <f t="shared" si="32"/>
        <v>120.92364437240002</v>
      </c>
      <c r="M46" s="190">
        <v>0</v>
      </c>
      <c r="N46" s="190">
        <v>11.050412112010282</v>
      </c>
      <c r="O46" s="190">
        <f t="shared" si="33"/>
        <v>11.050412112010282</v>
      </c>
      <c r="P46" s="190">
        <f t="shared" si="34"/>
        <v>0</v>
      </c>
      <c r="Q46" s="190">
        <f t="shared" si="29"/>
        <v>328.84210836796245</v>
      </c>
      <c r="R46" s="190">
        <f t="shared" si="35"/>
        <v>328.84210836796245</v>
      </c>
      <c r="U46" s="217">
        <v>3827.1558966087182</v>
      </c>
    </row>
    <row r="47" spans="2:21" s="13" customFormat="1" x14ac:dyDescent="0.2">
      <c r="B47" s="7" t="s">
        <v>15</v>
      </c>
      <c r="C47" s="190">
        <v>7.1909999999999998</v>
      </c>
      <c r="D47" s="190">
        <v>366.86099999999999</v>
      </c>
      <c r="E47" s="190">
        <f t="shared" si="30"/>
        <v>374.05199999999996</v>
      </c>
      <c r="F47" s="190">
        <v>7.3165696344684088</v>
      </c>
      <c r="G47" s="190">
        <v>227.72328210528076</v>
      </c>
      <c r="H47" s="190">
        <f t="shared" si="31"/>
        <v>235.03985173974917</v>
      </c>
      <c r="J47" s="190">
        <v>0</v>
      </c>
      <c r="K47" s="190">
        <v>3.0210000000000004</v>
      </c>
      <c r="L47" s="190">
        <f t="shared" si="32"/>
        <v>3.0210000000000004</v>
      </c>
      <c r="M47" s="190">
        <v>0</v>
      </c>
      <c r="N47" s="190">
        <v>3.2239204172551101</v>
      </c>
      <c r="O47" s="190">
        <f t="shared" si="33"/>
        <v>3.2239204172551101</v>
      </c>
      <c r="P47" s="190">
        <f t="shared" si="34"/>
        <v>7.3165696344684088</v>
      </c>
      <c r="Q47" s="190">
        <f t="shared" si="29"/>
        <v>224.49936168802566</v>
      </c>
      <c r="R47" s="190">
        <f t="shared" si="35"/>
        <v>231.81593132249407</v>
      </c>
      <c r="U47" s="217">
        <v>1116.5598088133686</v>
      </c>
    </row>
    <row r="48" spans="2:21" s="13" customFormat="1" x14ac:dyDescent="0.2">
      <c r="B48" s="7" t="s">
        <v>10</v>
      </c>
      <c r="C48" s="190">
        <v>4.0849753358631382</v>
      </c>
      <c r="D48" s="190">
        <v>520.48270431811284</v>
      </c>
      <c r="E48" s="190">
        <f t="shared" si="30"/>
        <v>524.56767965397603</v>
      </c>
      <c r="F48" s="190">
        <v>3.6813505850852053</v>
      </c>
      <c r="G48" s="190">
        <v>401.90182072232466</v>
      </c>
      <c r="H48" s="190">
        <f t="shared" si="31"/>
        <v>405.58317130740988</v>
      </c>
      <c r="J48" s="190">
        <v>0</v>
      </c>
      <c r="K48" s="190">
        <v>28.707563205208007</v>
      </c>
      <c r="L48" s="190">
        <f t="shared" si="32"/>
        <v>28.707563205208007</v>
      </c>
      <c r="M48" s="190">
        <v>0</v>
      </c>
      <c r="N48" s="190">
        <v>2.6783851870644977</v>
      </c>
      <c r="O48" s="190">
        <f t="shared" si="33"/>
        <v>2.6783851870644977</v>
      </c>
      <c r="P48" s="190">
        <f t="shared" si="34"/>
        <v>3.6813505850852053</v>
      </c>
      <c r="Q48" s="190">
        <f t="shared" si="29"/>
        <v>399.22343553526014</v>
      </c>
      <c r="R48" s="190">
        <f t="shared" si="35"/>
        <v>402.90478612034536</v>
      </c>
      <c r="U48" s="217">
        <v>927.62130119313315</v>
      </c>
    </row>
    <row r="49" spans="2:21" s="13" customFormat="1" x14ac:dyDescent="0.2">
      <c r="B49" s="7" t="s">
        <v>11</v>
      </c>
      <c r="C49" s="190">
        <v>60.495999999999995</v>
      </c>
      <c r="D49" s="190">
        <v>868.63900000000012</v>
      </c>
      <c r="E49" s="190">
        <f t="shared" si="30"/>
        <v>929.1350000000001</v>
      </c>
      <c r="F49" s="190">
        <v>35.715999999999994</v>
      </c>
      <c r="G49" s="190">
        <v>633.53289795344563</v>
      </c>
      <c r="H49" s="190">
        <f t="shared" si="31"/>
        <v>669.24889795344563</v>
      </c>
      <c r="J49" s="190">
        <v>0</v>
      </c>
      <c r="K49" s="190">
        <v>76.73</v>
      </c>
      <c r="L49" s="190">
        <f t="shared" si="32"/>
        <v>76.73</v>
      </c>
      <c r="M49" s="190">
        <v>0</v>
      </c>
      <c r="N49" s="190">
        <v>4.4987687840986492</v>
      </c>
      <c r="O49" s="190">
        <f t="shared" si="33"/>
        <v>4.4987687840986492</v>
      </c>
      <c r="P49" s="190">
        <f t="shared" si="34"/>
        <v>35.715999999999994</v>
      </c>
      <c r="Q49" s="190">
        <f t="shared" si="29"/>
        <v>629.03412916934701</v>
      </c>
      <c r="R49" s="190">
        <f t="shared" si="35"/>
        <v>664.75012916934702</v>
      </c>
      <c r="U49" s="217">
        <v>1558.0857351762772</v>
      </c>
    </row>
    <row r="50" spans="2:21" s="13" customFormat="1" x14ac:dyDescent="0.2">
      <c r="B50" s="186" t="s">
        <v>24</v>
      </c>
      <c r="C50" s="192">
        <f t="shared" ref="C50:E50" si="36">SUM(C39:C49)</f>
        <v>188.52031958265673</v>
      </c>
      <c r="D50" s="192">
        <f t="shared" si="36"/>
        <v>5366.6555537545746</v>
      </c>
      <c r="E50" s="192">
        <f t="shared" si="36"/>
        <v>5555.1758733372317</v>
      </c>
      <c r="F50" s="192">
        <f t="shared" ref="F50:H50" si="37">SUM(F39:F49)</f>
        <v>57.042364607612683</v>
      </c>
      <c r="G50" s="192">
        <f t="shared" si="37"/>
        <v>4302.5773777805662</v>
      </c>
      <c r="H50" s="192">
        <f t="shared" si="37"/>
        <v>4359.6197423881786</v>
      </c>
      <c r="J50" s="192">
        <f t="shared" ref="J50:L50" si="38">SUM(J39:J49)</f>
        <v>0</v>
      </c>
      <c r="K50" s="192">
        <f t="shared" si="38"/>
        <v>540.13124290471092</v>
      </c>
      <c r="L50" s="192">
        <f t="shared" si="38"/>
        <v>540.13124290471092</v>
      </c>
      <c r="M50" s="192">
        <f t="shared" ref="M50:R50" si="39">SUM(M39:M49)</f>
        <v>0</v>
      </c>
      <c r="N50" s="192">
        <f t="shared" si="39"/>
        <v>49.653992668987193</v>
      </c>
      <c r="O50" s="192">
        <f t="shared" si="39"/>
        <v>49.653992668987193</v>
      </c>
      <c r="P50" s="192">
        <f t="shared" si="39"/>
        <v>57.042364607612683</v>
      </c>
      <c r="Q50" s="192">
        <f t="shared" si="39"/>
        <v>4252.9233851115778</v>
      </c>
      <c r="R50" s="192">
        <f t="shared" si="39"/>
        <v>4309.9657497191911</v>
      </c>
      <c r="U50" s="188">
        <f>SUM(U39:U49)</f>
        <v>17196.966855809838</v>
      </c>
    </row>
    <row r="53" spans="2:21" s="13" customFormat="1" ht="25.5" x14ac:dyDescent="0.2">
      <c r="B53" s="162" t="s">
        <v>288</v>
      </c>
      <c r="C53" s="163" t="s">
        <v>289</v>
      </c>
      <c r="D53" s="163"/>
      <c r="E53" s="163"/>
      <c r="F53" s="163" t="s">
        <v>429</v>
      </c>
      <c r="G53" s="163"/>
      <c r="H53" s="163"/>
      <c r="I53" s="180" t="s">
        <v>290</v>
      </c>
      <c r="J53" s="110"/>
      <c r="K53" s="110"/>
    </row>
    <row r="54" spans="2:21" s="13" customFormat="1" ht="25.5" x14ac:dyDescent="0.2">
      <c r="B54" s="5" t="s">
        <v>13</v>
      </c>
      <c r="C54" s="5" t="s">
        <v>35</v>
      </c>
      <c r="D54" s="5" t="s">
        <v>394</v>
      </c>
      <c r="E54" s="5" t="s">
        <v>124</v>
      </c>
      <c r="F54" s="5" t="s">
        <v>35</v>
      </c>
      <c r="G54" s="5" t="s">
        <v>394</v>
      </c>
      <c r="H54" s="5" t="s">
        <v>124</v>
      </c>
      <c r="I54" s="5" t="s">
        <v>35</v>
      </c>
      <c r="J54" s="5" t="s">
        <v>394</v>
      </c>
      <c r="K54" s="5" t="s">
        <v>124</v>
      </c>
    </row>
    <row r="55" spans="2:21" s="13" customFormat="1" x14ac:dyDescent="0.2">
      <c r="B55" s="7" t="s">
        <v>4</v>
      </c>
      <c r="C55" s="82">
        <v>2.4689999999999999</v>
      </c>
      <c r="D55" s="82">
        <v>7.4730000000000008</v>
      </c>
      <c r="E55" s="82">
        <f>D55+C55</f>
        <v>9.9420000000000002</v>
      </c>
      <c r="F55" s="82">
        <v>12.013399655934062</v>
      </c>
      <c r="G55" s="82">
        <v>30.43104343168832</v>
      </c>
      <c r="H55" s="82">
        <f>F55+G55</f>
        <v>42.444443087622382</v>
      </c>
      <c r="I55" s="82">
        <f>C55+F55</f>
        <v>14.482399655934062</v>
      </c>
      <c r="J55" s="82">
        <f t="shared" ref="J55:J65" si="40">D55+G55</f>
        <v>37.904043431688322</v>
      </c>
      <c r="K55" s="82">
        <f t="shared" ref="K55:K65" si="41">E55+H55</f>
        <v>52.386443087622382</v>
      </c>
    </row>
    <row r="56" spans="2:21" s="13" customFormat="1" x14ac:dyDescent="0.2">
      <c r="B56" s="7" t="s">
        <v>87</v>
      </c>
      <c r="C56" s="82">
        <v>0</v>
      </c>
      <c r="D56" s="82">
        <v>0</v>
      </c>
      <c r="E56" s="82">
        <f t="shared" ref="E56:E65" si="42">D56+C56</f>
        <v>0</v>
      </c>
      <c r="F56" s="82">
        <v>0</v>
      </c>
      <c r="G56" s="82">
        <v>0</v>
      </c>
      <c r="H56" s="82">
        <f t="shared" ref="H56:H65" si="43">F56+G56</f>
        <v>0</v>
      </c>
      <c r="I56" s="82">
        <f t="shared" ref="I56:I65" si="44">C56+F56</f>
        <v>0</v>
      </c>
      <c r="J56" s="82">
        <f t="shared" si="40"/>
        <v>0</v>
      </c>
      <c r="K56" s="82">
        <f t="shared" si="41"/>
        <v>0</v>
      </c>
    </row>
    <row r="57" spans="2:21" s="13" customFormat="1" x14ac:dyDescent="0.2">
      <c r="B57" s="7" t="s">
        <v>5</v>
      </c>
      <c r="C57" s="82">
        <v>0</v>
      </c>
      <c r="D57" s="82">
        <v>1.5100000000000002</v>
      </c>
      <c r="E57" s="82">
        <f t="shared" si="42"/>
        <v>1.5100000000000002</v>
      </c>
      <c r="F57" s="82">
        <v>1.3319898031024511</v>
      </c>
      <c r="G57" s="82">
        <v>9.8988345776297333</v>
      </c>
      <c r="H57" s="82">
        <f t="shared" si="43"/>
        <v>11.230824380732184</v>
      </c>
      <c r="I57" s="82">
        <f t="shared" si="44"/>
        <v>1.3319898031024511</v>
      </c>
      <c r="J57" s="82">
        <f t="shared" si="40"/>
        <v>11.408834577629733</v>
      </c>
      <c r="K57" s="82">
        <f t="shared" si="41"/>
        <v>12.740824380732183</v>
      </c>
    </row>
    <row r="58" spans="2:21" s="13" customFormat="1" x14ac:dyDescent="0.2">
      <c r="B58" s="7" t="s">
        <v>6</v>
      </c>
      <c r="C58" s="82">
        <v>0</v>
      </c>
      <c r="D58" s="82">
        <v>0.63834482008504012</v>
      </c>
      <c r="E58" s="82">
        <f t="shared" si="42"/>
        <v>0.63834482008504012</v>
      </c>
      <c r="F58" s="82">
        <v>0</v>
      </c>
      <c r="G58" s="82">
        <v>0</v>
      </c>
      <c r="H58" s="82">
        <f t="shared" si="43"/>
        <v>0</v>
      </c>
      <c r="I58" s="82">
        <f t="shared" si="44"/>
        <v>0</v>
      </c>
      <c r="J58" s="82">
        <f t="shared" si="40"/>
        <v>0.63834482008504012</v>
      </c>
      <c r="K58" s="82">
        <f t="shared" si="41"/>
        <v>0.63834482008504012</v>
      </c>
    </row>
    <row r="59" spans="2:21" s="13" customFormat="1" x14ac:dyDescent="0.2">
      <c r="B59" s="7" t="s">
        <v>7</v>
      </c>
      <c r="C59" s="82">
        <v>0</v>
      </c>
      <c r="D59" s="82">
        <v>9.42</v>
      </c>
      <c r="E59" s="82">
        <f t="shared" si="42"/>
        <v>9.42</v>
      </c>
      <c r="F59" s="82">
        <v>2.3155250015300513</v>
      </c>
      <c r="G59" s="82">
        <v>28.573836420202397</v>
      </c>
      <c r="H59" s="82">
        <f t="shared" si="43"/>
        <v>30.889361421732449</v>
      </c>
      <c r="I59" s="82">
        <f t="shared" si="44"/>
        <v>2.3155250015300513</v>
      </c>
      <c r="J59" s="82">
        <f t="shared" si="40"/>
        <v>37.993836420202399</v>
      </c>
      <c r="K59" s="82">
        <f t="shared" si="41"/>
        <v>40.309361421732447</v>
      </c>
    </row>
    <row r="60" spans="2:21" s="13" customFormat="1" x14ac:dyDescent="0.2">
      <c r="B60" s="7" t="s">
        <v>116</v>
      </c>
      <c r="C60" s="82">
        <v>0</v>
      </c>
      <c r="D60" s="82">
        <v>3.5349260866230079</v>
      </c>
      <c r="E60" s="82">
        <f t="shared" si="42"/>
        <v>3.5349260866230079</v>
      </c>
      <c r="F60" s="82">
        <v>5.2240501433584363</v>
      </c>
      <c r="G60" s="82">
        <v>17.742447712780095</v>
      </c>
      <c r="H60" s="82">
        <f t="shared" si="43"/>
        <v>22.966497856138531</v>
      </c>
      <c r="I60" s="82">
        <f t="shared" si="44"/>
        <v>5.2240501433584363</v>
      </c>
      <c r="J60" s="82">
        <f t="shared" si="40"/>
        <v>21.277373799403101</v>
      </c>
      <c r="K60" s="82">
        <f t="shared" si="41"/>
        <v>26.501423942761541</v>
      </c>
    </row>
    <row r="61" spans="2:21" s="13" customFormat="1" x14ac:dyDescent="0.2">
      <c r="B61" s="7" t="s">
        <v>12</v>
      </c>
      <c r="C61" s="82">
        <v>0</v>
      </c>
      <c r="D61" s="82">
        <v>7.95</v>
      </c>
      <c r="E61" s="82">
        <f t="shared" si="42"/>
        <v>7.95</v>
      </c>
      <c r="F61" s="82">
        <v>1.6132664466350088</v>
      </c>
      <c r="G61" s="82">
        <v>8.0990389493341191</v>
      </c>
      <c r="H61" s="82">
        <f t="shared" si="43"/>
        <v>9.7123053959691283</v>
      </c>
      <c r="I61" s="82">
        <f t="shared" si="44"/>
        <v>1.6132664466350088</v>
      </c>
      <c r="J61" s="82">
        <f t="shared" si="40"/>
        <v>16.049038949334118</v>
      </c>
      <c r="K61" s="82">
        <f t="shared" si="41"/>
        <v>17.662305395969128</v>
      </c>
    </row>
    <row r="62" spans="2:21" s="13" customFormat="1" x14ac:dyDescent="0.2">
      <c r="B62" s="7" t="s">
        <v>9</v>
      </c>
      <c r="C62" s="82">
        <v>0.69504116848357422</v>
      </c>
      <c r="D62" s="82">
        <v>20.522211547949091</v>
      </c>
      <c r="E62" s="82">
        <f t="shared" si="42"/>
        <v>21.217252716432665</v>
      </c>
      <c r="F62" s="82">
        <v>7.0972644114134251</v>
      </c>
      <c r="G62" s="82">
        <v>23.242726491152968</v>
      </c>
      <c r="H62" s="82">
        <f t="shared" si="43"/>
        <v>30.339990902566392</v>
      </c>
      <c r="I62" s="82">
        <f t="shared" si="44"/>
        <v>7.7923055798969996</v>
      </c>
      <c r="J62" s="82">
        <f t="shared" si="40"/>
        <v>43.764938039102063</v>
      </c>
      <c r="K62" s="82">
        <f t="shared" si="41"/>
        <v>51.557243618999053</v>
      </c>
    </row>
    <row r="63" spans="2:21" s="13" customFormat="1" x14ac:dyDescent="0.2">
      <c r="B63" s="7" t="s">
        <v>15</v>
      </c>
      <c r="C63" s="82">
        <v>0</v>
      </c>
      <c r="D63" s="82">
        <v>0.99500000000000011</v>
      </c>
      <c r="E63" s="82">
        <f t="shared" si="42"/>
        <v>0.99500000000000011</v>
      </c>
      <c r="F63" s="82">
        <v>0</v>
      </c>
      <c r="G63" s="82">
        <v>0</v>
      </c>
      <c r="H63" s="82">
        <f t="shared" si="43"/>
        <v>0</v>
      </c>
      <c r="I63" s="82">
        <f t="shared" si="44"/>
        <v>0</v>
      </c>
      <c r="J63" s="82">
        <f t="shared" si="40"/>
        <v>0.99500000000000011</v>
      </c>
      <c r="K63" s="82">
        <f t="shared" si="41"/>
        <v>0.99500000000000011</v>
      </c>
    </row>
    <row r="64" spans="2:21" s="13" customFormat="1" x14ac:dyDescent="0.2">
      <c r="B64" s="7" t="s">
        <v>10</v>
      </c>
      <c r="C64" s="82">
        <v>0</v>
      </c>
      <c r="D64" s="82">
        <v>0.51005</v>
      </c>
      <c r="E64" s="82">
        <f t="shared" si="42"/>
        <v>0.51005</v>
      </c>
      <c r="F64" s="82">
        <v>1.8766123577648042</v>
      </c>
      <c r="G64" s="82">
        <v>6.8374158694674083</v>
      </c>
      <c r="H64" s="82">
        <f t="shared" si="43"/>
        <v>8.7140282272322125</v>
      </c>
      <c r="I64" s="82">
        <f t="shared" si="44"/>
        <v>1.8766123577648042</v>
      </c>
      <c r="J64" s="82">
        <f t="shared" si="40"/>
        <v>7.347465869467408</v>
      </c>
      <c r="K64" s="82">
        <f t="shared" si="41"/>
        <v>9.2240782272322122</v>
      </c>
    </row>
    <row r="65" spans="2:17" s="13" customFormat="1" x14ac:dyDescent="0.2">
      <c r="B65" s="7" t="s">
        <v>11</v>
      </c>
      <c r="C65" s="82">
        <v>0</v>
      </c>
      <c r="D65" s="82">
        <v>0</v>
      </c>
      <c r="E65" s="82">
        <f t="shared" si="42"/>
        <v>0</v>
      </c>
      <c r="F65" s="82">
        <v>2.9380868763677657</v>
      </c>
      <c r="G65" s="82">
        <v>10.928584829853932</v>
      </c>
      <c r="H65" s="82">
        <f t="shared" si="43"/>
        <v>13.866671706221698</v>
      </c>
      <c r="I65" s="82">
        <f t="shared" si="44"/>
        <v>2.9380868763677657</v>
      </c>
      <c r="J65" s="82">
        <f t="shared" si="40"/>
        <v>10.928584829853932</v>
      </c>
      <c r="K65" s="82">
        <f t="shared" si="41"/>
        <v>13.866671706221698</v>
      </c>
    </row>
    <row r="66" spans="2:17" s="13" customFormat="1" x14ac:dyDescent="0.2">
      <c r="B66" s="186" t="s">
        <v>24</v>
      </c>
      <c r="C66" s="187">
        <f>SUM(C55:C65)</f>
        <v>3.1640411684835739</v>
      </c>
      <c r="D66" s="187">
        <f t="shared" ref="D66:K66" si="45">SUM(D55:D65)</f>
        <v>52.55353245465713</v>
      </c>
      <c r="E66" s="187">
        <f t="shared" si="45"/>
        <v>55.717573623140709</v>
      </c>
      <c r="F66" s="187">
        <f t="shared" si="45"/>
        <v>34.410194696106004</v>
      </c>
      <c r="G66" s="187">
        <f t="shared" si="45"/>
        <v>135.75392828210897</v>
      </c>
      <c r="H66" s="187">
        <f t="shared" si="45"/>
        <v>170.16412297821495</v>
      </c>
      <c r="I66" s="187">
        <f t="shared" si="45"/>
        <v>37.574235864589575</v>
      </c>
      <c r="J66" s="187">
        <f t="shared" si="45"/>
        <v>188.30746073676613</v>
      </c>
      <c r="K66" s="187">
        <f t="shared" si="45"/>
        <v>225.88169660135569</v>
      </c>
    </row>
    <row r="69" spans="2:17" s="13" customFormat="1" x14ac:dyDescent="0.2">
      <c r="B69" s="193" t="s">
        <v>322</v>
      </c>
      <c r="C69" s="194"/>
      <c r="D69" s="194"/>
      <c r="E69" s="194"/>
      <c r="F69" s="194"/>
      <c r="G69" s="194"/>
      <c r="H69" s="194"/>
      <c r="I69" s="194"/>
      <c r="J69" s="194"/>
      <c r="K69" s="194"/>
      <c r="L69" s="194"/>
      <c r="M69" s="194"/>
      <c r="N69" s="194"/>
      <c r="O69" s="194"/>
      <c r="P69" s="194"/>
      <c r="Q69" s="194"/>
    </row>
    <row r="70" spans="2:17" s="13" customFormat="1" x14ac:dyDescent="0.2"/>
    <row r="71" spans="2:17" s="13" customFormat="1" ht="63.75" x14ac:dyDescent="0.2">
      <c r="B71" s="5" t="s">
        <v>13</v>
      </c>
      <c r="C71" s="195" t="s">
        <v>323</v>
      </c>
      <c r="D71" s="195" t="s">
        <v>324</v>
      </c>
      <c r="E71" s="195" t="s">
        <v>325</v>
      </c>
      <c r="F71" s="195" t="s">
        <v>326</v>
      </c>
      <c r="G71" s="195" t="s">
        <v>327</v>
      </c>
      <c r="H71" s="195" t="s">
        <v>328</v>
      </c>
      <c r="I71" s="7" t="s">
        <v>329</v>
      </c>
      <c r="K71" s="196" t="s">
        <v>330</v>
      </c>
    </row>
    <row r="72" spans="2:17" s="13" customFormat="1" x14ac:dyDescent="0.2">
      <c r="B72" s="7" t="s">
        <v>4</v>
      </c>
      <c r="C72" s="82">
        <f>SUMIFS('BP costs'!$I$7:$I$66,'BP costs'!$B$7:$B$66,'Final allowances'!$B72)</f>
        <v>2498.0227597181793</v>
      </c>
      <c r="F72" s="82">
        <f>SUMIFS('Modelled costs'!$V$6:$V$65,'Modelled costs'!$A$6:$A$65,'Final allowances'!$B72)</f>
        <v>2120.6319157311482</v>
      </c>
      <c r="I72" s="197">
        <f>0-(F72-C72)/C72</f>
        <v>0.15107582287585217</v>
      </c>
    </row>
    <row r="73" spans="2:17" s="13" customFormat="1" x14ac:dyDescent="0.2">
      <c r="B73" s="7" t="s">
        <v>87</v>
      </c>
      <c r="C73" s="82">
        <f>SUMIFS('BP costs'!$I$7:$I$66,'BP costs'!$B$7:$B$66,'Final allowances'!$B73)</f>
        <v>21.445928579106688</v>
      </c>
      <c r="F73" s="82">
        <f>SUMIFS('Modelled costs'!$V$6:$V$65,'Modelled costs'!$A$6:$A$65,'Final allowances'!$B73)</f>
        <v>25.264406693615332</v>
      </c>
      <c r="I73" s="197">
        <f t="shared" ref="I73:I82" si="46">0-(F73-C73)/C73</f>
        <v>-0.17805142362680099</v>
      </c>
    </row>
    <row r="74" spans="2:17" s="13" customFormat="1" x14ac:dyDescent="0.2">
      <c r="B74" s="7" t="s">
        <v>5</v>
      </c>
      <c r="C74" s="82">
        <f>SUMIFS('BP costs'!$I$7:$I$66,'BP costs'!$B$7:$B$66,'Final allowances'!$B74)</f>
        <v>881.34500000000003</v>
      </c>
      <c r="F74" s="82">
        <f>SUMIFS('Modelled costs'!$V$6:$V$65,'Modelled costs'!$A$6:$A$65,'Final allowances'!$B74)</f>
        <v>872.58530180755702</v>
      </c>
      <c r="I74" s="197">
        <f t="shared" si="46"/>
        <v>9.9390116157044191E-3</v>
      </c>
    </row>
    <row r="75" spans="2:17" s="13" customFormat="1" x14ac:dyDescent="0.2">
      <c r="B75" s="7" t="s">
        <v>6</v>
      </c>
      <c r="C75" s="82">
        <f>SUMIFS('BP costs'!$I$7:$I$66,'BP costs'!$B$7:$B$66,'Final allowances'!$B75)</f>
        <v>2231.7129548895718</v>
      </c>
      <c r="F75" s="82">
        <f>SUMIFS('Modelled costs'!$V$6:$V$65,'Modelled costs'!$A$6:$A$65,'Final allowances'!$B75)</f>
        <v>2183.1923950432665</v>
      </c>
      <c r="I75" s="197">
        <f t="shared" si="46"/>
        <v>2.1741398122011705E-2</v>
      </c>
    </row>
    <row r="76" spans="2:17" s="13" customFormat="1" x14ac:dyDescent="0.2">
      <c r="B76" s="7" t="s">
        <v>7</v>
      </c>
      <c r="C76" s="82">
        <f>SUMIFS('BP costs'!$I$7:$I$66,'BP costs'!$B$7:$B$66,'Final allowances'!$B76)</f>
        <v>1655.1970000000001</v>
      </c>
      <c r="F76" s="82">
        <f>SUMIFS('Modelled costs'!$V$6:$V$65,'Modelled costs'!$A$6:$A$65,'Final allowances'!$B76)</f>
        <v>1600.8869893852648</v>
      </c>
      <c r="I76" s="197">
        <f t="shared" si="46"/>
        <v>3.2811810687631345E-2</v>
      </c>
    </row>
    <row r="77" spans="2:17" s="13" customFormat="1" x14ac:dyDescent="0.2">
      <c r="B77" s="7" t="s">
        <v>116</v>
      </c>
      <c r="C77" s="82">
        <f>SUMIFS('BP costs'!$I$7:$I$66,'BP costs'!$B$7:$B$66,'Final allowances'!$B77)</f>
        <v>2300.0598003020077</v>
      </c>
      <c r="F77" s="82">
        <f>SUMIFS('Modelled costs'!$V$6:$V$65,'Modelled costs'!$A$6:$A$65,'Final allowances'!$B77)</f>
        <v>2677.084159290026</v>
      </c>
      <c r="I77" s="197">
        <f t="shared" si="46"/>
        <v>-0.16391937241740992</v>
      </c>
    </row>
    <row r="78" spans="2:17" s="13" customFormat="1" x14ac:dyDescent="0.2">
      <c r="B78" s="7" t="s">
        <v>12</v>
      </c>
      <c r="C78" s="82">
        <f>SUMIFS('BP costs'!$I$7:$I$66,'BP costs'!$B$7:$B$66,'Final allowances'!$B78)</f>
        <v>770.44399999999996</v>
      </c>
      <c r="F78" s="82">
        <f>SUMIFS('Modelled costs'!$V$6:$V$65,'Modelled costs'!$A$6:$A$65,'Final allowances'!$B78)</f>
        <v>750.84667932034461</v>
      </c>
      <c r="I78" s="197">
        <f t="shared" si="46"/>
        <v>2.5436398595686846E-2</v>
      </c>
    </row>
    <row r="79" spans="2:17" s="13" customFormat="1" x14ac:dyDescent="0.2">
      <c r="B79" s="7" t="s">
        <v>9</v>
      </c>
      <c r="C79" s="82">
        <f>SUMIFS('BP costs'!$I$7:$I$66,'BP costs'!$B$7:$B$66,'Final allowances'!$B79)</f>
        <v>4083.4651333771581</v>
      </c>
      <c r="F79" s="82">
        <f>SUMIFS('Modelled costs'!$V$6:$V$65,'Modelled costs'!$A$6:$A$65,'Final allowances'!$B79)</f>
        <v>4013.7712309883632</v>
      </c>
      <c r="I79" s="197">
        <f t="shared" si="46"/>
        <v>1.7067343570325959E-2</v>
      </c>
    </row>
    <row r="80" spans="2:17" s="13" customFormat="1" x14ac:dyDescent="0.2">
      <c r="B80" s="7" t="s">
        <v>15</v>
      </c>
      <c r="C80" s="82">
        <f>SUMIFS('BP costs'!$I$7:$I$66,'BP costs'!$B$7:$B$66,'Final allowances'!$B80)</f>
        <v>1140.5810000000001</v>
      </c>
      <c r="F80" s="82">
        <f>SUMIFS('Modelled costs'!$V$6:$V$65,'Modelled costs'!$A$6:$A$65,'Final allowances'!$B80)</f>
        <v>1170.9980542109795</v>
      </c>
      <c r="I80" s="197">
        <f t="shared" si="46"/>
        <v>-2.6668035160132737E-2</v>
      </c>
    </row>
    <row r="81" spans="2:9" s="13" customFormat="1" x14ac:dyDescent="0.2">
      <c r="B81" s="7" t="s">
        <v>10</v>
      </c>
      <c r="C81" s="82">
        <f>SUMIFS('BP costs'!$I$7:$I$66,'BP costs'!$B$7:$B$66,'Final allowances'!$B81)</f>
        <v>1001.9662308479287</v>
      </c>
      <c r="F81" s="82">
        <f>SUMIFS('Modelled costs'!$V$6:$V$65,'Modelled costs'!$A$6:$A$65,'Final allowances'!$B81)</f>
        <v>972.85545730067156</v>
      </c>
      <c r="I81" s="197">
        <f t="shared" si="46"/>
        <v>2.9053647369554306E-2</v>
      </c>
    </row>
    <row r="82" spans="2:9" s="13" customFormat="1" x14ac:dyDescent="0.2">
      <c r="B82" s="7" t="s">
        <v>11</v>
      </c>
      <c r="C82" s="82">
        <f>SUMIFS('BP costs'!$I$7:$I$66,'BP costs'!$B$7:$B$66,'Final allowances'!$B82)</f>
        <v>1923.183</v>
      </c>
      <c r="F82" s="82">
        <f>SUMIFS('Modelled costs'!$V$6:$V$65,'Modelled costs'!$A$6:$A$65,'Final allowances'!$B82)</f>
        <v>1634.032972955551</v>
      </c>
      <c r="I82" s="197">
        <f t="shared" si="46"/>
        <v>0.15034972077251565</v>
      </c>
    </row>
  </sheetData>
  <mergeCells count="1">
    <mergeCell ref="X3:AK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sheetPr>
  <dimension ref="A1:AJ63"/>
  <sheetViews>
    <sheetView zoomScale="80" zoomScaleNormal="80" workbookViewId="0">
      <pane xSplit="3" ySplit="4" topLeftCell="D5" activePane="bottomRight" state="frozen"/>
      <selection pane="topRight" activeCell="D1" sqref="D1"/>
      <selection pane="bottomLeft" activeCell="A5" sqref="A5"/>
      <selection pane="bottomRight"/>
    </sheetView>
  </sheetViews>
  <sheetFormatPr defaultRowHeight="14.25" x14ac:dyDescent="0.2"/>
  <cols>
    <col min="2" max="2" width="11" customWidth="1"/>
    <col min="3" max="4" width="9.875" customWidth="1"/>
    <col min="5" max="5" width="13.375" customWidth="1"/>
    <col min="6" max="6" width="12.125" customWidth="1"/>
    <col min="7" max="7" width="12" customWidth="1"/>
    <col min="8" max="9" width="9.875" customWidth="1"/>
    <col min="10" max="10" width="19" bestFit="1" customWidth="1"/>
    <col min="11" max="13" width="9.875" customWidth="1"/>
    <col min="14" max="15" width="16.5" customWidth="1"/>
    <col min="16" max="16" width="16.625" customWidth="1"/>
    <col min="17" max="20" width="18.5" customWidth="1"/>
    <col min="21" max="30" width="14.125" customWidth="1"/>
    <col min="31" max="31" width="22.125" customWidth="1"/>
    <col min="32" max="32" width="21.5" customWidth="1"/>
    <col min="33" max="33" width="24.5" customWidth="1"/>
    <col min="34" max="36" width="19.125" customWidth="1"/>
  </cols>
  <sheetData>
    <row r="1" spans="1:36" x14ac:dyDescent="0.2">
      <c r="A1" s="224"/>
      <c r="B1" s="225"/>
    </row>
    <row r="2" spans="1:36" ht="52.5" customHeight="1" x14ac:dyDescent="0.2">
      <c r="B2" s="175"/>
      <c r="E2" s="121" t="s">
        <v>354</v>
      </c>
      <c r="F2" s="121"/>
      <c r="G2" s="171"/>
      <c r="H2" s="171" t="s">
        <v>355</v>
      </c>
      <c r="I2" s="68"/>
      <c r="J2" s="68"/>
      <c r="K2" s="68"/>
      <c r="L2" s="68"/>
      <c r="M2" s="68"/>
      <c r="N2" s="68"/>
      <c r="O2" s="68"/>
      <c r="P2" s="121" t="s">
        <v>267</v>
      </c>
      <c r="Q2" s="122"/>
      <c r="R2" s="122"/>
      <c r="S2" s="121" t="s">
        <v>268</v>
      </c>
      <c r="T2" s="122"/>
      <c r="U2" s="122"/>
      <c r="V2" s="122"/>
      <c r="W2" s="134"/>
      <c r="X2" s="134"/>
      <c r="Y2" s="134"/>
      <c r="Z2" s="134"/>
      <c r="AA2" s="210"/>
      <c r="AB2" s="210"/>
      <c r="AC2" s="210"/>
      <c r="AD2" s="210"/>
      <c r="AE2" s="210"/>
      <c r="AF2" s="210"/>
      <c r="AG2" s="210"/>
      <c r="AH2" s="210"/>
      <c r="AI2" s="210"/>
      <c r="AJ2" s="210"/>
    </row>
    <row r="3" spans="1:36" ht="24.75" customHeight="1" x14ac:dyDescent="0.2">
      <c r="E3" s="116" t="s">
        <v>316</v>
      </c>
      <c r="F3" s="116" t="s">
        <v>317</v>
      </c>
      <c r="G3" s="116" t="s">
        <v>318</v>
      </c>
      <c r="H3" s="31"/>
      <c r="I3" s="31"/>
      <c r="J3" s="173" t="s">
        <v>251</v>
      </c>
      <c r="K3" s="31"/>
      <c r="L3" s="31"/>
      <c r="M3" s="173" t="s">
        <v>252</v>
      </c>
      <c r="N3" s="173" t="s">
        <v>253</v>
      </c>
      <c r="O3" s="209" t="s">
        <v>373</v>
      </c>
      <c r="P3" s="117" t="s">
        <v>319</v>
      </c>
      <c r="Q3" s="117" t="s">
        <v>320</v>
      </c>
      <c r="R3" s="117" t="s">
        <v>321</v>
      </c>
      <c r="S3" s="31"/>
      <c r="T3" s="31"/>
      <c r="U3" s="173" t="s">
        <v>254</v>
      </c>
      <c r="V3" s="31"/>
      <c r="W3" s="31"/>
      <c r="X3" s="173" t="s">
        <v>255</v>
      </c>
      <c r="Y3" s="173" t="s">
        <v>256</v>
      </c>
      <c r="Z3" s="209" t="s">
        <v>371</v>
      </c>
      <c r="AA3" s="174" t="s">
        <v>260</v>
      </c>
      <c r="AB3" s="174" t="s">
        <v>261</v>
      </c>
      <c r="AC3" s="174" t="s">
        <v>262</v>
      </c>
      <c r="AD3" s="174" t="s">
        <v>257</v>
      </c>
      <c r="AE3" s="174" t="s">
        <v>258</v>
      </c>
      <c r="AF3" s="174" t="s">
        <v>259</v>
      </c>
      <c r="AG3" s="174" t="s">
        <v>333</v>
      </c>
      <c r="AH3" s="174" t="s">
        <v>334</v>
      </c>
      <c r="AI3" s="174" t="s">
        <v>335</v>
      </c>
      <c r="AJ3" s="174" t="s">
        <v>336</v>
      </c>
    </row>
    <row r="4" spans="1:36" ht="114.75" x14ac:dyDescent="0.2">
      <c r="A4" s="71" t="s">
        <v>148</v>
      </c>
      <c r="B4" s="71" t="s">
        <v>13</v>
      </c>
      <c r="C4" s="92" t="s">
        <v>115</v>
      </c>
      <c r="D4" s="92"/>
      <c r="E4" s="116" t="s">
        <v>269</v>
      </c>
      <c r="F4" s="116" t="s">
        <v>270</v>
      </c>
      <c r="G4" s="116" t="s">
        <v>271</v>
      </c>
      <c r="H4" s="31" t="s">
        <v>337</v>
      </c>
      <c r="I4" s="31" t="s">
        <v>338</v>
      </c>
      <c r="J4" s="31" t="s">
        <v>339</v>
      </c>
      <c r="K4" s="31" t="s">
        <v>340</v>
      </c>
      <c r="L4" s="31" t="s">
        <v>426</v>
      </c>
      <c r="M4" s="31" t="s">
        <v>341</v>
      </c>
      <c r="N4" s="31" t="s">
        <v>342</v>
      </c>
      <c r="O4" s="209" t="s">
        <v>370</v>
      </c>
      <c r="P4" s="117" t="s">
        <v>272</v>
      </c>
      <c r="Q4" s="117" t="s">
        <v>273</v>
      </c>
      <c r="R4" s="117" t="s">
        <v>274</v>
      </c>
      <c r="S4" s="31" t="s">
        <v>343</v>
      </c>
      <c r="T4" s="31" t="s">
        <v>344</v>
      </c>
      <c r="U4" s="31" t="s">
        <v>345</v>
      </c>
      <c r="V4" s="31" t="s">
        <v>427</v>
      </c>
      <c r="W4" s="31" t="s">
        <v>346</v>
      </c>
      <c r="X4" s="31" t="s">
        <v>347</v>
      </c>
      <c r="Y4" s="31" t="s">
        <v>348</v>
      </c>
      <c r="Z4" s="209" t="s">
        <v>372</v>
      </c>
      <c r="AA4" s="118" t="s">
        <v>248</v>
      </c>
      <c r="AB4" s="118" t="s">
        <v>249</v>
      </c>
      <c r="AC4" s="118" t="s">
        <v>185</v>
      </c>
      <c r="AD4" s="112" t="s">
        <v>245</v>
      </c>
      <c r="AE4" s="112" t="s">
        <v>246</v>
      </c>
      <c r="AF4" s="112" t="s">
        <v>247</v>
      </c>
      <c r="AG4" s="116" t="s">
        <v>349</v>
      </c>
      <c r="AH4" s="116" t="s">
        <v>350</v>
      </c>
      <c r="AI4" s="116" t="s">
        <v>351</v>
      </c>
      <c r="AJ4" s="116" t="s">
        <v>352</v>
      </c>
    </row>
    <row r="5" spans="1:36" x14ac:dyDescent="0.2">
      <c r="A5" s="3" t="s">
        <v>186</v>
      </c>
      <c r="B5" s="7" t="s">
        <v>4</v>
      </c>
      <c r="C5" s="7" t="s">
        <v>16</v>
      </c>
      <c r="D5" s="7">
        <v>2021</v>
      </c>
      <c r="E5" s="208">
        <v>217.57362382700001</v>
      </c>
      <c r="F5" s="208">
        <v>20.8671754487039</v>
      </c>
      <c r="G5" s="208">
        <v>125.536342619199</v>
      </c>
      <c r="H5" s="208">
        <f>+E5/(SUM(E5:G5))</f>
        <v>0.59776727377518557</v>
      </c>
      <c r="I5" s="208">
        <f>SUM(F5:G5)/SUM(E5:G5)</f>
        <v>0.40223272622481437</v>
      </c>
      <c r="J5" s="208">
        <f>(INDEX('Final allowances'!$T$21:$T$32, MATCH('Financial model inputs '!$B5, 'Final allowances'!$B$21:$B$32,0))/5)*H5</f>
        <v>216.96543716014963</v>
      </c>
      <c r="K5" s="208">
        <f>(INDEX('Final allowances'!$T$21:$T$32, MATCH('Financial model inputs '!$B5, 'Final allowances'!$B$21:$B$32,0))/5)*I5</f>
        <v>145.99427421700449</v>
      </c>
      <c r="L5" s="208">
        <f>(INDEX('Final allowances'!$Q$38:$Q$50, MATCH('Financial model inputs '!$B5, 'Final allowances'!$B$38:$B$50,0))/5)</f>
        <v>139.90450276633348</v>
      </c>
      <c r="M5" s="208">
        <f>SUM(K5:L5)</f>
        <v>285.89877698333794</v>
      </c>
      <c r="N5" s="208">
        <f>INDEX('Final allowances'!$J$5:$J$16,MATCH('Financial model inputs '!$B5,'Final allowances'!$B$5:$B$16,0))/5</f>
        <v>510.44502282982529</v>
      </c>
      <c r="O5" s="208">
        <f>INDEX('Final allowances'!$G$5:$G$16,MATCH('Financial model inputs '!$B5,'Final allowances'!$B$5:$B$16,0))/5</f>
        <v>502.86421414348763</v>
      </c>
      <c r="P5" s="208">
        <v>79.556761988999995</v>
      </c>
      <c r="Q5" s="208">
        <v>0</v>
      </c>
      <c r="R5" s="208">
        <v>15.082530755094099</v>
      </c>
      <c r="S5" s="208">
        <f>+P5/(SUM(P5:R5))</f>
        <v>0.84063140881792664</v>
      </c>
      <c r="T5" s="208">
        <f>SUM(Q5:R5)/SUM(P5:R5)</f>
        <v>0.15936859118207342</v>
      </c>
      <c r="U5" s="208">
        <f>(INDEX('Final allowances'!$S$21:$S$32, MATCH('Financial model inputs '!$B5, 'Final allowances'!$B$21:$B$32,0))/5)*S5</f>
        <v>54.70300951159485</v>
      </c>
      <c r="V5" s="208">
        <f>(INDEX('Final allowances'!$S$21:$S$32, MATCH('Financial model inputs '!$B5, 'Final allowances'!$B$21:$B$32,0))/5)*T5</f>
        <v>10.370706433086255</v>
      </c>
      <c r="W5" s="208">
        <f>(INDEX('Final allowances'!$P$37:$P$50, MATCH('Financial model inputs '!$B5, 'Final allowances'!$B$37:$B$50,0))/5)</f>
        <v>0.54655199566445822</v>
      </c>
      <c r="X5" s="208">
        <f>SUM(V5:W5)</f>
        <v>10.917258428750714</v>
      </c>
      <c r="Y5" s="208">
        <f>INDEX('Final allowances'!$I$6:$I$17,MATCH('Financial model inputs '!$B5,'Final allowances'!$B$6:$B$17,0))/5</f>
        <v>68.516747871532374</v>
      </c>
      <c r="Z5" s="208">
        <f>INDEX('Final allowances'!$F$6:$F$17,MATCH('Financial model inputs '!$B5,'Final allowances'!$B$6:$B$17,0))/5</f>
        <v>65.620267940345556</v>
      </c>
      <c r="AA5" s="208">
        <v>10.143386092251456</v>
      </c>
      <c r="AB5" s="208">
        <v>4.0041467914012836</v>
      </c>
      <c r="AC5" s="208">
        <v>0</v>
      </c>
      <c r="AD5" s="119"/>
      <c r="AE5" s="119"/>
      <c r="AF5" s="119"/>
      <c r="AG5" s="81">
        <v>0</v>
      </c>
      <c r="AH5" s="81">
        <v>1.3620000000000001</v>
      </c>
      <c r="AI5" s="81">
        <v>0</v>
      </c>
      <c r="AJ5" s="81">
        <v>0</v>
      </c>
    </row>
    <row r="6" spans="1:36" x14ac:dyDescent="0.2">
      <c r="A6" s="3" t="s">
        <v>187</v>
      </c>
      <c r="B6" s="7" t="s">
        <v>4</v>
      </c>
      <c r="C6" s="7" t="s">
        <v>17</v>
      </c>
      <c r="D6" s="7">
        <v>2022</v>
      </c>
      <c r="E6" s="208">
        <v>217.99280630499999</v>
      </c>
      <c r="F6" s="208">
        <v>34.159573174067901</v>
      </c>
      <c r="G6" s="208">
        <v>111.7183027199697</v>
      </c>
      <c r="H6" s="208">
        <f t="shared" ref="H6:H59" si="0">+E6/(SUM(E6:G6))</f>
        <v>0.59909417540201204</v>
      </c>
      <c r="I6" s="208">
        <f t="shared" ref="I6:I59" si="1">SUM(F6:G6)/SUM(E6:G6)</f>
        <v>0.40090582459798801</v>
      </c>
      <c r="J6" s="208">
        <f>(INDEX('Final allowances'!$T$21:$T$32, MATCH('Financial model inputs '!$B6, 'Final allowances'!$B$21:$B$32,0))/5)*H6</f>
        <v>217.44704899164844</v>
      </c>
      <c r="K6" s="208">
        <f>(INDEX('Final allowances'!$T$21:$T$32, MATCH('Financial model inputs '!$B6, 'Final allowances'!$B$21:$B$32,0))/5)*I6</f>
        <v>145.51266238550571</v>
      </c>
      <c r="L6" s="208">
        <f>(INDEX('Final allowances'!$Q$38:$Q$50, MATCH('Financial model inputs '!$B6, 'Final allowances'!$B$38:$B$50,0))/5)</f>
        <v>139.90450276633348</v>
      </c>
      <c r="M6" s="208">
        <f t="shared" ref="M6:M59" si="2">SUM(K6:L6)</f>
        <v>285.41716515183919</v>
      </c>
      <c r="N6" s="208">
        <f>INDEX('Final allowances'!$J$5:$J$16,MATCH('Financial model inputs '!$B6,'Final allowances'!$B$5:$B$16,0))/5</f>
        <v>510.44502282982529</v>
      </c>
      <c r="O6" s="208">
        <f>INDEX('Final allowances'!$G$5:$G$16,MATCH('Financial model inputs '!$B6,'Final allowances'!$B$5:$B$16,0))/5</f>
        <v>502.86421414348763</v>
      </c>
      <c r="P6" s="208">
        <v>80.706357623000002</v>
      </c>
      <c r="Q6" s="208">
        <v>0</v>
      </c>
      <c r="R6" s="208">
        <v>16.620733678411256</v>
      </c>
      <c r="S6" s="208">
        <f t="shared" ref="S6:S59" si="3">+P6/(SUM(P6:R6))</f>
        <v>0.82922808586831509</v>
      </c>
      <c r="T6" s="208">
        <f t="shared" ref="T6:T59" si="4">SUM(Q6:R6)/SUM(P6:R6)</f>
        <v>0.17077191413168485</v>
      </c>
      <c r="U6" s="208">
        <f>(INDEX('Final allowances'!$S$21:$S$32, MATCH('Financial model inputs '!$B6, 'Final allowances'!$B$21:$B$32,0))/5)*S6</f>
        <v>53.960952913146365</v>
      </c>
      <c r="V6" s="208">
        <f>(INDEX('Final allowances'!$S$21:$S$32, MATCH('Financial model inputs '!$B6, 'Final allowances'!$B$21:$B$32,0))/5)*T6</f>
        <v>11.112763031534731</v>
      </c>
      <c r="W6" s="208">
        <f>(INDEX('Final allowances'!$P$37:$P$50, MATCH('Financial model inputs '!$B6, 'Final allowances'!$B$37:$B$50,0))/5)</f>
        <v>0.54655199566445822</v>
      </c>
      <c r="X6" s="208">
        <f t="shared" ref="X6:X59" si="5">SUM(V6:W6)</f>
        <v>11.65931502719919</v>
      </c>
      <c r="Y6" s="208">
        <f>INDEX('Final allowances'!$I$6:$I$17,MATCH('Financial model inputs '!$B6,'Final allowances'!$B$6:$B$17,0))/5</f>
        <v>68.516747871532374</v>
      </c>
      <c r="Z6" s="208">
        <f>INDEX('Final allowances'!$F$6:$F$17,MATCH('Financial model inputs '!$B6,'Final allowances'!$B$6:$B$17,0))/5</f>
        <v>65.620267940345556</v>
      </c>
      <c r="AA6" s="208">
        <v>10.144239237329179</v>
      </c>
      <c r="AB6" s="208">
        <v>4.0047371007748342</v>
      </c>
      <c r="AC6" s="208">
        <v>0</v>
      </c>
      <c r="AD6" s="119"/>
      <c r="AE6" s="119"/>
      <c r="AF6" s="119"/>
      <c r="AG6" s="81">
        <v>0</v>
      </c>
      <c r="AH6" s="81">
        <v>1.444</v>
      </c>
      <c r="AI6" s="81">
        <v>0</v>
      </c>
      <c r="AJ6" s="81">
        <v>0</v>
      </c>
    </row>
    <row r="7" spans="1:36" x14ac:dyDescent="0.2">
      <c r="A7" s="3" t="s">
        <v>188</v>
      </c>
      <c r="B7" s="7" t="s">
        <v>4</v>
      </c>
      <c r="C7" s="7" t="s">
        <v>18</v>
      </c>
      <c r="D7" s="7">
        <v>2023</v>
      </c>
      <c r="E7" s="208">
        <v>221.411338403</v>
      </c>
      <c r="F7" s="208">
        <v>27.122428454033699</v>
      </c>
      <c r="G7" s="208">
        <v>76.042419073930503</v>
      </c>
      <c r="H7" s="208">
        <f t="shared" si="0"/>
        <v>0.68215521655705558</v>
      </c>
      <c r="I7" s="208">
        <f t="shared" si="1"/>
        <v>0.31784478344294448</v>
      </c>
      <c r="J7" s="208">
        <f>(INDEX('Final allowances'!$T$21:$T$32, MATCH('Financial model inputs '!$B7, 'Final allowances'!$B$21:$B$32,0))/5)*H7</f>
        <v>247.59486051596895</v>
      </c>
      <c r="K7" s="208">
        <f>(INDEX('Final allowances'!$T$21:$T$32, MATCH('Financial model inputs '!$B7, 'Final allowances'!$B$21:$B$32,0))/5)*I7</f>
        <v>115.36485086118519</v>
      </c>
      <c r="L7" s="208">
        <f>(INDEX('Final allowances'!$Q$38:$Q$50, MATCH('Financial model inputs '!$B7, 'Final allowances'!$B$38:$B$50,0))/5)</f>
        <v>139.90450276633348</v>
      </c>
      <c r="M7" s="208">
        <f t="shared" si="2"/>
        <v>255.26935362751868</v>
      </c>
      <c r="N7" s="208">
        <f>INDEX('Final allowances'!$J$5:$J$16,MATCH('Financial model inputs '!$B7,'Final allowances'!$B$5:$B$16,0))/5</f>
        <v>510.44502282982529</v>
      </c>
      <c r="O7" s="208">
        <f>INDEX('Final allowances'!$G$5:$G$16,MATCH('Financial model inputs '!$B7,'Final allowances'!$B$5:$B$16,0))/5</f>
        <v>502.86421414348763</v>
      </c>
      <c r="P7" s="208">
        <v>78.318493185999998</v>
      </c>
      <c r="Q7" s="208">
        <v>0</v>
      </c>
      <c r="R7" s="208">
        <v>13.40983554240383</v>
      </c>
      <c r="S7" s="208">
        <f t="shared" si="3"/>
        <v>0.85380922416989979</v>
      </c>
      <c r="T7" s="208">
        <f t="shared" si="4"/>
        <v>0.14619077583010026</v>
      </c>
      <c r="U7" s="208">
        <f>(INDEX('Final allowances'!$S$21:$S$32, MATCH('Financial model inputs '!$B7, 'Final allowances'!$B$21:$B$32,0))/5)*S7</f>
        <v>55.560538924580605</v>
      </c>
      <c r="V7" s="208">
        <f>(INDEX('Final allowances'!$S$21:$S$32, MATCH('Financial model inputs '!$B7, 'Final allowances'!$B$21:$B$32,0))/5)*T7</f>
        <v>9.5131770201004962</v>
      </c>
      <c r="W7" s="208">
        <f>(INDEX('Final allowances'!$P$37:$P$50, MATCH('Financial model inputs '!$B7, 'Final allowances'!$B$37:$B$50,0))/5)</f>
        <v>0.54655199566445822</v>
      </c>
      <c r="X7" s="208">
        <f t="shared" si="5"/>
        <v>10.059729015764955</v>
      </c>
      <c r="Y7" s="208">
        <f>INDEX('Final allowances'!$I$6:$I$17,MATCH('Financial model inputs '!$B7,'Final allowances'!$B$6:$B$17,0))/5</f>
        <v>68.516747871532374</v>
      </c>
      <c r="Z7" s="208">
        <f>INDEX('Final allowances'!$F$6:$F$17,MATCH('Financial model inputs '!$B7,'Final allowances'!$B$6:$B$17,0))/5</f>
        <v>65.620267940345556</v>
      </c>
      <c r="AA7" s="208">
        <v>10.143418102107685</v>
      </c>
      <c r="AB7" s="208">
        <v>4.0045157637579436</v>
      </c>
      <c r="AC7" s="208">
        <v>0</v>
      </c>
      <c r="AD7" s="119"/>
      <c r="AE7" s="119"/>
      <c r="AF7" s="119"/>
      <c r="AG7" s="81">
        <v>0</v>
      </c>
      <c r="AH7" s="81">
        <v>1.4750000000000001</v>
      </c>
      <c r="AI7" s="81">
        <v>0</v>
      </c>
      <c r="AJ7" s="81">
        <v>0</v>
      </c>
    </row>
    <row r="8" spans="1:36" x14ac:dyDescent="0.2">
      <c r="A8" s="3" t="s">
        <v>189</v>
      </c>
      <c r="B8" s="7" t="s">
        <v>4</v>
      </c>
      <c r="C8" s="7" t="s">
        <v>19</v>
      </c>
      <c r="D8" s="7">
        <v>2024</v>
      </c>
      <c r="E8" s="208">
        <v>214.48318295199999</v>
      </c>
      <c r="F8" s="208">
        <v>22.5662759011615</v>
      </c>
      <c r="G8" s="208">
        <v>75.459444559183794</v>
      </c>
      <c r="H8" s="208">
        <f t="shared" si="0"/>
        <v>0.6863266313695916</v>
      </c>
      <c r="I8" s="208">
        <f t="shared" si="1"/>
        <v>0.31367336863040851</v>
      </c>
      <c r="J8" s="208">
        <f>(INDEX('Final allowances'!$T$21:$T$32, MATCH('Financial model inputs '!$B8, 'Final allowances'!$B$21:$B$32,0))/5)*H8</f>
        <v>249.10891603236141</v>
      </c>
      <c r="K8" s="208">
        <f>(INDEX('Final allowances'!$T$21:$T$32, MATCH('Financial model inputs '!$B8, 'Final allowances'!$B$21:$B$32,0))/5)*I8</f>
        <v>113.85079534479274</v>
      </c>
      <c r="L8" s="208">
        <f>(INDEX('Final allowances'!$Q$38:$Q$50, MATCH('Financial model inputs '!$B8, 'Final allowances'!$B$38:$B$50,0))/5)</f>
        <v>139.90450276633348</v>
      </c>
      <c r="M8" s="208">
        <f t="shared" si="2"/>
        <v>253.75529811112622</v>
      </c>
      <c r="N8" s="208">
        <f>INDEX('Final allowances'!$J$5:$J$16,MATCH('Financial model inputs '!$B8,'Final allowances'!$B$5:$B$16,0))/5</f>
        <v>510.44502282982529</v>
      </c>
      <c r="O8" s="208">
        <f>INDEX('Final allowances'!$G$5:$G$16,MATCH('Financial model inputs '!$B8,'Final allowances'!$B$5:$B$16,0))/5</f>
        <v>502.86421414348763</v>
      </c>
      <c r="P8" s="208">
        <v>77.276534411</v>
      </c>
      <c r="Q8" s="208">
        <v>0</v>
      </c>
      <c r="R8" s="208">
        <v>11.392427482256171</v>
      </c>
      <c r="S8" s="208">
        <f t="shared" si="3"/>
        <v>0.87151730166897745</v>
      </c>
      <c r="T8" s="208">
        <f t="shared" si="4"/>
        <v>0.1284826983310226</v>
      </c>
      <c r="U8" s="208">
        <f>(INDEX('Final allowances'!$S$21:$S$32, MATCH('Financial model inputs '!$B8, 'Final allowances'!$B$21:$B$32,0))/5)*S8</f>
        <v>56.712869329681986</v>
      </c>
      <c r="V8" s="208">
        <f>(INDEX('Final allowances'!$S$21:$S$32, MATCH('Financial model inputs '!$B8, 'Final allowances'!$B$21:$B$32,0))/5)*T8</f>
        <v>8.360846614999117</v>
      </c>
      <c r="W8" s="208">
        <f>(INDEX('Final allowances'!$P$37:$P$50, MATCH('Financial model inputs '!$B8, 'Final allowances'!$B$37:$B$50,0))/5)</f>
        <v>0.54655199566445822</v>
      </c>
      <c r="X8" s="208">
        <f t="shared" si="5"/>
        <v>8.9073986106635754</v>
      </c>
      <c r="Y8" s="208">
        <f>INDEX('Final allowances'!$I$6:$I$17,MATCH('Financial model inputs '!$B8,'Final allowances'!$B$6:$B$17,0))/5</f>
        <v>68.516747871532374</v>
      </c>
      <c r="Z8" s="208">
        <f>INDEX('Final allowances'!$F$6:$F$17,MATCH('Financial model inputs '!$B8,'Final allowances'!$B$6:$B$17,0))/5</f>
        <v>65.620267940345556</v>
      </c>
      <c r="AA8" s="208">
        <v>0</v>
      </c>
      <c r="AB8" s="208">
        <v>0</v>
      </c>
      <c r="AC8" s="208">
        <v>0</v>
      </c>
      <c r="AD8" s="119"/>
      <c r="AE8" s="119"/>
      <c r="AF8" s="119"/>
      <c r="AG8" s="81">
        <v>0</v>
      </c>
      <c r="AH8" s="81">
        <v>1.766</v>
      </c>
      <c r="AI8" s="81">
        <v>0</v>
      </c>
      <c r="AJ8" s="81">
        <v>0</v>
      </c>
    </row>
    <row r="9" spans="1:36" x14ac:dyDescent="0.2">
      <c r="A9" s="3" t="s">
        <v>190</v>
      </c>
      <c r="B9" s="7" t="s">
        <v>4</v>
      </c>
      <c r="C9" s="7" t="s">
        <v>20</v>
      </c>
      <c r="D9" s="7">
        <v>2025</v>
      </c>
      <c r="E9" s="208">
        <v>210.05435536299998</v>
      </c>
      <c r="F9" s="208">
        <v>17.564973315355299</v>
      </c>
      <c r="G9" s="208">
        <v>107.1729283963485</v>
      </c>
      <c r="H9" s="208">
        <f t="shared" si="0"/>
        <v>0.62741700539427214</v>
      </c>
      <c r="I9" s="208">
        <f t="shared" si="1"/>
        <v>0.3725829946057278</v>
      </c>
      <c r="J9" s="208">
        <f>(INDEX('Final allowances'!$T$21:$T$32, MATCH('Financial model inputs '!$B9, 'Final allowances'!$B$21:$B$32,0))/5)*H9</f>
        <v>227.72709519102338</v>
      </c>
      <c r="K9" s="208">
        <f>(INDEX('Final allowances'!$T$21:$T$32, MATCH('Financial model inputs '!$B9, 'Final allowances'!$B$21:$B$32,0))/5)*I9</f>
        <v>135.23261618613074</v>
      </c>
      <c r="L9" s="208">
        <f>(INDEX('Final allowances'!$Q$38:$Q$50, MATCH('Financial model inputs '!$B9, 'Final allowances'!$B$38:$B$50,0))/5)</f>
        <v>139.90450276633348</v>
      </c>
      <c r="M9" s="208">
        <f t="shared" si="2"/>
        <v>275.13711895246422</v>
      </c>
      <c r="N9" s="208">
        <f>INDEX('Final allowances'!$J$5:$J$16,MATCH('Financial model inputs '!$B9,'Final allowances'!$B$5:$B$16,0))/5</f>
        <v>510.44502282982529</v>
      </c>
      <c r="O9" s="208">
        <f>INDEX('Final allowances'!$G$5:$G$16,MATCH('Financial model inputs '!$B9,'Final allowances'!$B$5:$B$16,0))/5</f>
        <v>502.86421414348763</v>
      </c>
      <c r="P9" s="208">
        <v>75.570564302999998</v>
      </c>
      <c r="Q9" s="208">
        <v>0</v>
      </c>
      <c r="R9" s="208">
        <v>12.595366416530442</v>
      </c>
      <c r="S9" s="208">
        <f t="shared" si="3"/>
        <v>0.85714020921983725</v>
      </c>
      <c r="T9" s="208">
        <f t="shared" si="4"/>
        <v>0.14285979078016275</v>
      </c>
      <c r="U9" s="208">
        <f>(INDEX('Final allowances'!$S$21:$S$32, MATCH('Financial model inputs '!$B9, 'Final allowances'!$B$21:$B$32,0))/5)*S9</f>
        <v>55.777298499536215</v>
      </c>
      <c r="V9" s="208">
        <f>(INDEX('Final allowances'!$S$21:$S$32, MATCH('Financial model inputs '!$B9, 'Final allowances'!$B$21:$B$32,0))/5)*T9</f>
        <v>9.2964174451448827</v>
      </c>
      <c r="W9" s="208">
        <f>(INDEX('Final allowances'!$P$37:$P$50, MATCH('Financial model inputs '!$B9, 'Final allowances'!$B$37:$B$50,0))/5)</f>
        <v>0.54655199566445822</v>
      </c>
      <c r="X9" s="208">
        <f t="shared" si="5"/>
        <v>9.8429694408093411</v>
      </c>
      <c r="Y9" s="208">
        <f>INDEX('Final allowances'!$I$6:$I$17,MATCH('Financial model inputs '!$B9,'Final allowances'!$B$6:$B$17,0))/5</f>
        <v>68.516747871532374</v>
      </c>
      <c r="Z9" s="208">
        <f>INDEX('Final allowances'!$F$6:$F$17,MATCH('Financial model inputs '!$B9,'Final allowances'!$B$6:$B$17,0))/5</f>
        <v>65.620267940345556</v>
      </c>
      <c r="AA9" s="208">
        <v>0</v>
      </c>
      <c r="AB9" s="208">
        <v>0</v>
      </c>
      <c r="AC9" s="208">
        <v>0</v>
      </c>
      <c r="AD9" s="119"/>
      <c r="AE9" s="119"/>
      <c r="AF9" s="119"/>
      <c r="AG9" s="81">
        <v>0</v>
      </c>
      <c r="AH9" s="81">
        <v>1.4259999999999999</v>
      </c>
      <c r="AI9" s="81">
        <v>0</v>
      </c>
      <c r="AJ9" s="81">
        <v>0</v>
      </c>
    </row>
    <row r="10" spans="1:36" x14ac:dyDescent="0.2">
      <c r="A10" s="3" t="s">
        <v>191</v>
      </c>
      <c r="B10" s="7" t="s">
        <v>5</v>
      </c>
      <c r="C10" s="7" t="s">
        <v>16</v>
      </c>
      <c r="D10" s="7">
        <v>2021</v>
      </c>
      <c r="E10" s="208">
        <v>80.873999999999995</v>
      </c>
      <c r="F10" s="208">
        <v>14.503</v>
      </c>
      <c r="G10" s="208">
        <v>38.801000000000002</v>
      </c>
      <c r="H10" s="208">
        <f t="shared" si="0"/>
        <v>0.60273666323838482</v>
      </c>
      <c r="I10" s="208">
        <f t="shared" si="1"/>
        <v>0.39726333676161518</v>
      </c>
      <c r="J10" s="208">
        <f>(INDEX('Final allowances'!$T$21:$T$32, MATCH('Financial model inputs '!$B10, 'Final allowances'!$B$21:$B$32,0))/5)*H10</f>
        <v>90.152831569314998</v>
      </c>
      <c r="K10" s="208">
        <f>(INDEX('Final allowances'!$T$21:$T$32, MATCH('Financial model inputs '!$B10, 'Final allowances'!$B$21:$B$32,0))/5)*I10</f>
        <v>59.419671760649493</v>
      </c>
      <c r="L10" s="208">
        <f>(INDEX('Final allowances'!$Q$38:$Q$50, MATCH('Financial model inputs '!$B10, 'Final allowances'!$B$38:$B$50,0))/5)</f>
        <v>36.156548143903464</v>
      </c>
      <c r="M10" s="208">
        <f t="shared" si="2"/>
        <v>95.576219904552957</v>
      </c>
      <c r="N10" s="208">
        <f>INDEX('Final allowances'!$J$5:$J$16,MATCH('Financial model inputs '!$B10,'Final allowances'!$B$5:$B$16,0))/5</f>
        <v>188.0108183893939</v>
      </c>
      <c r="O10" s="208">
        <f>INDEX('Final allowances'!$G$5:$G$16,MATCH('Financial model inputs '!$B10,'Final allowances'!$B$5:$B$16,0))/5</f>
        <v>185.72905147386797</v>
      </c>
      <c r="P10" s="208">
        <v>6.1809999999999992</v>
      </c>
      <c r="Q10" s="208">
        <v>0</v>
      </c>
      <c r="R10" s="208">
        <v>8.8350000000000009</v>
      </c>
      <c r="S10" s="208">
        <f t="shared" si="3"/>
        <v>0.41162759722962167</v>
      </c>
      <c r="T10" s="208">
        <f t="shared" si="4"/>
        <v>0.58837240277037828</v>
      </c>
      <c r="U10" s="208">
        <f>(INDEX('Final allowances'!$S$21:$S$32, MATCH('Financial model inputs '!$B10, 'Final allowances'!$B$21:$B$32,0))/5)*S10</f>
        <v>10.252803771546322</v>
      </c>
      <c r="V10" s="208">
        <f>(INDEX('Final allowances'!$S$21:$S$32, MATCH('Financial model inputs '!$B10, 'Final allowances'!$B$21:$B$32,0))/5)*T10</f>
        <v>14.655156337423033</v>
      </c>
      <c r="W10" s="208">
        <f>(INDEX('Final allowances'!$P$37:$P$50, MATCH('Financial model inputs '!$B10, 'Final allowances'!$B$37:$B$50,0))/5)</f>
        <v>0</v>
      </c>
      <c r="X10" s="208">
        <f t="shared" si="5"/>
        <v>14.655156337423033</v>
      </c>
      <c r="Y10" s="208">
        <f>INDEX('Final allowances'!$I$6:$I$17,MATCH('Financial model inputs '!$B10,'Final allowances'!$B$6:$B$17,0))/5</f>
        <v>25.174358069589843</v>
      </c>
      <c r="Z10" s="208">
        <f>INDEX('Final allowances'!$F$6:$F$17,MATCH('Financial model inputs '!$B10,'Final allowances'!$B$6:$B$17,0))/5</f>
        <v>24.907960108969355</v>
      </c>
      <c r="AA10" s="208">
        <v>1.9797561787009224</v>
      </c>
      <c r="AB10" s="208">
        <v>0.26652098496014026</v>
      </c>
      <c r="AC10" s="208">
        <v>0</v>
      </c>
      <c r="AD10" s="119"/>
      <c r="AE10" s="119"/>
      <c r="AF10" s="119"/>
      <c r="AG10" s="81">
        <v>0</v>
      </c>
      <c r="AH10" s="81">
        <v>0.30200000000000005</v>
      </c>
      <c r="AI10" s="81">
        <v>0</v>
      </c>
      <c r="AJ10" s="81">
        <v>0</v>
      </c>
    </row>
    <row r="11" spans="1:36" x14ac:dyDescent="0.2">
      <c r="A11" s="3" t="s">
        <v>192</v>
      </c>
      <c r="B11" s="7" t="s">
        <v>5</v>
      </c>
      <c r="C11" s="7" t="s">
        <v>17</v>
      </c>
      <c r="D11" s="7">
        <v>2022</v>
      </c>
      <c r="E11" s="208">
        <v>79.863</v>
      </c>
      <c r="F11" s="208">
        <v>14.465999999999999</v>
      </c>
      <c r="G11" s="208">
        <v>38.683999999999997</v>
      </c>
      <c r="H11" s="208">
        <f t="shared" si="0"/>
        <v>0.6004149970303656</v>
      </c>
      <c r="I11" s="208">
        <f t="shared" si="1"/>
        <v>0.39958500296963462</v>
      </c>
      <c r="J11" s="208">
        <f>(INDEX('Final allowances'!$T$21:$T$32, MATCH('Financial model inputs '!$B11, 'Final allowances'!$B$21:$B$32,0))/5)*H11</f>
        <v>89.805574142684975</v>
      </c>
      <c r="K11" s="208">
        <f>(INDEX('Final allowances'!$T$21:$T$32, MATCH('Financial model inputs '!$B11, 'Final allowances'!$B$21:$B$32,0))/5)*I11</f>
        <v>59.766929187279544</v>
      </c>
      <c r="L11" s="208">
        <f>(INDEX('Final allowances'!$Q$38:$Q$50, MATCH('Financial model inputs '!$B11, 'Final allowances'!$B$38:$B$50,0))/5)</f>
        <v>36.156548143903464</v>
      </c>
      <c r="M11" s="208">
        <f t="shared" si="2"/>
        <v>95.923477331183008</v>
      </c>
      <c r="N11" s="208">
        <f>INDEX('Final allowances'!$J$5:$J$16,MATCH('Financial model inputs '!$B11,'Final allowances'!$B$5:$B$16,0))/5</f>
        <v>188.0108183893939</v>
      </c>
      <c r="O11" s="208">
        <f>INDEX('Final allowances'!$G$5:$G$16,MATCH('Financial model inputs '!$B11,'Final allowances'!$B$5:$B$16,0))/5</f>
        <v>185.72905147386797</v>
      </c>
      <c r="P11" s="208">
        <v>6.1030000000000006</v>
      </c>
      <c r="Q11" s="208">
        <v>0</v>
      </c>
      <c r="R11" s="208">
        <v>8.8079999999999998</v>
      </c>
      <c r="S11" s="208">
        <f t="shared" si="3"/>
        <v>0.40929515123063509</v>
      </c>
      <c r="T11" s="208">
        <f t="shared" si="4"/>
        <v>0.5907048487693648</v>
      </c>
      <c r="U11" s="208">
        <f>(INDEX('Final allowances'!$S$21:$S$32, MATCH('Financial model inputs '!$B11, 'Final allowances'!$B$21:$B$32,0))/5)*S11</f>
        <v>10.194707299647238</v>
      </c>
      <c r="V11" s="208">
        <f>(INDEX('Final allowances'!$S$21:$S$32, MATCH('Financial model inputs '!$B11, 'Final allowances'!$B$21:$B$32,0))/5)*T11</f>
        <v>14.713252809322114</v>
      </c>
      <c r="W11" s="208">
        <f>(INDEX('Final allowances'!$P$37:$P$50, MATCH('Financial model inputs '!$B11, 'Final allowances'!$B$37:$B$50,0))/5)</f>
        <v>0</v>
      </c>
      <c r="X11" s="208">
        <f t="shared" si="5"/>
        <v>14.713252809322114</v>
      </c>
      <c r="Y11" s="208">
        <f>INDEX('Final allowances'!$I$6:$I$17,MATCH('Financial model inputs '!$B11,'Final allowances'!$B$6:$B$17,0))/5</f>
        <v>25.174358069589843</v>
      </c>
      <c r="Z11" s="208">
        <f>INDEX('Final allowances'!$F$6:$F$17,MATCH('Financial model inputs '!$B11,'Final allowances'!$B$6:$B$17,0))/5</f>
        <v>24.907960108969355</v>
      </c>
      <c r="AA11" s="208">
        <v>1.9795274276817845</v>
      </c>
      <c r="AB11" s="208">
        <v>0.26634837482097107</v>
      </c>
      <c r="AC11" s="208">
        <v>0</v>
      </c>
      <c r="AD11" s="119"/>
      <c r="AE11" s="119"/>
      <c r="AF11" s="119"/>
      <c r="AG11" s="81">
        <v>0</v>
      </c>
      <c r="AH11" s="81">
        <v>0.30200000000000005</v>
      </c>
      <c r="AI11" s="81">
        <v>0</v>
      </c>
      <c r="AJ11" s="81">
        <v>0</v>
      </c>
    </row>
    <row r="12" spans="1:36" x14ac:dyDescent="0.2">
      <c r="A12" s="3" t="s">
        <v>193</v>
      </c>
      <c r="B12" s="7" t="s">
        <v>5</v>
      </c>
      <c r="C12" s="7" t="s">
        <v>18</v>
      </c>
      <c r="D12" s="7">
        <v>2023</v>
      </c>
      <c r="E12" s="208">
        <v>78.921999999999997</v>
      </c>
      <c r="F12" s="208">
        <v>14.427</v>
      </c>
      <c r="G12" s="208">
        <v>38.561</v>
      </c>
      <c r="H12" s="208">
        <f t="shared" si="0"/>
        <v>0.59830187248881816</v>
      </c>
      <c r="I12" s="208">
        <f t="shared" si="1"/>
        <v>0.40169812751118189</v>
      </c>
      <c r="J12" s="208">
        <f>(INDEX('Final allowances'!$T$21:$T$32, MATCH('Financial model inputs '!$B12, 'Final allowances'!$B$21:$B$32,0))/5)*H12</f>
        <v>89.489508815157748</v>
      </c>
      <c r="K12" s="208">
        <f>(INDEX('Final allowances'!$T$21:$T$32, MATCH('Financial model inputs '!$B12, 'Final allowances'!$B$21:$B$32,0))/5)*I12</f>
        <v>60.082994514806757</v>
      </c>
      <c r="L12" s="208">
        <f>(INDEX('Final allowances'!$Q$38:$Q$50, MATCH('Financial model inputs '!$B12, 'Final allowances'!$B$38:$B$50,0))/5)</f>
        <v>36.156548143903464</v>
      </c>
      <c r="M12" s="208">
        <f t="shared" si="2"/>
        <v>96.239542658710221</v>
      </c>
      <c r="N12" s="208">
        <f>INDEX('Final allowances'!$J$5:$J$16,MATCH('Financial model inputs '!$B12,'Final allowances'!$B$5:$B$16,0))/5</f>
        <v>188.0108183893939</v>
      </c>
      <c r="O12" s="208">
        <f>INDEX('Final allowances'!$G$5:$G$16,MATCH('Financial model inputs '!$B12,'Final allowances'!$B$5:$B$16,0))/5</f>
        <v>185.72905147386797</v>
      </c>
      <c r="P12" s="208">
        <v>6.043000000000001</v>
      </c>
      <c r="Q12" s="208">
        <v>0</v>
      </c>
      <c r="R12" s="208">
        <v>8.7799999999999994</v>
      </c>
      <c r="S12" s="208">
        <f t="shared" si="3"/>
        <v>0.40767725831478113</v>
      </c>
      <c r="T12" s="208">
        <f t="shared" si="4"/>
        <v>0.59232274168521881</v>
      </c>
      <c r="U12" s="208">
        <f>(INDEX('Final allowances'!$S$21:$S$32, MATCH('Financial model inputs '!$B12, 'Final allowances'!$B$21:$B$32,0))/5)*S12</f>
        <v>10.154408887438564</v>
      </c>
      <c r="V12" s="208">
        <f>(INDEX('Final allowances'!$S$21:$S$32, MATCH('Financial model inputs '!$B12, 'Final allowances'!$B$21:$B$32,0))/5)*T12</f>
        <v>14.75355122153079</v>
      </c>
      <c r="W12" s="208">
        <f>(INDEX('Final allowances'!$P$37:$P$50, MATCH('Financial model inputs '!$B12, 'Final allowances'!$B$37:$B$50,0))/5)</f>
        <v>0</v>
      </c>
      <c r="X12" s="208">
        <f t="shared" si="5"/>
        <v>14.75355122153079</v>
      </c>
      <c r="Y12" s="208">
        <f>INDEX('Final allowances'!$I$6:$I$17,MATCH('Financial model inputs '!$B12,'Final allowances'!$B$6:$B$17,0))/5</f>
        <v>25.174358069589843</v>
      </c>
      <c r="Z12" s="208">
        <f>INDEX('Final allowances'!$F$6:$F$17,MATCH('Financial model inputs '!$B12,'Final allowances'!$B$6:$B$17,0))/5</f>
        <v>24.907960108969355</v>
      </c>
      <c r="AA12" s="208">
        <v>1.9798859985800283</v>
      </c>
      <c r="AB12" s="208">
        <v>0.26637282020369452</v>
      </c>
      <c r="AC12" s="208">
        <v>0</v>
      </c>
      <c r="AD12" s="119"/>
      <c r="AE12" s="119"/>
      <c r="AF12" s="119"/>
      <c r="AG12" s="81">
        <v>0</v>
      </c>
      <c r="AH12" s="81">
        <v>0.30200000000000005</v>
      </c>
      <c r="AI12" s="81">
        <v>0</v>
      </c>
      <c r="AJ12" s="81">
        <v>0</v>
      </c>
    </row>
    <row r="13" spans="1:36" x14ac:dyDescent="0.2">
      <c r="A13" s="3" t="s">
        <v>194</v>
      </c>
      <c r="B13" s="7" t="s">
        <v>5</v>
      </c>
      <c r="C13" s="7" t="s">
        <v>19</v>
      </c>
      <c r="D13" s="7">
        <v>2024</v>
      </c>
      <c r="E13" s="208">
        <v>78.076999999999998</v>
      </c>
      <c r="F13" s="208">
        <v>14.388999999999999</v>
      </c>
      <c r="G13" s="208">
        <v>38.441000000000003</v>
      </c>
      <c r="H13" s="208">
        <f t="shared" si="0"/>
        <v>0.59643105410711428</v>
      </c>
      <c r="I13" s="208">
        <f t="shared" si="1"/>
        <v>0.40356894589288583</v>
      </c>
      <c r="J13" s="208">
        <f>(INDEX('Final allowances'!$T$21:$T$32, MATCH('Financial model inputs '!$B13, 'Final allowances'!$B$21:$B$32,0))/5)*H13</f>
        <v>89.209685826530588</v>
      </c>
      <c r="K13" s="208">
        <f>(INDEX('Final allowances'!$T$21:$T$32, MATCH('Financial model inputs '!$B13, 'Final allowances'!$B$21:$B$32,0))/5)*I13</f>
        <v>60.362817503433924</v>
      </c>
      <c r="L13" s="208">
        <f>(INDEX('Final allowances'!$Q$38:$Q$50, MATCH('Financial model inputs '!$B13, 'Final allowances'!$B$38:$B$50,0))/5)</f>
        <v>36.156548143903464</v>
      </c>
      <c r="M13" s="208">
        <f t="shared" si="2"/>
        <v>96.519365647337395</v>
      </c>
      <c r="N13" s="208">
        <f>INDEX('Final allowances'!$J$5:$J$16,MATCH('Financial model inputs '!$B13,'Final allowances'!$B$5:$B$16,0))/5</f>
        <v>188.0108183893939</v>
      </c>
      <c r="O13" s="208">
        <f>INDEX('Final allowances'!$G$5:$G$16,MATCH('Financial model inputs '!$B13,'Final allowances'!$B$5:$B$16,0))/5</f>
        <v>185.72905147386797</v>
      </c>
      <c r="P13" s="208">
        <v>5.9850000000000003</v>
      </c>
      <c r="Q13" s="208">
        <v>0</v>
      </c>
      <c r="R13" s="208">
        <v>8.7530000000000001</v>
      </c>
      <c r="S13" s="208">
        <f t="shared" si="3"/>
        <v>0.40609309268557475</v>
      </c>
      <c r="T13" s="208">
        <f t="shared" si="4"/>
        <v>0.5939069073144253</v>
      </c>
      <c r="U13" s="208">
        <f>(INDEX('Final allowances'!$S$21:$S$32, MATCH('Financial model inputs '!$B13, 'Final allowances'!$B$21:$B$32,0))/5)*S13</f>
        <v>10.114950553140291</v>
      </c>
      <c r="V13" s="208">
        <f>(INDEX('Final allowances'!$S$21:$S$32, MATCH('Financial model inputs '!$B13, 'Final allowances'!$B$21:$B$32,0))/5)*T13</f>
        <v>14.793009555829066</v>
      </c>
      <c r="W13" s="208">
        <f>(INDEX('Final allowances'!$P$37:$P$50, MATCH('Financial model inputs '!$B13, 'Final allowances'!$B$37:$B$50,0))/5)</f>
        <v>0</v>
      </c>
      <c r="X13" s="208">
        <f t="shared" si="5"/>
        <v>14.793009555829066</v>
      </c>
      <c r="Y13" s="208">
        <f>INDEX('Final allowances'!$I$6:$I$17,MATCH('Financial model inputs '!$B13,'Final allowances'!$B$6:$B$17,0))/5</f>
        <v>25.174358069589843</v>
      </c>
      <c r="Z13" s="208">
        <f>INDEX('Final allowances'!$F$6:$F$17,MATCH('Financial model inputs '!$B13,'Final allowances'!$B$6:$B$17,0))/5</f>
        <v>24.907960108969355</v>
      </c>
      <c r="AA13" s="208">
        <v>1.9798922472160323</v>
      </c>
      <c r="AB13" s="208">
        <v>0.26635032511407863</v>
      </c>
      <c r="AC13" s="208">
        <v>0</v>
      </c>
      <c r="AD13" s="119"/>
      <c r="AE13" s="119"/>
      <c r="AF13" s="119"/>
      <c r="AG13" s="81">
        <v>0</v>
      </c>
      <c r="AH13" s="81">
        <v>0.30200000000000005</v>
      </c>
      <c r="AI13" s="81">
        <v>0</v>
      </c>
      <c r="AJ13" s="81">
        <v>0</v>
      </c>
    </row>
    <row r="14" spans="1:36" x14ac:dyDescent="0.2">
      <c r="A14" s="3" t="s">
        <v>195</v>
      </c>
      <c r="B14" s="7" t="s">
        <v>5</v>
      </c>
      <c r="C14" s="7" t="s">
        <v>20</v>
      </c>
      <c r="D14" s="7">
        <v>2025</v>
      </c>
      <c r="E14" s="208">
        <v>77.39</v>
      </c>
      <c r="F14" s="208">
        <v>14.349</v>
      </c>
      <c r="G14" s="208">
        <v>38.317999999999998</v>
      </c>
      <c r="H14" s="208">
        <f t="shared" si="0"/>
        <v>0.59504678717792958</v>
      </c>
      <c r="I14" s="208">
        <f t="shared" si="1"/>
        <v>0.40495321282207031</v>
      </c>
      <c r="J14" s="208">
        <f>(INDEX('Final allowances'!$T$21:$T$32, MATCH('Financial model inputs '!$B14, 'Final allowances'!$B$21:$B$32,0))/5)*H14</f>
        <v>89.002637556655543</v>
      </c>
      <c r="K14" s="208">
        <f>(INDEX('Final allowances'!$T$21:$T$32, MATCH('Financial model inputs '!$B14, 'Final allowances'!$B$21:$B$32,0))/5)*I14</f>
        <v>60.569865773308933</v>
      </c>
      <c r="L14" s="208">
        <f>(INDEX('Final allowances'!$Q$38:$Q$50, MATCH('Financial model inputs '!$B14, 'Final allowances'!$B$38:$B$50,0))/5)</f>
        <v>36.156548143903464</v>
      </c>
      <c r="M14" s="208">
        <f t="shared" si="2"/>
        <v>96.726413917212398</v>
      </c>
      <c r="N14" s="208">
        <f>INDEX('Final allowances'!$J$5:$J$16,MATCH('Financial model inputs '!$B14,'Final allowances'!$B$5:$B$16,0))/5</f>
        <v>188.0108183893939</v>
      </c>
      <c r="O14" s="208">
        <f>INDEX('Final allowances'!$G$5:$G$16,MATCH('Financial model inputs '!$B14,'Final allowances'!$B$5:$B$16,0))/5</f>
        <v>185.72905147386797</v>
      </c>
      <c r="P14" s="208">
        <v>5.93</v>
      </c>
      <c r="Q14" s="208">
        <v>0</v>
      </c>
      <c r="R14" s="208">
        <v>8.7249999999999996</v>
      </c>
      <c r="S14" s="208">
        <f t="shared" si="3"/>
        <v>0.40464005458887753</v>
      </c>
      <c r="T14" s="208">
        <f t="shared" si="4"/>
        <v>0.59535994541112247</v>
      </c>
      <c r="U14" s="208">
        <f>(INDEX('Final allowances'!$S$21:$S$32, MATCH('Financial model inputs '!$B14, 'Final allowances'!$B$21:$B$32,0))/5)*S14</f>
        <v>10.078758338190944</v>
      </c>
      <c r="V14" s="208">
        <f>(INDEX('Final allowances'!$S$21:$S$32, MATCH('Financial model inputs '!$B14, 'Final allowances'!$B$21:$B$32,0))/5)*T14</f>
        <v>14.829201770778411</v>
      </c>
      <c r="W14" s="208">
        <f>(INDEX('Final allowances'!$P$37:$P$50, MATCH('Financial model inputs '!$B14, 'Final allowances'!$B$37:$B$50,0))/5)</f>
        <v>0</v>
      </c>
      <c r="X14" s="208">
        <f t="shared" si="5"/>
        <v>14.829201770778411</v>
      </c>
      <c r="Y14" s="208">
        <f>INDEX('Final allowances'!$I$6:$I$17,MATCH('Financial model inputs '!$B14,'Final allowances'!$B$6:$B$17,0))/5</f>
        <v>25.174358069589843</v>
      </c>
      <c r="Z14" s="208">
        <f>INDEX('Final allowances'!$F$6:$F$17,MATCH('Financial model inputs '!$B14,'Final allowances'!$B$6:$B$17,0))/5</f>
        <v>24.907960108969355</v>
      </c>
      <c r="AA14" s="208">
        <v>1.9797727254509658</v>
      </c>
      <c r="AB14" s="208">
        <v>0.26639729800356649</v>
      </c>
      <c r="AC14" s="208">
        <v>0</v>
      </c>
      <c r="AD14" s="119"/>
      <c r="AE14" s="119"/>
      <c r="AF14" s="119"/>
      <c r="AG14" s="81">
        <v>0</v>
      </c>
      <c r="AH14" s="81">
        <v>0.30200000000000005</v>
      </c>
      <c r="AI14" s="81">
        <v>0</v>
      </c>
      <c r="AJ14" s="81">
        <v>0</v>
      </c>
    </row>
    <row r="15" spans="1:36" x14ac:dyDescent="0.2">
      <c r="A15" s="3" t="s">
        <v>196</v>
      </c>
      <c r="B15" s="7" t="s">
        <v>6</v>
      </c>
      <c r="C15" s="7" t="s">
        <v>16</v>
      </c>
      <c r="D15" s="7">
        <v>2021</v>
      </c>
      <c r="E15" s="208">
        <v>241.13094710075899</v>
      </c>
      <c r="F15" s="208">
        <v>0</v>
      </c>
      <c r="G15" s="208">
        <v>99.843077513360399</v>
      </c>
      <c r="H15" s="208">
        <f t="shared" si="0"/>
        <v>0.70718274617442511</v>
      </c>
      <c r="I15" s="208">
        <f t="shared" si="1"/>
        <v>0.29281725382557483</v>
      </c>
      <c r="J15" s="208">
        <f>(INDEX('Final allowances'!$T$21:$T$32, MATCH('Financial model inputs '!$B15, 'Final allowances'!$B$21:$B$32,0))/5)*H15</f>
        <v>259.84878537574644</v>
      </c>
      <c r="K15" s="208">
        <f>(INDEX('Final allowances'!$T$21:$T$32, MATCH('Financial model inputs '!$B15, 'Final allowances'!$B$21:$B$32,0))/5)*I15</f>
        <v>107.59341648992984</v>
      </c>
      <c r="L15" s="208">
        <f>(INDEX('Final allowances'!$Q$38:$Q$50, MATCH('Financial model inputs '!$B15, 'Final allowances'!$B$38:$B$50,0))/5)</f>
        <v>127.06019115329124</v>
      </c>
      <c r="M15" s="208">
        <f t="shared" si="2"/>
        <v>234.65360764322108</v>
      </c>
      <c r="N15" s="208">
        <f>INDEX('Final allowances'!$J$5:$J$16,MATCH('Financial model inputs '!$B15,'Final allowances'!$B$5:$B$16,0))/5</f>
        <v>494.63006198298456</v>
      </c>
      <c r="O15" s="208">
        <f>INDEX('Final allowances'!$G$5:$G$16,MATCH('Financial model inputs '!$B15,'Final allowances'!$B$5:$B$16,0))/5</f>
        <v>494.50239301896755</v>
      </c>
      <c r="P15" s="208">
        <v>41.719033302550869</v>
      </c>
      <c r="Q15" s="208">
        <v>0</v>
      </c>
      <c r="R15" s="208">
        <v>35.154205667688402</v>
      </c>
      <c r="S15" s="208">
        <f t="shared" si="3"/>
        <v>0.54269904405487568</v>
      </c>
      <c r="T15" s="208">
        <f t="shared" si="4"/>
        <v>0.45730095594512432</v>
      </c>
      <c r="U15" s="208">
        <f>(INDEX('Final allowances'!$S$21:$S$32, MATCH('Financial model inputs '!$B15, 'Final allowances'!$B$21:$B$32,0))/5)*S15</f>
        <v>42.275155496977007</v>
      </c>
      <c r="V15" s="208">
        <f>(INDEX('Final allowances'!$S$21:$S$32, MATCH('Financial model inputs '!$B15, 'Final allowances'!$B$21:$B$32,0))/5)*T15</f>
        <v>35.622817532624097</v>
      </c>
      <c r="W15" s="208">
        <f>(INDEX('Final allowances'!$P$37:$P$50, MATCH('Financial model inputs '!$B15, 'Final allowances'!$B$37:$B$50,0))/5)</f>
        <v>0.12916928530823507</v>
      </c>
      <c r="X15" s="208">
        <f t="shared" si="5"/>
        <v>35.751986817932334</v>
      </c>
      <c r="Y15" s="208">
        <f>INDEX('Final allowances'!$I$6:$I$17,MATCH('Financial model inputs '!$B15,'Final allowances'!$B$6:$B$17,0))/5</f>
        <v>78.027142314909341</v>
      </c>
      <c r="Z15" s="208">
        <f>INDEX('Final allowances'!$F$6:$F$17,MATCH('Financial model inputs '!$B15,'Final allowances'!$B$6:$B$17,0))/5</f>
        <v>78.027142314909341</v>
      </c>
      <c r="AA15" s="208">
        <v>0</v>
      </c>
      <c r="AB15" s="208">
        <v>0</v>
      </c>
      <c r="AC15" s="208">
        <v>0</v>
      </c>
      <c r="AD15" s="119"/>
      <c r="AE15" s="119"/>
      <c r="AF15" s="119"/>
      <c r="AG15" s="81">
        <v>0.17951899996783599</v>
      </c>
      <c r="AH15" s="81">
        <v>0.12710788849039101</v>
      </c>
      <c r="AI15" s="81">
        <v>1.6381535417266899</v>
      </c>
      <c r="AJ15" s="81">
        <v>0</v>
      </c>
    </row>
    <row r="16" spans="1:36" x14ac:dyDescent="0.2">
      <c r="A16" s="3" t="s">
        <v>197</v>
      </c>
      <c r="B16" s="7" t="s">
        <v>6</v>
      </c>
      <c r="C16" s="7" t="s">
        <v>17</v>
      </c>
      <c r="D16" s="7">
        <v>2022</v>
      </c>
      <c r="E16" s="208">
        <v>243.943844730205</v>
      </c>
      <c r="F16" s="208">
        <v>0</v>
      </c>
      <c r="G16" s="208">
        <v>113.3577256274379</v>
      </c>
      <c r="H16" s="208">
        <f t="shared" si="0"/>
        <v>0.68273935792117602</v>
      </c>
      <c r="I16" s="208">
        <f t="shared" si="1"/>
        <v>0.31726064207882404</v>
      </c>
      <c r="J16" s="208">
        <f>(INDEX('Final allowances'!$T$21:$T$32, MATCH('Financial model inputs '!$B16, 'Final allowances'!$B$21:$B$32,0))/5)*H16</f>
        <v>250.86725297491498</v>
      </c>
      <c r="K16" s="208">
        <f>(INDEX('Final allowances'!$T$21:$T$32, MATCH('Financial model inputs '!$B16, 'Final allowances'!$B$21:$B$32,0))/5)*I16</f>
        <v>116.57494889076133</v>
      </c>
      <c r="L16" s="208">
        <f>(INDEX('Final allowances'!$Q$38:$Q$50, MATCH('Financial model inputs '!$B16, 'Final allowances'!$B$38:$B$50,0))/5)</f>
        <v>127.06019115329124</v>
      </c>
      <c r="M16" s="208">
        <f t="shared" si="2"/>
        <v>243.63514004405258</v>
      </c>
      <c r="N16" s="208">
        <f>INDEX('Final allowances'!$J$5:$J$16,MATCH('Financial model inputs '!$B16,'Final allowances'!$B$5:$B$16,0))/5</f>
        <v>494.63006198298456</v>
      </c>
      <c r="O16" s="208">
        <f>INDEX('Final allowances'!$G$5:$G$16,MATCH('Financial model inputs '!$B16,'Final allowances'!$B$5:$B$16,0))/5</f>
        <v>494.50239301896755</v>
      </c>
      <c r="P16" s="208">
        <v>41.515510801027858</v>
      </c>
      <c r="Q16" s="208">
        <v>0</v>
      </c>
      <c r="R16" s="208">
        <v>37.732133522872701</v>
      </c>
      <c r="S16" s="208">
        <f t="shared" si="3"/>
        <v>0.52387059773468947</v>
      </c>
      <c r="T16" s="208">
        <f t="shared" si="4"/>
        <v>0.47612940226531053</v>
      </c>
      <c r="U16" s="208">
        <f>(INDEX('Final allowances'!$S$21:$S$32, MATCH('Financial model inputs '!$B16, 'Final allowances'!$B$21:$B$32,0))/5)*S16</f>
        <v>40.80845769333785</v>
      </c>
      <c r="V16" s="208">
        <f>(INDEX('Final allowances'!$S$21:$S$32, MATCH('Financial model inputs '!$B16, 'Final allowances'!$B$21:$B$32,0))/5)*T16</f>
        <v>37.089515336263254</v>
      </c>
      <c r="W16" s="208">
        <f>(INDEX('Final allowances'!$P$37:$P$50, MATCH('Financial model inputs '!$B16, 'Final allowances'!$B$37:$B$50,0))/5)</f>
        <v>0.12916928530823507</v>
      </c>
      <c r="X16" s="208">
        <f t="shared" si="5"/>
        <v>37.218684621571491</v>
      </c>
      <c r="Y16" s="208">
        <f>INDEX('Final allowances'!$I$6:$I$17,MATCH('Financial model inputs '!$B16,'Final allowances'!$B$6:$B$17,0))/5</f>
        <v>78.027142314909341</v>
      </c>
      <c r="Z16" s="208">
        <f>INDEX('Final allowances'!$F$6:$F$17,MATCH('Financial model inputs '!$B16,'Final allowances'!$B$6:$B$17,0))/5</f>
        <v>78.027142314909341</v>
      </c>
      <c r="AA16" s="208">
        <v>0</v>
      </c>
      <c r="AB16" s="208">
        <v>0</v>
      </c>
      <c r="AC16" s="208">
        <v>0</v>
      </c>
      <c r="AD16" s="119"/>
      <c r="AE16" s="119"/>
      <c r="AF16" s="119"/>
      <c r="AG16" s="81">
        <v>0.177132017915937</v>
      </c>
      <c r="AH16" s="81">
        <v>0.127730966375148</v>
      </c>
      <c r="AI16" s="81">
        <v>1.73462401893211</v>
      </c>
      <c r="AJ16" s="81">
        <v>0</v>
      </c>
    </row>
    <row r="17" spans="1:36" x14ac:dyDescent="0.2">
      <c r="A17" s="3" t="s">
        <v>198</v>
      </c>
      <c r="B17" s="7" t="s">
        <v>6</v>
      </c>
      <c r="C17" s="7" t="s">
        <v>18</v>
      </c>
      <c r="D17" s="7">
        <v>2023</v>
      </c>
      <c r="E17" s="208">
        <v>245.43575513134999</v>
      </c>
      <c r="F17" s="208">
        <v>0</v>
      </c>
      <c r="G17" s="208">
        <v>109.3766499753049</v>
      </c>
      <c r="H17" s="208">
        <f t="shared" si="0"/>
        <v>0.69173386160941364</v>
      </c>
      <c r="I17" s="208">
        <f t="shared" si="1"/>
        <v>0.30826613839058647</v>
      </c>
      <c r="J17" s="208">
        <f>(INDEX('Final allowances'!$T$21:$T$32, MATCH('Financial model inputs '!$B17, 'Final allowances'!$B$21:$B$32,0))/5)*H17</f>
        <v>254.17221321480994</v>
      </c>
      <c r="K17" s="208">
        <f>(INDEX('Final allowances'!$T$21:$T$32, MATCH('Financial model inputs '!$B17, 'Final allowances'!$B$21:$B$32,0))/5)*I17</f>
        <v>113.26998865086638</v>
      </c>
      <c r="L17" s="208">
        <f>(INDEX('Final allowances'!$Q$38:$Q$50, MATCH('Financial model inputs '!$B17, 'Final allowances'!$B$38:$B$50,0))/5)</f>
        <v>127.06019115329124</v>
      </c>
      <c r="M17" s="208">
        <f t="shared" si="2"/>
        <v>240.33017980415764</v>
      </c>
      <c r="N17" s="208">
        <f>INDEX('Final allowances'!$J$5:$J$16,MATCH('Financial model inputs '!$B17,'Final allowances'!$B$5:$B$16,0))/5</f>
        <v>494.63006198298456</v>
      </c>
      <c r="O17" s="208">
        <f>INDEX('Final allowances'!$G$5:$G$16,MATCH('Financial model inputs '!$B17,'Final allowances'!$B$5:$B$16,0))/5</f>
        <v>494.50239301896755</v>
      </c>
      <c r="P17" s="208">
        <v>41.333824019386711</v>
      </c>
      <c r="Q17" s="208">
        <v>0</v>
      </c>
      <c r="R17" s="208">
        <v>33.287987232107596</v>
      </c>
      <c r="S17" s="208">
        <f t="shared" si="3"/>
        <v>0.55391075780888388</v>
      </c>
      <c r="T17" s="208">
        <f t="shared" si="4"/>
        <v>0.44608924219111612</v>
      </c>
      <c r="U17" s="208">
        <f>(INDEX('Final allowances'!$S$21:$S$32, MATCH('Financial model inputs '!$B17, 'Final allowances'!$B$21:$B$32,0))/5)*S17</f>
        <v>43.148525272602349</v>
      </c>
      <c r="V17" s="208">
        <f>(INDEX('Final allowances'!$S$21:$S$32, MATCH('Financial model inputs '!$B17, 'Final allowances'!$B$21:$B$32,0))/5)*T17</f>
        <v>34.749447756998755</v>
      </c>
      <c r="W17" s="208">
        <f>(INDEX('Final allowances'!$P$37:$P$50, MATCH('Financial model inputs '!$B17, 'Final allowances'!$B$37:$B$50,0))/5)</f>
        <v>0.12916928530823507</v>
      </c>
      <c r="X17" s="208">
        <f t="shared" si="5"/>
        <v>34.878617042306992</v>
      </c>
      <c r="Y17" s="208">
        <f>INDEX('Final allowances'!$I$6:$I$17,MATCH('Financial model inputs '!$B17,'Final allowances'!$B$6:$B$17,0))/5</f>
        <v>78.027142314909341</v>
      </c>
      <c r="Z17" s="208">
        <f>INDEX('Final allowances'!$F$6:$F$17,MATCH('Financial model inputs '!$B17,'Final allowances'!$B$6:$B$17,0))/5</f>
        <v>78.027142314909341</v>
      </c>
      <c r="AA17" s="208">
        <v>0</v>
      </c>
      <c r="AB17" s="208">
        <v>0</v>
      </c>
      <c r="AC17" s="208">
        <v>0</v>
      </c>
      <c r="AD17" s="119"/>
      <c r="AE17" s="119"/>
      <c r="AF17" s="119"/>
      <c r="AG17" s="81">
        <v>0.177489475737061</v>
      </c>
      <c r="AH17" s="81">
        <v>0.12804403246920501</v>
      </c>
      <c r="AI17" s="81">
        <v>1.7579811831254699</v>
      </c>
      <c r="AJ17" s="81">
        <v>0</v>
      </c>
    </row>
    <row r="18" spans="1:36" x14ac:dyDescent="0.2">
      <c r="A18" s="3" t="s">
        <v>199</v>
      </c>
      <c r="B18" s="7" t="s">
        <v>6</v>
      </c>
      <c r="C18" s="7" t="s">
        <v>19</v>
      </c>
      <c r="D18" s="7">
        <v>2024</v>
      </c>
      <c r="E18" s="208">
        <v>249.46025266763598</v>
      </c>
      <c r="F18" s="208">
        <v>0</v>
      </c>
      <c r="G18" s="208">
        <v>134.0915425602399</v>
      </c>
      <c r="H18" s="208">
        <f t="shared" si="0"/>
        <v>0.65039521590409077</v>
      </c>
      <c r="I18" s="208">
        <f t="shared" si="1"/>
        <v>0.34960478409590912</v>
      </c>
      <c r="J18" s="208">
        <f>(INDEX('Final allowances'!$T$21:$T$32, MATCH('Financial model inputs '!$B18, 'Final allowances'!$B$21:$B$32,0))/5)*H18</f>
        <v>238.98265021470104</v>
      </c>
      <c r="K18" s="208">
        <f>(INDEX('Final allowances'!$T$21:$T$32, MATCH('Financial model inputs '!$B18, 'Final allowances'!$B$21:$B$32,0))/5)*I18</f>
        <v>128.45955165097521</v>
      </c>
      <c r="L18" s="208">
        <f>(INDEX('Final allowances'!$Q$38:$Q$50, MATCH('Financial model inputs '!$B18, 'Final allowances'!$B$38:$B$50,0))/5)</f>
        <v>127.06019115329124</v>
      </c>
      <c r="M18" s="208">
        <f t="shared" si="2"/>
        <v>255.51974280426646</v>
      </c>
      <c r="N18" s="208">
        <f>INDEX('Final allowances'!$J$5:$J$16,MATCH('Financial model inputs '!$B18,'Final allowances'!$B$5:$B$16,0))/5</f>
        <v>494.63006198298456</v>
      </c>
      <c r="O18" s="208">
        <f>INDEX('Final allowances'!$G$5:$G$16,MATCH('Financial model inputs '!$B18,'Final allowances'!$B$5:$B$16,0))/5</f>
        <v>494.50239301896755</v>
      </c>
      <c r="P18" s="208">
        <v>40.844723120007728</v>
      </c>
      <c r="Q18" s="208">
        <v>0</v>
      </c>
      <c r="R18" s="208">
        <v>28.911339826104999</v>
      </c>
      <c r="S18" s="208">
        <f t="shared" si="3"/>
        <v>0.58553653109064785</v>
      </c>
      <c r="T18" s="208">
        <f t="shared" si="4"/>
        <v>0.41446346890935204</v>
      </c>
      <c r="U18" s="208">
        <f>(INDEX('Final allowances'!$S$21:$S$32, MATCH('Financial model inputs '!$B18, 'Final allowances'!$B$21:$B$32,0))/5)*S18</f>
        <v>45.612108906745476</v>
      </c>
      <c r="V18" s="208">
        <f>(INDEX('Final allowances'!$S$21:$S$32, MATCH('Financial model inputs '!$B18, 'Final allowances'!$B$21:$B$32,0))/5)*T18</f>
        <v>32.285864122855621</v>
      </c>
      <c r="W18" s="208">
        <f>(INDEX('Final allowances'!$P$37:$P$50, MATCH('Financial model inputs '!$B18, 'Final allowances'!$B$37:$B$50,0))/5)</f>
        <v>0.12916928530823507</v>
      </c>
      <c r="X18" s="208">
        <f t="shared" si="5"/>
        <v>32.415033408163858</v>
      </c>
      <c r="Y18" s="208">
        <f>INDEX('Final allowances'!$I$6:$I$17,MATCH('Financial model inputs '!$B18,'Final allowances'!$B$6:$B$17,0))/5</f>
        <v>78.027142314909341</v>
      </c>
      <c r="Z18" s="208">
        <f>INDEX('Final allowances'!$F$6:$F$17,MATCH('Financial model inputs '!$B18,'Final allowances'!$B$6:$B$17,0))/5</f>
        <v>78.027142314909341</v>
      </c>
      <c r="AA18" s="208">
        <v>0</v>
      </c>
      <c r="AB18" s="208">
        <v>0</v>
      </c>
      <c r="AC18" s="208">
        <v>0</v>
      </c>
      <c r="AD18" s="119"/>
      <c r="AE18" s="119"/>
      <c r="AF18" s="119"/>
      <c r="AG18" s="81">
        <v>0.178359522186752</v>
      </c>
      <c r="AH18" s="81">
        <v>0.127730966375148</v>
      </c>
      <c r="AI18" s="81">
        <v>1.7665987379447099</v>
      </c>
      <c r="AJ18" s="81">
        <v>0</v>
      </c>
    </row>
    <row r="19" spans="1:36" x14ac:dyDescent="0.2">
      <c r="A19" s="3" t="s">
        <v>200</v>
      </c>
      <c r="B19" s="7" t="s">
        <v>6</v>
      </c>
      <c r="C19" s="7" t="s">
        <v>20</v>
      </c>
      <c r="D19" s="7">
        <v>2025</v>
      </c>
      <c r="E19" s="208">
        <v>258.43590897206701</v>
      </c>
      <c r="F19" s="208">
        <v>0</v>
      </c>
      <c r="G19" s="208">
        <v>102.9201315134051</v>
      </c>
      <c r="H19" s="208">
        <f t="shared" si="0"/>
        <v>0.71518358631798518</v>
      </c>
      <c r="I19" s="208">
        <f t="shared" si="1"/>
        <v>0.28481641368201471</v>
      </c>
      <c r="J19" s="208">
        <f>(INDEX('Final allowances'!$T$21:$T$32, MATCH('Financial model inputs '!$B19, 'Final allowances'!$B$21:$B$32,0))/5)*H19</f>
        <v>262.78863169487141</v>
      </c>
      <c r="K19" s="208">
        <f>(INDEX('Final allowances'!$T$21:$T$32, MATCH('Financial model inputs '!$B19, 'Final allowances'!$B$21:$B$32,0))/5)*I19</f>
        <v>104.65357017080481</v>
      </c>
      <c r="L19" s="208">
        <f>(INDEX('Final allowances'!$Q$38:$Q$50, MATCH('Financial model inputs '!$B19, 'Final allowances'!$B$38:$B$50,0))/5)</f>
        <v>127.06019115329124</v>
      </c>
      <c r="M19" s="208">
        <f t="shared" si="2"/>
        <v>231.71376132409605</v>
      </c>
      <c r="N19" s="208">
        <f>INDEX('Final allowances'!$J$5:$J$16,MATCH('Financial model inputs '!$B19,'Final allowances'!$B$5:$B$16,0))/5</f>
        <v>494.63006198298456</v>
      </c>
      <c r="O19" s="208">
        <f>INDEX('Final allowances'!$G$5:$G$16,MATCH('Financial model inputs '!$B19,'Final allowances'!$B$5:$B$16,0))/5</f>
        <v>494.50239301896755</v>
      </c>
      <c r="P19" s="208">
        <v>40.870610583250084</v>
      </c>
      <c r="Q19" s="208">
        <v>0</v>
      </c>
      <c r="R19" s="208">
        <v>31.081103398717701</v>
      </c>
      <c r="S19" s="208">
        <f t="shared" si="3"/>
        <v>0.56802831122956843</v>
      </c>
      <c r="T19" s="208">
        <f t="shared" si="4"/>
        <v>0.43197168877043163</v>
      </c>
      <c r="U19" s="208">
        <f>(INDEX('Final allowances'!$S$21:$S$32, MATCH('Financial model inputs '!$B19, 'Final allowances'!$B$21:$B$32,0))/5)*S19</f>
        <v>44.248254068210784</v>
      </c>
      <c r="V19" s="208">
        <f>(INDEX('Final allowances'!$S$21:$S$32, MATCH('Financial model inputs '!$B19, 'Final allowances'!$B$21:$B$32,0))/5)*T19</f>
        <v>33.649718961390327</v>
      </c>
      <c r="W19" s="208">
        <f>(INDEX('Final allowances'!$P$37:$P$50, MATCH('Financial model inputs '!$B19, 'Final allowances'!$B$37:$B$50,0))/5)</f>
        <v>0.12916928530823507</v>
      </c>
      <c r="X19" s="208">
        <f t="shared" si="5"/>
        <v>33.778888246698564</v>
      </c>
      <c r="Y19" s="208">
        <f>INDEX('Final allowances'!$I$6:$I$17,MATCH('Financial model inputs '!$B19,'Final allowances'!$B$6:$B$17,0))/5</f>
        <v>78.027142314909341</v>
      </c>
      <c r="Z19" s="208">
        <f>INDEX('Final allowances'!$F$6:$F$17,MATCH('Financial model inputs '!$B19,'Final allowances'!$B$6:$B$17,0))/5</f>
        <v>78.027142314909341</v>
      </c>
      <c r="AA19" s="208">
        <v>0</v>
      </c>
      <c r="AB19" s="208">
        <v>0</v>
      </c>
      <c r="AC19" s="208">
        <v>0</v>
      </c>
      <c r="AD19" s="119"/>
      <c r="AE19" s="119"/>
      <c r="AF19" s="119"/>
      <c r="AG19" s="81">
        <v>0.17923383357002001</v>
      </c>
      <c r="AH19" s="81">
        <v>0.127730966375148</v>
      </c>
      <c r="AI19" s="81">
        <v>1.7752585356797299</v>
      </c>
      <c r="AJ19" s="81">
        <v>0</v>
      </c>
    </row>
    <row r="20" spans="1:36" x14ac:dyDescent="0.2">
      <c r="A20" s="3" t="s">
        <v>201</v>
      </c>
      <c r="B20" s="7" t="s">
        <v>7</v>
      </c>
      <c r="C20" s="7" t="s">
        <v>16</v>
      </c>
      <c r="D20" s="7">
        <v>2021</v>
      </c>
      <c r="E20" s="208">
        <v>137.54599999999999</v>
      </c>
      <c r="F20" s="208">
        <v>26.422000000000001</v>
      </c>
      <c r="G20" s="208">
        <v>77.793999999999997</v>
      </c>
      <c r="H20" s="208">
        <f t="shared" si="0"/>
        <v>0.56893142842961253</v>
      </c>
      <c r="I20" s="208">
        <f t="shared" si="1"/>
        <v>0.43106857157038736</v>
      </c>
      <c r="J20" s="208">
        <f>(INDEX('Final allowances'!$T$21:$T$32, MATCH('Financial model inputs '!$B20, 'Final allowances'!$B$21:$B$32,0))/5)*H20</f>
        <v>157.94544316186636</v>
      </c>
      <c r="K20" s="208">
        <f>(INDEX('Final allowances'!$T$21:$T$32, MATCH('Financial model inputs '!$B20, 'Final allowances'!$B$21:$B$32,0))/5)*I20</f>
        <v>119.67227185492173</v>
      </c>
      <c r="L20" s="208">
        <f>(INDEX('Final allowances'!$Q$38:$Q$50, MATCH('Financial model inputs '!$B20, 'Final allowances'!$B$38:$B$50,0))/5)</f>
        <v>110.80807641725201</v>
      </c>
      <c r="M20" s="208">
        <f t="shared" si="2"/>
        <v>230.48034827217373</v>
      </c>
      <c r="N20" s="208">
        <f>INDEX('Final allowances'!$J$5:$J$16,MATCH('Financial model inputs '!$B20,'Final allowances'!$B$5:$B$16,0))/5</f>
        <v>396.02455871808058</v>
      </c>
      <c r="O20" s="208">
        <f>INDEX('Final allowances'!$G$5:$G$16,MATCH('Financial model inputs '!$B20,'Final allowances'!$B$5:$B$16,0))/5</f>
        <v>388.42579143404009</v>
      </c>
      <c r="P20" s="208">
        <v>20.843</v>
      </c>
      <c r="Q20" s="208">
        <v>0</v>
      </c>
      <c r="R20" s="208">
        <v>14.974</v>
      </c>
      <c r="S20" s="208">
        <f t="shared" si="3"/>
        <v>0.58193036826088174</v>
      </c>
      <c r="T20" s="208">
        <f t="shared" si="4"/>
        <v>0.41806963173911832</v>
      </c>
      <c r="U20" s="208">
        <f>(INDEX('Final allowances'!$S$21:$S$32, MATCH('Financial model inputs '!$B20, 'Final allowances'!$B$21:$B$32,0))/5)*S20</f>
        <v>23.993224561083533</v>
      </c>
      <c r="V20" s="208">
        <f>(INDEX('Final allowances'!$S$21:$S$32, MATCH('Financial model inputs '!$B20, 'Final allowances'!$B$21:$B$32,0))/5)*T20</f>
        <v>17.237180088167001</v>
      </c>
      <c r="W20" s="208">
        <f>(INDEX('Final allowances'!$P$37:$P$50, MATCH('Financial model inputs '!$B20, 'Final allowances'!$B$37:$B$50,0))/5)</f>
        <v>1.0112000000000001</v>
      </c>
      <c r="X20" s="208">
        <f t="shared" si="5"/>
        <v>18.248380088167</v>
      </c>
      <c r="Y20" s="208">
        <f>INDEX('Final allowances'!$I$6:$I$17,MATCH('Financial model inputs '!$B20,'Final allowances'!$B$6:$B$17,0))/5</f>
        <v>42.704709649556548</v>
      </c>
      <c r="Z20" s="208">
        <f>INDEX('Final allowances'!$F$6:$F$17,MATCH('Financial model inputs '!$B20,'Final allowances'!$B$6:$B$17,0))/5</f>
        <v>42.241604649250533</v>
      </c>
      <c r="AA20" s="208">
        <v>6.0077099485369256</v>
      </c>
      <c r="AB20" s="208">
        <v>0.48674848317413139</v>
      </c>
      <c r="AC20" s="208">
        <v>0</v>
      </c>
      <c r="AD20" s="119"/>
      <c r="AE20" s="119"/>
      <c r="AF20" s="119"/>
      <c r="AG20" s="81">
        <v>0</v>
      </c>
      <c r="AH20" s="81">
        <v>1.8839999999999999</v>
      </c>
      <c r="AI20" s="81">
        <v>0</v>
      </c>
      <c r="AJ20" s="81">
        <v>0</v>
      </c>
    </row>
    <row r="21" spans="1:36" x14ac:dyDescent="0.2">
      <c r="A21" s="3" t="s">
        <v>202</v>
      </c>
      <c r="B21" s="7" t="s">
        <v>7</v>
      </c>
      <c r="C21" s="7" t="s">
        <v>17</v>
      </c>
      <c r="D21" s="7">
        <v>2022</v>
      </c>
      <c r="E21" s="208">
        <v>134.75400000000002</v>
      </c>
      <c r="F21" s="208">
        <v>26.561999999999998</v>
      </c>
      <c r="G21" s="208">
        <v>92.437999999999988</v>
      </c>
      <c r="H21" s="208">
        <f t="shared" si="0"/>
        <v>0.53104187520196733</v>
      </c>
      <c r="I21" s="208">
        <f t="shared" si="1"/>
        <v>0.46895812479803267</v>
      </c>
      <c r="J21" s="208">
        <f>(INDEX('Final allowances'!$T$21:$T$32, MATCH('Financial model inputs '!$B21, 'Final allowances'!$B$21:$B$32,0))/5)*H21</f>
        <v>147.42663197180053</v>
      </c>
      <c r="K21" s="208">
        <f>(INDEX('Final allowances'!$T$21:$T$32, MATCH('Financial model inputs '!$B21, 'Final allowances'!$B$21:$B$32,0))/5)*I21</f>
        <v>130.19108304498758</v>
      </c>
      <c r="L21" s="208">
        <f>(INDEX('Final allowances'!$Q$38:$Q$50, MATCH('Financial model inputs '!$B21, 'Final allowances'!$B$38:$B$50,0))/5)</f>
        <v>110.80807641725201</v>
      </c>
      <c r="M21" s="208">
        <f t="shared" si="2"/>
        <v>240.99915946223959</v>
      </c>
      <c r="N21" s="208">
        <f>INDEX('Final allowances'!$J$5:$J$16,MATCH('Financial model inputs '!$B21,'Final allowances'!$B$5:$B$16,0))/5</f>
        <v>396.02455871808058</v>
      </c>
      <c r="O21" s="208">
        <f>INDEX('Final allowances'!$G$5:$G$16,MATCH('Financial model inputs '!$B21,'Final allowances'!$B$5:$B$16,0))/5</f>
        <v>388.42579143404009</v>
      </c>
      <c r="P21" s="208">
        <v>20.388000000000002</v>
      </c>
      <c r="Q21" s="208">
        <v>0</v>
      </c>
      <c r="R21" s="208">
        <v>19.593</v>
      </c>
      <c r="S21" s="208">
        <f t="shared" si="3"/>
        <v>0.50994222255571398</v>
      </c>
      <c r="T21" s="208">
        <f t="shared" si="4"/>
        <v>0.49005777744428602</v>
      </c>
      <c r="U21" s="208">
        <f>(INDEX('Final allowances'!$S$21:$S$32, MATCH('Financial model inputs '!$B21, 'Final allowances'!$B$21:$B$32,0))/5)*S21</f>
        <v>21.025124183710258</v>
      </c>
      <c r="V21" s="208">
        <f>(INDEX('Final allowances'!$S$21:$S$32, MATCH('Financial model inputs '!$B21, 'Final allowances'!$B$21:$B$32,0))/5)*T21</f>
        <v>20.205280465540273</v>
      </c>
      <c r="W21" s="208">
        <f>(INDEX('Final allowances'!$P$37:$P$50, MATCH('Financial model inputs '!$B21, 'Final allowances'!$B$37:$B$50,0))/5)</f>
        <v>1.0112000000000001</v>
      </c>
      <c r="X21" s="208">
        <f t="shared" si="5"/>
        <v>21.216480465540272</v>
      </c>
      <c r="Y21" s="208">
        <f>INDEX('Final allowances'!$I$6:$I$17,MATCH('Financial model inputs '!$B21,'Final allowances'!$B$6:$B$17,0))/5</f>
        <v>42.704709649556548</v>
      </c>
      <c r="Z21" s="208">
        <f>INDEX('Final allowances'!$F$6:$F$17,MATCH('Financial model inputs '!$B21,'Final allowances'!$B$6:$B$17,0))/5</f>
        <v>42.241604649250533</v>
      </c>
      <c r="AA21" s="208">
        <v>5.8574965465786937</v>
      </c>
      <c r="AB21" s="208">
        <v>0.4748527349890222</v>
      </c>
      <c r="AC21" s="208">
        <v>0</v>
      </c>
      <c r="AD21" s="119"/>
      <c r="AE21" s="119"/>
      <c r="AF21" s="119"/>
      <c r="AG21" s="81">
        <v>0</v>
      </c>
      <c r="AH21" s="81">
        <v>1.8839999999999999</v>
      </c>
      <c r="AI21" s="81">
        <v>0</v>
      </c>
      <c r="AJ21" s="81">
        <v>0</v>
      </c>
    </row>
    <row r="22" spans="1:36" x14ac:dyDescent="0.2">
      <c r="A22" s="3" t="s">
        <v>203</v>
      </c>
      <c r="B22" s="7" t="s">
        <v>7</v>
      </c>
      <c r="C22" s="7" t="s">
        <v>18</v>
      </c>
      <c r="D22" s="7">
        <v>2023</v>
      </c>
      <c r="E22" s="208">
        <v>133.137</v>
      </c>
      <c r="F22" s="208">
        <v>21.747</v>
      </c>
      <c r="G22" s="208">
        <v>110.396</v>
      </c>
      <c r="H22" s="208">
        <f t="shared" si="0"/>
        <v>0.50187349215922794</v>
      </c>
      <c r="I22" s="208">
        <f t="shared" si="1"/>
        <v>0.49812650784077195</v>
      </c>
      <c r="J22" s="208">
        <f>(INDEX('Final allowances'!$T$21:$T$32, MATCH('Financial model inputs '!$B22, 'Final allowances'!$B$21:$B$32,0))/5)*H22</f>
        <v>139.32897212074079</v>
      </c>
      <c r="K22" s="208">
        <f>(INDEX('Final allowances'!$T$21:$T$32, MATCH('Financial model inputs '!$B22, 'Final allowances'!$B$21:$B$32,0))/5)*I22</f>
        <v>138.2887428960473</v>
      </c>
      <c r="L22" s="208">
        <f>(INDEX('Final allowances'!$Q$38:$Q$50, MATCH('Financial model inputs '!$B22, 'Final allowances'!$B$38:$B$50,0))/5)</f>
        <v>110.80807641725201</v>
      </c>
      <c r="M22" s="208">
        <f t="shared" si="2"/>
        <v>249.09681931329931</v>
      </c>
      <c r="N22" s="208">
        <f>INDEX('Final allowances'!$J$5:$J$16,MATCH('Financial model inputs '!$B22,'Final allowances'!$B$5:$B$16,0))/5</f>
        <v>396.02455871808058</v>
      </c>
      <c r="O22" s="208">
        <f>INDEX('Final allowances'!$G$5:$G$16,MATCH('Financial model inputs '!$B22,'Final allowances'!$B$5:$B$16,0))/5</f>
        <v>388.42579143404009</v>
      </c>
      <c r="P22" s="208">
        <v>20.382000000000001</v>
      </c>
      <c r="Q22" s="208">
        <v>0</v>
      </c>
      <c r="R22" s="208">
        <v>35.716999999999999</v>
      </c>
      <c r="S22" s="208">
        <f t="shared" si="3"/>
        <v>0.36332198434909713</v>
      </c>
      <c r="T22" s="208">
        <f t="shared" si="4"/>
        <v>0.63667801565090276</v>
      </c>
      <c r="U22" s="208">
        <f>(INDEX('Final allowances'!$S$21:$S$32, MATCH('Financial model inputs '!$B22, 'Final allowances'!$B$21:$B$32,0))/5)*S22</f>
        <v>14.979912432681942</v>
      </c>
      <c r="V22" s="208">
        <f>(INDEX('Final allowances'!$S$21:$S$32, MATCH('Financial model inputs '!$B22, 'Final allowances'!$B$21:$B$32,0))/5)*T22</f>
        <v>26.250492216568585</v>
      </c>
      <c r="W22" s="208">
        <f>(INDEX('Final allowances'!$P$37:$P$50, MATCH('Financial model inputs '!$B22, 'Final allowances'!$B$37:$B$50,0))/5)</f>
        <v>1.0112000000000001</v>
      </c>
      <c r="X22" s="208">
        <f t="shared" si="5"/>
        <v>27.261692216568584</v>
      </c>
      <c r="Y22" s="208">
        <f>INDEX('Final allowances'!$I$6:$I$17,MATCH('Financial model inputs '!$B22,'Final allowances'!$B$6:$B$17,0))/5</f>
        <v>42.704709649556548</v>
      </c>
      <c r="Z22" s="208">
        <f>INDEX('Final allowances'!$F$6:$F$17,MATCH('Financial model inputs '!$B22,'Final allowances'!$B$6:$B$17,0))/5</f>
        <v>42.241604649250533</v>
      </c>
      <c r="AA22" s="208">
        <v>5.7110191030544071</v>
      </c>
      <c r="AB22" s="208">
        <v>0.4628729740397084</v>
      </c>
      <c r="AC22" s="208">
        <v>0</v>
      </c>
      <c r="AD22" s="119"/>
      <c r="AE22" s="119"/>
      <c r="AF22" s="119"/>
      <c r="AG22" s="81">
        <v>0</v>
      </c>
      <c r="AH22" s="81">
        <v>1.8839999999999999</v>
      </c>
      <c r="AI22" s="81">
        <v>0</v>
      </c>
      <c r="AJ22" s="81">
        <v>0</v>
      </c>
    </row>
    <row r="23" spans="1:36" x14ac:dyDescent="0.2">
      <c r="A23" s="3" t="s">
        <v>204</v>
      </c>
      <c r="B23" s="7" t="s">
        <v>7</v>
      </c>
      <c r="C23" s="7" t="s">
        <v>19</v>
      </c>
      <c r="D23" s="7">
        <v>2024</v>
      </c>
      <c r="E23" s="208">
        <v>130.70699999999999</v>
      </c>
      <c r="F23" s="208">
        <v>21.176000000000002</v>
      </c>
      <c r="G23" s="208">
        <v>129.34399999999999</v>
      </c>
      <c r="H23" s="208">
        <f t="shared" si="0"/>
        <v>0.46477400818555831</v>
      </c>
      <c r="I23" s="208">
        <f t="shared" si="1"/>
        <v>0.53522599181444175</v>
      </c>
      <c r="J23" s="208">
        <f>(INDEX('Final allowances'!$T$21:$T$32, MATCH('Financial model inputs '!$B23, 'Final allowances'!$B$21:$B$32,0))/5)*H23</f>
        <v>129.02949815166866</v>
      </c>
      <c r="K23" s="208">
        <f>(INDEX('Final allowances'!$T$21:$T$32, MATCH('Financial model inputs '!$B23, 'Final allowances'!$B$21:$B$32,0))/5)*I23</f>
        <v>148.58821686511945</v>
      </c>
      <c r="L23" s="208">
        <f>(INDEX('Final allowances'!$Q$38:$Q$50, MATCH('Financial model inputs '!$B23, 'Final allowances'!$B$38:$B$50,0))/5)</f>
        <v>110.80807641725201</v>
      </c>
      <c r="M23" s="208">
        <f t="shared" si="2"/>
        <v>259.39629328237146</v>
      </c>
      <c r="N23" s="208">
        <f>INDEX('Final allowances'!$J$5:$J$16,MATCH('Financial model inputs '!$B23,'Final allowances'!$B$5:$B$16,0))/5</f>
        <v>396.02455871808058</v>
      </c>
      <c r="O23" s="208">
        <f>INDEX('Final allowances'!$G$5:$G$16,MATCH('Financial model inputs '!$B23,'Final allowances'!$B$5:$B$16,0))/5</f>
        <v>388.42579143404009</v>
      </c>
      <c r="P23" s="208">
        <v>20.138999999999999</v>
      </c>
      <c r="Q23" s="208">
        <v>0</v>
      </c>
      <c r="R23" s="208">
        <v>15.518000000000001</v>
      </c>
      <c r="S23" s="208">
        <f t="shared" si="3"/>
        <v>0.56479793588916627</v>
      </c>
      <c r="T23" s="208">
        <f t="shared" si="4"/>
        <v>0.43520206411083384</v>
      </c>
      <c r="U23" s="208">
        <f>(INDEX('Final allowances'!$S$21:$S$32, MATCH('Financial model inputs '!$B23, 'Final allowances'!$B$21:$B$32,0))/5)*S23</f>
        <v>23.286847441771783</v>
      </c>
      <c r="V23" s="208">
        <f>(INDEX('Final allowances'!$S$21:$S$32, MATCH('Financial model inputs '!$B23, 'Final allowances'!$B$21:$B$32,0))/5)*T23</f>
        <v>17.943557207478751</v>
      </c>
      <c r="W23" s="208">
        <f>(INDEX('Final allowances'!$P$37:$P$50, MATCH('Financial model inputs '!$B23, 'Final allowances'!$B$37:$B$50,0))/5)</f>
        <v>1.0112000000000001</v>
      </c>
      <c r="X23" s="208">
        <f t="shared" si="5"/>
        <v>18.95475720747875</v>
      </c>
      <c r="Y23" s="208">
        <f>INDEX('Final allowances'!$I$6:$I$17,MATCH('Financial model inputs '!$B23,'Final allowances'!$B$6:$B$17,0))/5</f>
        <v>42.704709649556548</v>
      </c>
      <c r="Z23" s="208">
        <f>INDEX('Final allowances'!$F$6:$F$17,MATCH('Financial model inputs '!$B23,'Final allowances'!$B$6:$B$17,0))/5</f>
        <v>42.241604649250533</v>
      </c>
      <c r="AA23" s="208">
        <v>5.5684651819148065</v>
      </c>
      <c r="AB23" s="208">
        <v>0.45107986916283538</v>
      </c>
      <c r="AC23" s="208">
        <v>0</v>
      </c>
      <c r="AD23" s="119"/>
      <c r="AE23" s="119"/>
      <c r="AF23" s="119"/>
      <c r="AG23" s="81">
        <v>0</v>
      </c>
      <c r="AH23" s="81">
        <v>1.8839999999999999</v>
      </c>
      <c r="AI23" s="81">
        <v>0</v>
      </c>
      <c r="AJ23" s="81">
        <v>0</v>
      </c>
    </row>
    <row r="24" spans="1:36" x14ac:dyDescent="0.2">
      <c r="A24" s="3" t="s">
        <v>205</v>
      </c>
      <c r="B24" s="7" t="s">
        <v>7</v>
      </c>
      <c r="C24" s="7" t="s">
        <v>20</v>
      </c>
      <c r="D24" s="7">
        <v>2025</v>
      </c>
      <c r="E24" s="208">
        <v>127.77500000000001</v>
      </c>
      <c r="F24" s="208">
        <v>16.285999999999998</v>
      </c>
      <c r="G24" s="208">
        <v>110.264</v>
      </c>
      <c r="H24" s="208">
        <f t="shared" si="0"/>
        <v>0.50240833579081889</v>
      </c>
      <c r="I24" s="208">
        <f t="shared" si="1"/>
        <v>0.49759166420918116</v>
      </c>
      <c r="J24" s="208">
        <f>(INDEX('Final allowances'!$T$21:$T$32, MATCH('Financial model inputs '!$B24, 'Final allowances'!$B$21:$B$32,0))/5)*H24</f>
        <v>139.47745418763435</v>
      </c>
      <c r="K24" s="208">
        <f>(INDEX('Final allowances'!$T$21:$T$32, MATCH('Financial model inputs '!$B24, 'Final allowances'!$B$21:$B$32,0))/5)*I24</f>
        <v>138.14026082915379</v>
      </c>
      <c r="L24" s="208">
        <f>(INDEX('Final allowances'!$Q$38:$Q$50, MATCH('Financial model inputs '!$B24, 'Final allowances'!$B$38:$B$50,0))/5)</f>
        <v>110.80807641725201</v>
      </c>
      <c r="M24" s="208">
        <f t="shared" si="2"/>
        <v>248.9483372464058</v>
      </c>
      <c r="N24" s="208">
        <f>INDEX('Final allowances'!$J$5:$J$16,MATCH('Financial model inputs '!$B24,'Final allowances'!$B$5:$B$16,0))/5</f>
        <v>396.02455871808058</v>
      </c>
      <c r="O24" s="208">
        <f>INDEX('Final allowances'!$G$5:$G$16,MATCH('Financial model inputs '!$B24,'Final allowances'!$B$5:$B$16,0))/5</f>
        <v>388.42579143404009</v>
      </c>
      <c r="P24" s="208">
        <v>19.547000000000001</v>
      </c>
      <c r="Q24" s="208">
        <v>0</v>
      </c>
      <c r="R24" s="208">
        <v>11.048</v>
      </c>
      <c r="S24" s="208">
        <f t="shared" si="3"/>
        <v>0.63889524432096756</v>
      </c>
      <c r="T24" s="208">
        <f t="shared" si="4"/>
        <v>0.36110475567903255</v>
      </c>
      <c r="U24" s="208">
        <f>(INDEX('Final allowances'!$S$21:$S$32, MATCH('Financial model inputs '!$B24, 'Final allowances'!$B$21:$B$32,0))/5)*S24</f>
        <v>26.341909451835274</v>
      </c>
      <c r="V24" s="208">
        <f>(INDEX('Final allowances'!$S$21:$S$32, MATCH('Financial model inputs '!$B24, 'Final allowances'!$B$21:$B$32,0))/5)*T24</f>
        <v>14.88849519741526</v>
      </c>
      <c r="W24" s="208">
        <f>(INDEX('Final allowances'!$P$37:$P$50, MATCH('Financial model inputs '!$B24, 'Final allowances'!$B$37:$B$50,0))/5)</f>
        <v>1.0112000000000001</v>
      </c>
      <c r="X24" s="208">
        <f t="shared" si="5"/>
        <v>15.89969519741526</v>
      </c>
      <c r="Y24" s="208">
        <f>INDEX('Final allowances'!$I$6:$I$17,MATCH('Financial model inputs '!$B24,'Final allowances'!$B$6:$B$17,0))/5</f>
        <v>42.704709649556548</v>
      </c>
      <c r="Z24" s="208">
        <f>INDEX('Final allowances'!$F$6:$F$17,MATCH('Financial model inputs '!$B24,'Final allowances'!$B$6:$B$17,0))/5</f>
        <v>42.241604649250533</v>
      </c>
      <c r="AA24" s="208">
        <v>5.4291456401175662</v>
      </c>
      <c r="AB24" s="208">
        <v>0.43997094016435351</v>
      </c>
      <c r="AC24" s="208">
        <v>0</v>
      </c>
      <c r="AD24" s="119"/>
      <c r="AE24" s="119"/>
      <c r="AF24" s="119"/>
      <c r="AG24" s="81">
        <v>0</v>
      </c>
      <c r="AH24" s="81">
        <v>1.8839999999999999</v>
      </c>
      <c r="AI24" s="81">
        <v>0</v>
      </c>
      <c r="AJ24" s="81">
        <v>0</v>
      </c>
    </row>
    <row r="25" spans="1:36" x14ac:dyDescent="0.2">
      <c r="A25" s="3" t="s">
        <v>206</v>
      </c>
      <c r="B25" s="7" t="s">
        <v>12</v>
      </c>
      <c r="C25" s="7" t="s">
        <v>16</v>
      </c>
      <c r="D25" s="7">
        <v>2021</v>
      </c>
      <c r="E25" s="208">
        <v>82.097000000000008</v>
      </c>
      <c r="F25" s="208">
        <v>11.666</v>
      </c>
      <c r="G25" s="208">
        <v>35.213000000000001</v>
      </c>
      <c r="H25" s="208">
        <f t="shared" si="0"/>
        <v>0.63652927676466942</v>
      </c>
      <c r="I25" s="208">
        <f t="shared" si="1"/>
        <v>0.36347072323533064</v>
      </c>
      <c r="J25" s="208">
        <f>(INDEX('Final allowances'!$T$21:$T$32, MATCH('Financial model inputs '!$B25, 'Final allowances'!$B$21:$B$32,0))/5)*H25</f>
        <v>84.535844689720975</v>
      </c>
      <c r="K25" s="208">
        <f>(INDEX('Final allowances'!$T$21:$T$32, MATCH('Financial model inputs '!$B25, 'Final allowances'!$B$21:$B$32,0))/5)*I25</f>
        <v>48.271628235007732</v>
      </c>
      <c r="L25" s="208">
        <f>(INDEX('Final allowances'!$Q$38:$Q$50, MATCH('Financial model inputs '!$B25, 'Final allowances'!$B$38:$B$50,0))/5)</f>
        <v>30.453414361558593</v>
      </c>
      <c r="M25" s="208">
        <f t="shared" si="2"/>
        <v>78.725042596566325</v>
      </c>
      <c r="N25" s="208">
        <f>INDEX('Final allowances'!$J$5:$J$16,MATCH('Financial model inputs '!$B25,'Final allowances'!$B$5:$B$16,0))/5</f>
        <v>166.4706950761541</v>
      </c>
      <c r="O25" s="208">
        <f>INDEX('Final allowances'!$G$5:$G$16,MATCH('Financial model inputs '!$B25,'Final allowances'!$B$5:$B$16,0))/5</f>
        <v>163.2608872862873</v>
      </c>
      <c r="P25" s="208">
        <v>14.304</v>
      </c>
      <c r="Q25" s="208">
        <v>0</v>
      </c>
      <c r="R25" s="208">
        <v>4.2220000000000004</v>
      </c>
      <c r="S25" s="208">
        <f t="shared" si="3"/>
        <v>0.77210406995573788</v>
      </c>
      <c r="T25" s="208">
        <f t="shared" si="4"/>
        <v>0.22789593004426215</v>
      </c>
      <c r="U25" s="208">
        <f>(INDEX('Final allowances'!$S$21:$S$32, MATCH('Financial model inputs '!$B25, 'Final allowances'!$B$21:$B$32,0))/5)*S25</f>
        <v>14.738702072830904</v>
      </c>
      <c r="V25" s="208">
        <f>(INDEX('Final allowances'!$S$21:$S$32, MATCH('Financial model inputs '!$B25, 'Final allowances'!$B$21:$B$32,0))/5)*T25</f>
        <v>4.3503076168548711</v>
      </c>
      <c r="W25" s="208">
        <f>(INDEX('Final allowances'!$P$37:$P$50, MATCH('Financial model inputs '!$B25, 'Final allowances'!$B$37:$B$50,0))/5)</f>
        <v>0.37876759663912202</v>
      </c>
      <c r="X25" s="208">
        <f t="shared" si="5"/>
        <v>4.7290752134939931</v>
      </c>
      <c r="Y25" s="208">
        <f>INDEX('Final allowances'!$I$6:$I$17,MATCH('Financial model inputs '!$B25,'Final allowances'!$B$6:$B$17,0))/5</f>
        <v>19.790430575651897</v>
      </c>
      <c r="Z25" s="208">
        <f>INDEX('Final allowances'!$F$6:$F$17,MATCH('Financial model inputs '!$B25,'Final allowances'!$B$6:$B$17,0))/5</f>
        <v>19.467777286324896</v>
      </c>
      <c r="AA25" s="208">
        <v>4.0497879590101249</v>
      </c>
      <c r="AB25" s="208">
        <v>0.80617553374249229</v>
      </c>
      <c r="AC25" s="208">
        <v>0</v>
      </c>
      <c r="AD25" s="119"/>
      <c r="AE25" s="119"/>
      <c r="AF25" s="119"/>
      <c r="AG25" s="81">
        <v>0</v>
      </c>
      <c r="AH25" s="81">
        <v>1.59</v>
      </c>
      <c r="AI25" s="81">
        <v>0</v>
      </c>
      <c r="AJ25" s="81">
        <v>0</v>
      </c>
    </row>
    <row r="26" spans="1:36" x14ac:dyDescent="0.2">
      <c r="A26" s="3" t="s">
        <v>207</v>
      </c>
      <c r="B26" s="7" t="s">
        <v>12</v>
      </c>
      <c r="C26" s="7" t="s">
        <v>17</v>
      </c>
      <c r="D26" s="7">
        <v>2022</v>
      </c>
      <c r="E26" s="208">
        <v>81.716000000000008</v>
      </c>
      <c r="F26" s="208">
        <v>11.977</v>
      </c>
      <c r="G26" s="208">
        <v>38.480000000000004</v>
      </c>
      <c r="H26" s="208">
        <f t="shared" si="0"/>
        <v>0.6182503234397343</v>
      </c>
      <c r="I26" s="208">
        <f t="shared" si="1"/>
        <v>0.38174967656026576</v>
      </c>
      <c r="J26" s="208">
        <f>(INDEX('Final allowances'!$T$21:$T$32, MATCH('Financial model inputs '!$B26, 'Final allowances'!$B$21:$B$32,0))/5)*H26</f>
        <v>82.108263090927267</v>
      </c>
      <c r="K26" s="208">
        <f>(INDEX('Final allowances'!$T$21:$T$32, MATCH('Financial model inputs '!$B26, 'Final allowances'!$B$21:$B$32,0))/5)*I26</f>
        <v>50.699209833801433</v>
      </c>
      <c r="L26" s="208">
        <f>(INDEX('Final allowances'!$Q$38:$Q$50, MATCH('Financial model inputs '!$B26, 'Final allowances'!$B$38:$B$50,0))/5)</f>
        <v>30.453414361558593</v>
      </c>
      <c r="M26" s="208">
        <f t="shared" si="2"/>
        <v>81.152624195360033</v>
      </c>
      <c r="N26" s="208">
        <f>INDEX('Final allowances'!$J$5:$J$16,MATCH('Financial model inputs '!$B26,'Final allowances'!$B$5:$B$16,0))/5</f>
        <v>166.4706950761541</v>
      </c>
      <c r="O26" s="208">
        <f>INDEX('Final allowances'!$G$5:$G$16,MATCH('Financial model inputs '!$B26,'Final allowances'!$B$5:$B$16,0))/5</f>
        <v>163.2608872862873</v>
      </c>
      <c r="P26" s="208">
        <v>14.456000000000001</v>
      </c>
      <c r="Q26" s="208">
        <v>0</v>
      </c>
      <c r="R26" s="208">
        <v>4.2720000000000002</v>
      </c>
      <c r="S26" s="208">
        <f t="shared" si="3"/>
        <v>0.77189235369500209</v>
      </c>
      <c r="T26" s="208">
        <f t="shared" si="4"/>
        <v>0.22810764630499786</v>
      </c>
      <c r="U26" s="208">
        <f>(INDEX('Final allowances'!$S$21:$S$32, MATCH('Financial model inputs '!$B26, 'Final allowances'!$B$21:$B$32,0))/5)*S26</f>
        <v>14.734660619078253</v>
      </c>
      <c r="V26" s="208">
        <f>(INDEX('Final allowances'!$S$21:$S$32, MATCH('Financial model inputs '!$B26, 'Final allowances'!$B$21:$B$32,0))/5)*T26</f>
        <v>4.3543490706075199</v>
      </c>
      <c r="W26" s="208">
        <f>(INDEX('Final allowances'!$P$37:$P$50, MATCH('Financial model inputs '!$B26, 'Final allowances'!$B$37:$B$50,0))/5)</f>
        <v>0.37876759663912202</v>
      </c>
      <c r="X26" s="208">
        <f t="shared" si="5"/>
        <v>4.7331166672466418</v>
      </c>
      <c r="Y26" s="208">
        <f>INDEX('Final allowances'!$I$6:$I$17,MATCH('Financial model inputs '!$B26,'Final allowances'!$B$6:$B$17,0))/5</f>
        <v>19.790430575651897</v>
      </c>
      <c r="Z26" s="208">
        <f>INDEX('Final allowances'!$F$6:$F$17,MATCH('Financial model inputs '!$B26,'Final allowances'!$B$6:$B$17,0))/5</f>
        <v>19.467777286324896</v>
      </c>
      <c r="AA26" s="208">
        <v>4.0492509903239933</v>
      </c>
      <c r="AB26" s="208">
        <v>0.80709091289251655</v>
      </c>
      <c r="AC26" s="208">
        <v>0</v>
      </c>
      <c r="AD26" s="119"/>
      <c r="AE26" s="119"/>
      <c r="AF26" s="119"/>
      <c r="AG26" s="81">
        <v>0</v>
      </c>
      <c r="AH26" s="81">
        <v>1.59</v>
      </c>
      <c r="AI26" s="81">
        <v>0</v>
      </c>
      <c r="AJ26" s="81">
        <v>0</v>
      </c>
    </row>
    <row r="27" spans="1:36" x14ac:dyDescent="0.2">
      <c r="A27" s="3" t="s">
        <v>208</v>
      </c>
      <c r="B27" s="7" t="s">
        <v>12</v>
      </c>
      <c r="C27" s="7" t="s">
        <v>18</v>
      </c>
      <c r="D27" s="7">
        <v>2023</v>
      </c>
      <c r="E27" s="208">
        <v>81.13300000000001</v>
      </c>
      <c r="F27" s="208">
        <v>8.8670000000000009</v>
      </c>
      <c r="G27" s="208">
        <v>33.150999999999996</v>
      </c>
      <c r="H27" s="208">
        <f t="shared" si="0"/>
        <v>0.65880910427036732</v>
      </c>
      <c r="I27" s="208">
        <f t="shared" si="1"/>
        <v>0.34119089572963268</v>
      </c>
      <c r="J27" s="208">
        <f>(INDEX('Final allowances'!$T$21:$T$32, MATCH('Financial model inputs '!$B27, 'Final allowances'!$B$21:$B$32,0))/5)*H27</f>
        <v>87.494772277951569</v>
      </c>
      <c r="K27" s="208">
        <f>(INDEX('Final allowances'!$T$21:$T$32, MATCH('Financial model inputs '!$B27, 'Final allowances'!$B$21:$B$32,0))/5)*I27</f>
        <v>45.312700646777124</v>
      </c>
      <c r="L27" s="208">
        <f>(INDEX('Final allowances'!$Q$38:$Q$50, MATCH('Financial model inputs '!$B27, 'Final allowances'!$B$38:$B$50,0))/5)</f>
        <v>30.453414361558593</v>
      </c>
      <c r="M27" s="208">
        <f t="shared" si="2"/>
        <v>75.766115008335717</v>
      </c>
      <c r="N27" s="208">
        <f>INDEX('Final allowances'!$J$5:$J$16,MATCH('Financial model inputs '!$B27,'Final allowances'!$B$5:$B$16,0))/5</f>
        <v>166.4706950761541</v>
      </c>
      <c r="O27" s="208">
        <f>INDEX('Final allowances'!$G$5:$G$16,MATCH('Financial model inputs '!$B27,'Final allowances'!$B$5:$B$16,0))/5</f>
        <v>163.2608872862873</v>
      </c>
      <c r="P27" s="208">
        <v>14.433</v>
      </c>
      <c r="Q27" s="208">
        <v>0</v>
      </c>
      <c r="R27" s="208">
        <v>4.4089999999999998</v>
      </c>
      <c r="S27" s="208">
        <f t="shared" si="3"/>
        <v>0.7660014860418215</v>
      </c>
      <c r="T27" s="208">
        <f t="shared" si="4"/>
        <v>0.23399851395817856</v>
      </c>
      <c r="U27" s="208">
        <f>(INDEX('Final allowances'!$S$21:$S$32, MATCH('Financial model inputs '!$B27, 'Final allowances'!$B$21:$B$32,0))/5)*S27</f>
        <v>14.622209789366034</v>
      </c>
      <c r="V27" s="208">
        <f>(INDEX('Final allowances'!$S$21:$S$32, MATCH('Financial model inputs '!$B27, 'Final allowances'!$B$21:$B$32,0))/5)*T27</f>
        <v>4.4667999003197423</v>
      </c>
      <c r="W27" s="208">
        <f>(INDEX('Final allowances'!$P$37:$P$50, MATCH('Financial model inputs '!$B27, 'Final allowances'!$B$37:$B$50,0))/5)</f>
        <v>0.37876759663912202</v>
      </c>
      <c r="X27" s="208">
        <f t="shared" si="5"/>
        <v>4.8455674969588642</v>
      </c>
      <c r="Y27" s="208">
        <f>INDEX('Final allowances'!$I$6:$I$17,MATCH('Financial model inputs '!$B27,'Final allowances'!$B$6:$B$17,0))/5</f>
        <v>19.790430575651897</v>
      </c>
      <c r="Z27" s="208">
        <f>INDEX('Final allowances'!$F$6:$F$17,MATCH('Financial model inputs '!$B27,'Final allowances'!$B$6:$B$17,0))/5</f>
        <v>19.467777286324896</v>
      </c>
      <c r="AA27" s="208">
        <v>0</v>
      </c>
      <c r="AB27" s="208">
        <v>0</v>
      </c>
      <c r="AC27" s="208">
        <v>0</v>
      </c>
      <c r="AD27" s="119"/>
      <c r="AE27" s="119"/>
      <c r="AF27" s="119"/>
      <c r="AG27" s="81">
        <v>0</v>
      </c>
      <c r="AH27" s="81">
        <v>1.59</v>
      </c>
      <c r="AI27" s="81">
        <v>0</v>
      </c>
      <c r="AJ27" s="81">
        <v>0</v>
      </c>
    </row>
    <row r="28" spans="1:36" x14ac:dyDescent="0.2">
      <c r="A28" s="3" t="s">
        <v>209</v>
      </c>
      <c r="B28" s="7" t="s">
        <v>12</v>
      </c>
      <c r="C28" s="7" t="s">
        <v>19</v>
      </c>
      <c r="D28" s="7">
        <v>2024</v>
      </c>
      <c r="E28" s="208">
        <v>79.59</v>
      </c>
      <c r="F28" s="208">
        <v>10.276999999999999</v>
      </c>
      <c r="G28" s="208">
        <v>32.391999999999996</v>
      </c>
      <c r="H28" s="208">
        <f t="shared" si="0"/>
        <v>0.65099501877162425</v>
      </c>
      <c r="I28" s="208">
        <f t="shared" si="1"/>
        <v>0.34900498122837581</v>
      </c>
      <c r="J28" s="208">
        <f>(INDEX('Final allowances'!$T$21:$T$32, MATCH('Financial model inputs '!$B28, 'Final allowances'!$B$21:$B$32,0))/5)*H28</f>
        <v>86.457003329645744</v>
      </c>
      <c r="K28" s="208">
        <f>(INDEX('Final allowances'!$T$21:$T$32, MATCH('Financial model inputs '!$B28, 'Final allowances'!$B$21:$B$32,0))/5)*I28</f>
        <v>46.35046959508297</v>
      </c>
      <c r="L28" s="208">
        <f>(INDEX('Final allowances'!$Q$38:$Q$50, MATCH('Financial model inputs '!$B28, 'Final allowances'!$B$38:$B$50,0))/5)</f>
        <v>30.453414361558593</v>
      </c>
      <c r="M28" s="208">
        <f t="shared" si="2"/>
        <v>76.803883956641556</v>
      </c>
      <c r="N28" s="208">
        <f>INDEX('Final allowances'!$J$5:$J$16,MATCH('Financial model inputs '!$B28,'Final allowances'!$B$5:$B$16,0))/5</f>
        <v>166.4706950761541</v>
      </c>
      <c r="O28" s="208">
        <f>INDEX('Final allowances'!$G$5:$G$16,MATCH('Financial model inputs '!$B28,'Final allowances'!$B$5:$B$16,0))/5</f>
        <v>163.2608872862873</v>
      </c>
      <c r="P28" s="208">
        <v>14.448</v>
      </c>
      <c r="Q28" s="208">
        <v>0</v>
      </c>
      <c r="R28" s="208">
        <v>4.34</v>
      </c>
      <c r="S28" s="208">
        <f t="shared" si="3"/>
        <v>0.76900149031296572</v>
      </c>
      <c r="T28" s="208">
        <f t="shared" si="4"/>
        <v>0.23099850968703425</v>
      </c>
      <c r="U28" s="208">
        <f>(INDEX('Final allowances'!$S$21:$S$32, MATCH('Financial model inputs '!$B28, 'Final allowances'!$B$21:$B$32,0))/5)*S28</f>
        <v>14.679476899967003</v>
      </c>
      <c r="V28" s="208">
        <f>(INDEX('Final allowances'!$S$21:$S$32, MATCH('Financial model inputs '!$B28, 'Final allowances'!$B$21:$B$32,0))/5)*T28</f>
        <v>4.4095327897187699</v>
      </c>
      <c r="W28" s="208">
        <f>(INDEX('Final allowances'!$P$37:$P$50, MATCH('Financial model inputs '!$B28, 'Final allowances'!$B$37:$B$50,0))/5)</f>
        <v>0.37876759663912202</v>
      </c>
      <c r="X28" s="208">
        <f t="shared" si="5"/>
        <v>4.7883003863578919</v>
      </c>
      <c r="Y28" s="208">
        <f>INDEX('Final allowances'!$I$6:$I$17,MATCH('Financial model inputs '!$B28,'Final allowances'!$B$6:$B$17,0))/5</f>
        <v>19.790430575651897</v>
      </c>
      <c r="Z28" s="208">
        <f>INDEX('Final allowances'!$F$6:$F$17,MATCH('Financial model inputs '!$B28,'Final allowances'!$B$6:$B$17,0))/5</f>
        <v>19.467777286324896</v>
      </c>
      <c r="AA28" s="208">
        <v>0</v>
      </c>
      <c r="AB28" s="208">
        <v>0</v>
      </c>
      <c r="AC28" s="208">
        <v>0</v>
      </c>
      <c r="AD28" s="119"/>
      <c r="AE28" s="119"/>
      <c r="AF28" s="119"/>
      <c r="AG28" s="81">
        <v>0</v>
      </c>
      <c r="AH28" s="81">
        <v>1.59</v>
      </c>
      <c r="AI28" s="81">
        <v>0</v>
      </c>
      <c r="AJ28" s="81">
        <v>0</v>
      </c>
    </row>
    <row r="29" spans="1:36" x14ac:dyDescent="0.2">
      <c r="A29" s="3" t="s">
        <v>210</v>
      </c>
      <c r="B29" s="7" t="s">
        <v>12</v>
      </c>
      <c r="C29" s="7" t="s">
        <v>20</v>
      </c>
      <c r="D29" s="7">
        <v>2025</v>
      </c>
      <c r="E29" s="208">
        <v>78.697000000000003</v>
      </c>
      <c r="F29" s="208">
        <v>8.3339999999999996</v>
      </c>
      <c r="G29" s="208">
        <v>34.149000000000001</v>
      </c>
      <c r="H29" s="208">
        <f t="shared" si="0"/>
        <v>0.64942234692193435</v>
      </c>
      <c r="I29" s="208">
        <f t="shared" si="1"/>
        <v>0.35057765307806571</v>
      </c>
      <c r="J29" s="208">
        <f>(INDEX('Final allowances'!$T$21:$T$32, MATCH('Financial model inputs '!$B29, 'Final allowances'!$B$21:$B$32,0))/5)*H29</f>
        <v>86.248140755548562</v>
      </c>
      <c r="K29" s="208">
        <f>(INDEX('Final allowances'!$T$21:$T$32, MATCH('Financial model inputs '!$B29, 'Final allowances'!$B$21:$B$32,0))/5)*I29</f>
        <v>46.559332169180145</v>
      </c>
      <c r="L29" s="208">
        <f>(INDEX('Final allowances'!$Q$38:$Q$50, MATCH('Financial model inputs '!$B29, 'Final allowances'!$B$38:$B$50,0))/5)</f>
        <v>30.453414361558593</v>
      </c>
      <c r="M29" s="208">
        <f t="shared" si="2"/>
        <v>77.012746530738738</v>
      </c>
      <c r="N29" s="208">
        <f>INDEX('Final allowances'!$J$5:$J$16,MATCH('Financial model inputs '!$B29,'Final allowances'!$B$5:$B$16,0))/5</f>
        <v>166.4706950761541</v>
      </c>
      <c r="O29" s="208">
        <f>INDEX('Final allowances'!$G$5:$G$16,MATCH('Financial model inputs '!$B29,'Final allowances'!$B$5:$B$16,0))/5</f>
        <v>163.2608872862873</v>
      </c>
      <c r="P29" s="208">
        <v>14.513</v>
      </c>
      <c r="Q29" s="208">
        <v>0</v>
      </c>
      <c r="R29" s="208">
        <v>4.2229999999999999</v>
      </c>
      <c r="S29" s="208">
        <f t="shared" si="3"/>
        <v>0.77460503842869344</v>
      </c>
      <c r="T29" s="208">
        <f t="shared" si="4"/>
        <v>0.22539496157130656</v>
      </c>
      <c r="U29" s="208">
        <f>(INDEX('Final allowances'!$S$21:$S$32, MATCH('Financial model inputs '!$B29, 'Final allowances'!$B$21:$B$32,0))/5)*S29</f>
        <v>14.78644308424475</v>
      </c>
      <c r="V29" s="208">
        <f>(INDEX('Final allowances'!$S$21:$S$32, MATCH('Financial model inputs '!$B29, 'Final allowances'!$B$21:$B$32,0))/5)*T29</f>
        <v>4.3025666054410241</v>
      </c>
      <c r="W29" s="208">
        <f>(INDEX('Final allowances'!$P$37:$P$50, MATCH('Financial model inputs '!$B29, 'Final allowances'!$B$37:$B$50,0))/5)</f>
        <v>0.37876759663912202</v>
      </c>
      <c r="X29" s="208">
        <f t="shared" si="5"/>
        <v>4.6813342020801461</v>
      </c>
      <c r="Y29" s="208">
        <f>INDEX('Final allowances'!$I$6:$I$17,MATCH('Financial model inputs '!$B29,'Final allowances'!$B$6:$B$17,0))/5</f>
        <v>19.790430575651897</v>
      </c>
      <c r="Z29" s="208">
        <f>INDEX('Final allowances'!$F$6:$F$17,MATCH('Financial model inputs '!$B29,'Final allowances'!$B$6:$B$17,0))/5</f>
        <v>19.467777286324896</v>
      </c>
      <c r="AA29" s="208">
        <v>0</v>
      </c>
      <c r="AB29" s="208">
        <v>0</v>
      </c>
      <c r="AC29" s="208">
        <v>0</v>
      </c>
      <c r="AD29" s="119"/>
      <c r="AE29" s="119"/>
      <c r="AF29" s="119"/>
      <c r="AG29" s="81">
        <v>0</v>
      </c>
      <c r="AH29" s="81">
        <v>1.59</v>
      </c>
      <c r="AI29" s="81">
        <v>0</v>
      </c>
      <c r="AJ29" s="81">
        <v>0</v>
      </c>
    </row>
    <row r="30" spans="1:36" x14ac:dyDescent="0.2">
      <c r="A30" s="3" t="s">
        <v>211</v>
      </c>
      <c r="B30" s="7" t="s">
        <v>9</v>
      </c>
      <c r="C30" s="7" t="s">
        <v>16</v>
      </c>
      <c r="D30" s="7">
        <v>2021</v>
      </c>
      <c r="E30" s="208">
        <v>332.70070971353999</v>
      </c>
      <c r="F30" s="208">
        <v>58.776083336499994</v>
      </c>
      <c r="G30" s="208">
        <v>228.56666485659989</v>
      </c>
      <c r="H30" s="208">
        <f t="shared" si="0"/>
        <v>0.53657643745938022</v>
      </c>
      <c r="I30" s="208">
        <f t="shared" si="1"/>
        <v>0.46342356254061973</v>
      </c>
      <c r="J30" s="208">
        <f>(INDEX('Final allowances'!$T$21:$T$32, MATCH('Financial model inputs '!$B30, 'Final allowances'!$B$21:$B$32,0))/5)*H30</f>
        <v>353.45761333279177</v>
      </c>
      <c r="K30" s="208">
        <f>(INDEX('Final allowances'!$T$21:$T$32, MATCH('Financial model inputs '!$B30, 'Final allowances'!$B$21:$B$32,0))/5)*I30</f>
        <v>305.26980862849985</v>
      </c>
      <c r="L30" s="208">
        <f>(INDEX('Final allowances'!$Q$38:$Q$50, MATCH('Financial model inputs '!$B30, 'Final allowances'!$B$38:$B$50,0))/5)</f>
        <v>65.768421673592485</v>
      </c>
      <c r="M30" s="208">
        <f t="shared" si="2"/>
        <v>371.0382303020923</v>
      </c>
      <c r="N30" s="208">
        <f>INDEX('Final allowances'!$J$5:$J$16,MATCH('Financial model inputs '!$B30,'Final allowances'!$B$5:$B$16,0))/5</f>
        <v>733.24883124270457</v>
      </c>
      <c r="O30" s="208">
        <f>INDEX('Final allowances'!$G$5:$G$16,MATCH('Financial model inputs '!$B30,'Final allowances'!$B$5:$B$16,0))/5</f>
        <v>724.49584363488407</v>
      </c>
      <c r="P30" s="208">
        <v>48.873368904957701</v>
      </c>
      <c r="Q30" s="208">
        <v>6.4736258011999999</v>
      </c>
      <c r="R30" s="208">
        <v>52.276060543</v>
      </c>
      <c r="S30" s="208">
        <f t="shared" si="3"/>
        <v>0.45411616304528024</v>
      </c>
      <c r="T30" s="208">
        <f t="shared" si="4"/>
        <v>0.54588383695471976</v>
      </c>
      <c r="U30" s="208">
        <f>(INDEX('Final allowances'!$S$21:$S$32, MATCH('Financial model inputs '!$B30, 'Final allowances'!$B$21:$B$32,0))/5)*S30</f>
        <v>65.709350610238459</v>
      </c>
      <c r="V30" s="208">
        <f>(INDEX('Final allowances'!$S$21:$S$32, MATCH('Financial model inputs '!$B30, 'Final allowances'!$B$21:$B$32,0))/5)*T30</f>
        <v>78.987878771765565</v>
      </c>
      <c r="W30" s="208">
        <f>(INDEX('Final allowances'!$P$37:$P$50, MATCH('Financial model inputs '!$B30, 'Final allowances'!$B$37:$B$50,0))/5)</f>
        <v>0</v>
      </c>
      <c r="X30" s="208">
        <f t="shared" si="5"/>
        <v>78.987878771765565</v>
      </c>
      <c r="Y30" s="208">
        <f>INDEX('Final allowances'!$I$6:$I$17,MATCH('Financial model inputs '!$B30,'Final allowances'!$B$6:$B$17,0))/5</f>
        <v>146.25569049798341</v>
      </c>
      <c r="Z30" s="208">
        <f>INDEX('Final allowances'!$F$6:$F$17,MATCH('Financial model inputs '!$B30,'Final allowances'!$B$6:$B$17,0))/5</f>
        <v>144.69722938200402</v>
      </c>
      <c r="AA30" s="208">
        <v>7.7475754970509998</v>
      </c>
      <c r="AB30" s="208">
        <v>2.3657548038044807</v>
      </c>
      <c r="AC30" s="208">
        <v>0</v>
      </c>
      <c r="AD30" s="81">
        <v>4.0612246738417603</v>
      </c>
      <c r="AE30" s="81">
        <v>32.799667293662608</v>
      </c>
      <c r="AF30" s="81">
        <v>36.860891967504365</v>
      </c>
      <c r="AG30" s="81">
        <v>0</v>
      </c>
      <c r="AH30" s="81">
        <v>4.1445545213710986</v>
      </c>
      <c r="AI30" s="81">
        <v>0</v>
      </c>
      <c r="AJ30" s="81">
        <v>0</v>
      </c>
    </row>
    <row r="31" spans="1:36" x14ac:dyDescent="0.2">
      <c r="A31" s="3" t="s">
        <v>212</v>
      </c>
      <c r="B31" s="7" t="s">
        <v>9</v>
      </c>
      <c r="C31" s="7" t="s">
        <v>17</v>
      </c>
      <c r="D31" s="7">
        <v>2022</v>
      </c>
      <c r="E31" s="208">
        <v>312.38328286188903</v>
      </c>
      <c r="F31" s="208">
        <v>62.228048851099999</v>
      </c>
      <c r="G31" s="208">
        <v>287.3458474359</v>
      </c>
      <c r="H31" s="208">
        <f t="shared" si="0"/>
        <v>0.47190859575469157</v>
      </c>
      <c r="I31" s="208">
        <f t="shared" si="1"/>
        <v>0.52809140424530843</v>
      </c>
      <c r="J31" s="208">
        <f>(INDEX('Final allowances'!$T$21:$T$32, MATCH('Financial model inputs '!$B31, 'Final allowances'!$B$21:$B$32,0))/5)*H31</f>
        <v>310.85913268286129</v>
      </c>
      <c r="K31" s="208">
        <f>(INDEX('Final allowances'!$T$21:$T$32, MATCH('Financial model inputs '!$B31, 'Final allowances'!$B$21:$B$32,0))/5)*I31</f>
        <v>347.86828927843032</v>
      </c>
      <c r="L31" s="208">
        <f>(INDEX('Final allowances'!$Q$38:$Q$50, MATCH('Financial model inputs '!$B31, 'Final allowances'!$B$38:$B$50,0))/5)</f>
        <v>65.768421673592485</v>
      </c>
      <c r="M31" s="208">
        <f t="shared" si="2"/>
        <v>413.63671095202278</v>
      </c>
      <c r="N31" s="208">
        <f>INDEX('Final allowances'!$J$5:$J$16,MATCH('Financial model inputs '!$B31,'Final allowances'!$B$5:$B$16,0))/5</f>
        <v>733.24883124270457</v>
      </c>
      <c r="O31" s="208">
        <f>INDEX('Final allowances'!$G$5:$G$16,MATCH('Financial model inputs '!$B31,'Final allowances'!$B$5:$B$16,0))/5</f>
        <v>724.49584363488407</v>
      </c>
      <c r="P31" s="208">
        <v>50.368729647811712</v>
      </c>
      <c r="Q31" s="208">
        <v>13.107694207300002</v>
      </c>
      <c r="R31" s="208">
        <v>79.702549029700009</v>
      </c>
      <c r="S31" s="208">
        <f t="shared" si="3"/>
        <v>0.35178859460273987</v>
      </c>
      <c r="T31" s="208">
        <f t="shared" si="4"/>
        <v>0.64821140539726019</v>
      </c>
      <c r="U31" s="208">
        <f>(INDEX('Final allowances'!$S$21:$S$32, MATCH('Financial model inputs '!$B31, 'Final allowances'!$B$21:$B$32,0))/5)*S31</f>
        <v>50.902834967205472</v>
      </c>
      <c r="V31" s="208">
        <f>(INDEX('Final allowances'!$S$21:$S$32, MATCH('Financial model inputs '!$B31, 'Final allowances'!$B$21:$B$32,0))/5)*T31</f>
        <v>93.79439441479856</v>
      </c>
      <c r="W31" s="208">
        <f>(INDEX('Final allowances'!$P$37:$P$50, MATCH('Financial model inputs '!$B31, 'Final allowances'!$B$37:$B$50,0))/5)</f>
        <v>0</v>
      </c>
      <c r="X31" s="208">
        <f t="shared" si="5"/>
        <v>93.79439441479856</v>
      </c>
      <c r="Y31" s="208">
        <f>INDEX('Final allowances'!$I$6:$I$17,MATCH('Financial model inputs '!$B31,'Final allowances'!$B$6:$B$17,0))/5</f>
        <v>146.25569049798341</v>
      </c>
      <c r="Z31" s="208">
        <f>INDEX('Final allowances'!$F$6:$F$17,MATCH('Financial model inputs '!$B31,'Final allowances'!$B$6:$B$17,0))/5</f>
        <v>144.69722938200402</v>
      </c>
      <c r="AA31" s="208">
        <v>7.7475754970509847</v>
      </c>
      <c r="AB31" s="208">
        <v>2.3657548038044731</v>
      </c>
      <c r="AC31" s="208">
        <v>0</v>
      </c>
      <c r="AD31" s="81">
        <v>5.5164122505436319</v>
      </c>
      <c r="AE31" s="81">
        <v>48.644685890724901</v>
      </c>
      <c r="AF31" s="81">
        <v>54.161098141268532</v>
      </c>
      <c r="AG31" s="81">
        <v>0</v>
      </c>
      <c r="AH31" s="81">
        <v>4.062578800425265</v>
      </c>
      <c r="AI31" s="81">
        <v>0</v>
      </c>
      <c r="AJ31" s="81">
        <v>0</v>
      </c>
    </row>
    <row r="32" spans="1:36" x14ac:dyDescent="0.2">
      <c r="A32" s="3" t="s">
        <v>213</v>
      </c>
      <c r="B32" s="7" t="s">
        <v>9</v>
      </c>
      <c r="C32" s="7" t="s">
        <v>18</v>
      </c>
      <c r="D32" s="7">
        <v>2023</v>
      </c>
      <c r="E32" s="208">
        <v>307.24414536629001</v>
      </c>
      <c r="F32" s="208">
        <v>73.8753196973</v>
      </c>
      <c r="G32" s="208">
        <v>248.88733496589998</v>
      </c>
      <c r="H32" s="208">
        <f t="shared" si="0"/>
        <v>0.48768385571696721</v>
      </c>
      <c r="I32" s="208">
        <f t="shared" si="1"/>
        <v>0.51231614428303285</v>
      </c>
      <c r="J32" s="208">
        <f>(INDEX('Final allowances'!$T$21:$T$32, MATCH('Financial model inputs '!$B32, 'Final allowances'!$B$21:$B$32,0))/5)*H32</f>
        <v>321.25072900858032</v>
      </c>
      <c r="K32" s="208">
        <f>(INDEX('Final allowances'!$T$21:$T$32, MATCH('Financial model inputs '!$B32, 'Final allowances'!$B$21:$B$32,0))/5)*I32</f>
        <v>337.47669295271135</v>
      </c>
      <c r="L32" s="208">
        <f>(INDEX('Final allowances'!$Q$38:$Q$50, MATCH('Financial model inputs '!$B32, 'Final allowances'!$B$38:$B$50,0))/5)</f>
        <v>65.768421673592485</v>
      </c>
      <c r="M32" s="208">
        <f t="shared" si="2"/>
        <v>403.2451146263038</v>
      </c>
      <c r="N32" s="208">
        <f>INDEX('Final allowances'!$J$5:$J$16,MATCH('Financial model inputs '!$B32,'Final allowances'!$B$5:$B$16,0))/5</f>
        <v>733.24883124270457</v>
      </c>
      <c r="O32" s="208">
        <f>INDEX('Final allowances'!$G$5:$G$16,MATCH('Financial model inputs '!$B32,'Final allowances'!$B$5:$B$16,0))/5</f>
        <v>724.49584363488407</v>
      </c>
      <c r="P32" s="208">
        <v>51.426275484119685</v>
      </c>
      <c r="Q32" s="208">
        <v>2.3879237233000001</v>
      </c>
      <c r="R32" s="208">
        <v>90.749669938300002</v>
      </c>
      <c r="S32" s="208">
        <f t="shared" si="3"/>
        <v>0.35573394505844508</v>
      </c>
      <c r="T32" s="208">
        <f t="shared" si="4"/>
        <v>0.64426605494155509</v>
      </c>
      <c r="U32" s="208">
        <f>(INDEX('Final allowances'!$S$21:$S$32, MATCH('Financial model inputs '!$B32, 'Final allowances'!$B$21:$B$32,0))/5)*S32</f>
        <v>51.473716247087047</v>
      </c>
      <c r="V32" s="208">
        <f>(INDEX('Final allowances'!$S$21:$S$32, MATCH('Financial model inputs '!$B32, 'Final allowances'!$B$21:$B$32,0))/5)*T32</f>
        <v>93.223513134916999</v>
      </c>
      <c r="W32" s="208">
        <f>(INDEX('Final allowances'!$P$37:$P$50, MATCH('Financial model inputs '!$B32, 'Final allowances'!$B$37:$B$50,0))/5)</f>
        <v>0</v>
      </c>
      <c r="X32" s="208">
        <f t="shared" si="5"/>
        <v>93.223513134916999</v>
      </c>
      <c r="Y32" s="208">
        <f>INDEX('Final allowances'!$I$6:$I$17,MATCH('Financial model inputs '!$B32,'Final allowances'!$B$6:$B$17,0))/5</f>
        <v>146.25569049798341</v>
      </c>
      <c r="Z32" s="208">
        <f>INDEX('Final allowances'!$F$6:$F$17,MATCH('Financial model inputs '!$B32,'Final allowances'!$B$6:$B$17,0))/5</f>
        <v>144.69722938200402</v>
      </c>
      <c r="AA32" s="208">
        <v>7.7475754970509838</v>
      </c>
      <c r="AB32" s="208">
        <v>2.3657548038044709</v>
      </c>
      <c r="AC32" s="208">
        <v>0</v>
      </c>
      <c r="AD32" s="81">
        <v>6.0171576737076364</v>
      </c>
      <c r="AE32" s="81">
        <v>26.115193515183883</v>
      </c>
      <c r="AF32" s="81">
        <v>32.132351188891519</v>
      </c>
      <c r="AG32" s="81">
        <v>0</v>
      </c>
      <c r="AH32" s="81">
        <v>4.1171128818342213</v>
      </c>
      <c r="AI32" s="81">
        <v>0.02</v>
      </c>
      <c r="AJ32" s="81">
        <v>0</v>
      </c>
    </row>
    <row r="33" spans="1:36" x14ac:dyDescent="0.2">
      <c r="A33" s="3" t="s">
        <v>214</v>
      </c>
      <c r="B33" s="7" t="s">
        <v>9</v>
      </c>
      <c r="C33" s="7" t="s">
        <v>19</v>
      </c>
      <c r="D33" s="7">
        <v>2024</v>
      </c>
      <c r="E33" s="208">
        <v>305.98271814268901</v>
      </c>
      <c r="F33" s="208">
        <v>68.752877487999996</v>
      </c>
      <c r="G33" s="208">
        <v>210.89373552449999</v>
      </c>
      <c r="H33" s="208">
        <f t="shared" si="0"/>
        <v>0.5224853023312882</v>
      </c>
      <c r="I33" s="208">
        <f t="shared" si="1"/>
        <v>0.4775146976687118</v>
      </c>
      <c r="J33" s="208">
        <f>(INDEX('Final allowances'!$T$21:$T$32, MATCH('Financial model inputs '!$B33, 'Final allowances'!$B$21:$B$32,0))/5)*H33</f>
        <v>344.17539621735551</v>
      </c>
      <c r="K33" s="208">
        <f>(INDEX('Final allowances'!$T$21:$T$32, MATCH('Financial model inputs '!$B33, 'Final allowances'!$B$21:$B$32,0))/5)*I33</f>
        <v>314.5520257439361</v>
      </c>
      <c r="L33" s="208">
        <f>(INDEX('Final allowances'!$Q$38:$Q$50, MATCH('Financial model inputs '!$B33, 'Final allowances'!$B$38:$B$50,0))/5)</f>
        <v>65.768421673592485</v>
      </c>
      <c r="M33" s="208">
        <f t="shared" si="2"/>
        <v>380.32044741752861</v>
      </c>
      <c r="N33" s="208">
        <f>INDEX('Final allowances'!$J$5:$J$16,MATCH('Financial model inputs '!$B33,'Final allowances'!$B$5:$B$16,0))/5</f>
        <v>733.24883124270457</v>
      </c>
      <c r="O33" s="208">
        <f>INDEX('Final allowances'!$G$5:$G$16,MATCH('Financial model inputs '!$B33,'Final allowances'!$B$5:$B$16,0))/5</f>
        <v>724.49584363488407</v>
      </c>
      <c r="P33" s="208">
        <v>48.634242445927718</v>
      </c>
      <c r="Q33" s="208">
        <v>0.22041100089999999</v>
      </c>
      <c r="R33" s="208">
        <v>75.321746129900006</v>
      </c>
      <c r="S33" s="208">
        <f t="shared" si="3"/>
        <v>0.39165447389120794</v>
      </c>
      <c r="T33" s="208">
        <f t="shared" si="4"/>
        <v>0.608345526108792</v>
      </c>
      <c r="U33" s="208">
        <f>(INDEX('Final allowances'!$S$21:$S$32, MATCH('Financial model inputs '!$B33, 'Final allowances'!$B$21:$B$32,0))/5)*S33</f>
        <v>56.671317247124222</v>
      </c>
      <c r="V33" s="208">
        <f>(INDEX('Final allowances'!$S$21:$S$32, MATCH('Financial model inputs '!$B33, 'Final allowances'!$B$21:$B$32,0))/5)*T33</f>
        <v>88.025912134879789</v>
      </c>
      <c r="W33" s="208">
        <f>(INDEX('Final allowances'!$P$37:$P$50, MATCH('Financial model inputs '!$B33, 'Final allowances'!$B$37:$B$50,0))/5)</f>
        <v>0</v>
      </c>
      <c r="X33" s="208">
        <f t="shared" si="5"/>
        <v>88.025912134879789</v>
      </c>
      <c r="Y33" s="208">
        <f>INDEX('Final allowances'!$I$6:$I$17,MATCH('Financial model inputs '!$B33,'Final allowances'!$B$6:$B$17,0))/5</f>
        <v>146.25569049798341</v>
      </c>
      <c r="Z33" s="208">
        <f>INDEX('Final allowances'!$F$6:$F$17,MATCH('Financial model inputs '!$B33,'Final allowances'!$B$6:$B$17,0))/5</f>
        <v>144.69722938200402</v>
      </c>
      <c r="AA33" s="208">
        <v>0</v>
      </c>
      <c r="AB33" s="208">
        <v>0</v>
      </c>
      <c r="AC33" s="208">
        <v>0</v>
      </c>
      <c r="AD33" s="81">
        <v>6.5075928577135675</v>
      </c>
      <c r="AE33" s="81">
        <v>-212.74639439375238</v>
      </c>
      <c r="AF33" s="81">
        <v>-206.23880153603884</v>
      </c>
      <c r="AG33" s="81">
        <v>0</v>
      </c>
      <c r="AH33" s="81">
        <v>4.1091752083694164</v>
      </c>
      <c r="AI33" s="81">
        <v>0.155</v>
      </c>
      <c r="AJ33" s="81">
        <v>0</v>
      </c>
    </row>
    <row r="34" spans="1:36" x14ac:dyDescent="0.2">
      <c r="A34" s="3" t="s">
        <v>215</v>
      </c>
      <c r="B34" s="7" t="s">
        <v>9</v>
      </c>
      <c r="C34" s="7" t="s">
        <v>20</v>
      </c>
      <c r="D34" s="7">
        <v>2025</v>
      </c>
      <c r="E34" s="208">
        <v>307.25801725633903</v>
      </c>
      <c r="F34" s="208">
        <v>55.895460351899899</v>
      </c>
      <c r="G34" s="208">
        <v>181.75124683910002</v>
      </c>
      <c r="H34" s="208">
        <f t="shared" si="0"/>
        <v>0.56387475364242923</v>
      </c>
      <c r="I34" s="208">
        <f t="shared" si="1"/>
        <v>0.43612524635757077</v>
      </c>
      <c r="J34" s="208">
        <f>(INDEX('Final allowances'!$T$21:$T$32, MATCH('Financial model inputs '!$B34, 'Final allowances'!$B$21:$B$32,0))/5)*H34</f>
        <v>371.43976277593583</v>
      </c>
      <c r="K34" s="208">
        <f>(INDEX('Final allowances'!$T$21:$T$32, MATCH('Financial model inputs '!$B34, 'Final allowances'!$B$21:$B$32,0))/5)*I34</f>
        <v>287.28765918535578</v>
      </c>
      <c r="L34" s="208">
        <f>(INDEX('Final allowances'!$Q$38:$Q$50, MATCH('Financial model inputs '!$B34, 'Final allowances'!$B$38:$B$50,0))/5)</f>
        <v>65.768421673592485</v>
      </c>
      <c r="M34" s="208">
        <f t="shared" si="2"/>
        <v>353.05608085894823</v>
      </c>
      <c r="N34" s="208">
        <f>INDEX('Final allowances'!$J$5:$J$16,MATCH('Financial model inputs '!$B34,'Final allowances'!$B$5:$B$16,0))/5</f>
        <v>733.24883124270457</v>
      </c>
      <c r="O34" s="208">
        <f>INDEX('Final allowances'!$G$5:$G$16,MATCH('Financial model inputs '!$B34,'Final allowances'!$B$5:$B$16,0))/5</f>
        <v>724.49584363488407</v>
      </c>
      <c r="P34" s="208">
        <v>47.726942797081669</v>
      </c>
      <c r="Q34" s="208">
        <v>0.22257188680000001</v>
      </c>
      <c r="R34" s="208">
        <v>52.126220613099996</v>
      </c>
      <c r="S34" s="208">
        <f t="shared" si="3"/>
        <v>0.4769082400988478</v>
      </c>
      <c r="T34" s="208">
        <f t="shared" si="4"/>
        <v>0.5230917599011522</v>
      </c>
      <c r="U34" s="208">
        <f>(INDEX('Final allowances'!$S$21:$S$32, MATCH('Financial model inputs '!$B34, 'Final allowances'!$B$21:$B$32,0))/5)*S34</f>
        <v>69.007301011750826</v>
      </c>
      <c r="V34" s="208">
        <f>(INDEX('Final allowances'!$S$21:$S$32, MATCH('Financial model inputs '!$B34, 'Final allowances'!$B$21:$B$32,0))/5)*T34</f>
        <v>75.689928370253199</v>
      </c>
      <c r="W34" s="208">
        <f>(INDEX('Final allowances'!$P$37:$P$50, MATCH('Financial model inputs '!$B34, 'Final allowances'!$B$37:$B$50,0))/5)</f>
        <v>0</v>
      </c>
      <c r="X34" s="208">
        <f t="shared" si="5"/>
        <v>75.689928370253199</v>
      </c>
      <c r="Y34" s="208">
        <f>INDEX('Final allowances'!$I$6:$I$17,MATCH('Financial model inputs '!$B34,'Final allowances'!$B$6:$B$17,0))/5</f>
        <v>146.25569049798341</v>
      </c>
      <c r="Z34" s="208">
        <f>INDEX('Final allowances'!$F$6:$F$17,MATCH('Financial model inputs '!$B34,'Final allowances'!$B$6:$B$17,0))/5</f>
        <v>144.69722938200402</v>
      </c>
      <c r="AA34" s="208">
        <v>0</v>
      </c>
      <c r="AB34" s="208">
        <v>0</v>
      </c>
      <c r="AC34" s="208">
        <v>0</v>
      </c>
      <c r="AD34" s="81">
        <v>7.5771100265114448</v>
      </c>
      <c r="AE34" s="81">
        <v>-252.17555303923692</v>
      </c>
      <c r="AF34" s="81">
        <v>-244.59844301272545</v>
      </c>
      <c r="AG34" s="81">
        <v>0</v>
      </c>
      <c r="AH34" s="81">
        <v>4.0887901359490879</v>
      </c>
      <c r="AI34" s="81">
        <v>0.14000000000000001</v>
      </c>
      <c r="AJ34" s="81">
        <v>0</v>
      </c>
    </row>
    <row r="35" spans="1:36" x14ac:dyDescent="0.2">
      <c r="A35" s="3" t="s">
        <v>216</v>
      </c>
      <c r="B35" s="7" t="s">
        <v>15</v>
      </c>
      <c r="C35" s="7" t="s">
        <v>16</v>
      </c>
      <c r="D35" s="7">
        <v>2021</v>
      </c>
      <c r="E35" s="208">
        <v>125.69999999999999</v>
      </c>
      <c r="F35" s="208">
        <v>10.090999999999999</v>
      </c>
      <c r="G35" s="208">
        <v>58.400000000000006</v>
      </c>
      <c r="H35" s="208">
        <f t="shared" si="0"/>
        <v>0.64730085328362275</v>
      </c>
      <c r="I35" s="208">
        <f t="shared" si="1"/>
        <v>0.35269914671637714</v>
      </c>
      <c r="J35" s="208">
        <f>(INDEX('Final allowances'!$T$21:$T$32, MATCH('Financial model inputs '!$B35, 'Final allowances'!$B$21:$B$32,0))/5)*H35</f>
        <v>130.01502797466893</v>
      </c>
      <c r="K35" s="208">
        <f>(INDEX('Final allowances'!$T$21:$T$32, MATCH('Financial model inputs '!$B35, 'Final allowances'!$B$21:$B$32,0))/5)*I35</f>
        <v>70.842158162394981</v>
      </c>
      <c r="L35" s="208">
        <f>(INDEX('Final allowances'!$Q$38:$Q$50, MATCH('Financial model inputs '!$B35, 'Final allowances'!$B$38:$B$50,0))/5)</f>
        <v>44.899872337605132</v>
      </c>
      <c r="M35" s="208">
        <f t="shared" si="2"/>
        <v>115.74203050000011</v>
      </c>
      <c r="N35" s="208">
        <f>INDEX('Final allowances'!$J$5:$J$16,MATCH('Financial model inputs '!$B35,'Final allowances'!$B$5:$B$16,0))/5</f>
        <v>245.95605847466905</v>
      </c>
      <c r="O35" s="208">
        <f>INDEX('Final allowances'!$G$5:$G$16,MATCH('Financial model inputs '!$B35,'Final allowances'!$B$5:$B$16,0))/5</f>
        <v>245.75705847466907</v>
      </c>
      <c r="P35" s="208">
        <v>15.126000000000001</v>
      </c>
      <c r="Q35" s="208">
        <v>0.183</v>
      </c>
      <c r="R35" s="208">
        <v>9.0030000000000001</v>
      </c>
      <c r="S35" s="208">
        <f t="shared" si="3"/>
        <v>0.62216189536031596</v>
      </c>
      <c r="T35" s="208">
        <f t="shared" si="4"/>
        <v>0.37783810463968409</v>
      </c>
      <c r="U35" s="208">
        <f>(INDEX('Final allowances'!$S$21:$S$32, MATCH('Financial model inputs '!$B35, 'Final allowances'!$B$21:$B$32,0))/5)*S35</f>
        <v>19.92508690597219</v>
      </c>
      <c r="V35" s="208">
        <f>(INDEX('Final allowances'!$S$21:$S$32, MATCH('Financial model inputs '!$B35, 'Final allowances'!$B$21:$B$32,0))/5)*T35</f>
        <v>12.100479195971209</v>
      </c>
      <c r="W35" s="208">
        <f>(INDEX('Final allowances'!$P$37:$P$50, MATCH('Financial model inputs '!$B35, 'Final allowances'!$B$37:$B$50,0))/5)</f>
        <v>1.4633139268936817</v>
      </c>
      <c r="X35" s="208">
        <f t="shared" si="5"/>
        <v>13.56379312286489</v>
      </c>
      <c r="Y35" s="208">
        <f>INDEX('Final allowances'!$I$6:$I$17,MATCH('Financial model inputs '!$B35,'Final allowances'!$B$6:$B$17,0))/5</f>
        <v>33.48888002883708</v>
      </c>
      <c r="Z35" s="208">
        <f>INDEX('Final allowances'!$F$6:$F$17,MATCH('Financial model inputs '!$B35,'Final allowances'!$B$6:$B$17,0))/5</f>
        <v>33.48888002883708</v>
      </c>
      <c r="AA35" s="208">
        <v>0</v>
      </c>
      <c r="AB35" s="208">
        <v>0</v>
      </c>
      <c r="AC35" s="208">
        <v>0</v>
      </c>
      <c r="AD35" s="119"/>
      <c r="AE35" s="119"/>
      <c r="AF35" s="119"/>
      <c r="AG35" s="81">
        <v>0</v>
      </c>
      <c r="AH35" s="81">
        <v>0.19900000000000001</v>
      </c>
      <c r="AI35" s="81">
        <v>3.5000000000000003E-2</v>
      </c>
      <c r="AJ35" s="81">
        <v>0</v>
      </c>
    </row>
    <row r="36" spans="1:36" x14ac:dyDescent="0.2">
      <c r="A36" s="3" t="s">
        <v>217</v>
      </c>
      <c r="B36" s="7" t="s">
        <v>15</v>
      </c>
      <c r="C36" s="7" t="s">
        <v>17</v>
      </c>
      <c r="D36" s="7">
        <v>2022</v>
      </c>
      <c r="E36" s="208">
        <v>132.82</v>
      </c>
      <c r="F36" s="208">
        <v>10.849</v>
      </c>
      <c r="G36" s="208">
        <v>56.842999999999996</v>
      </c>
      <c r="H36" s="208">
        <f t="shared" si="0"/>
        <v>0.66240424513246099</v>
      </c>
      <c r="I36" s="208">
        <f t="shared" si="1"/>
        <v>0.33759575486753912</v>
      </c>
      <c r="J36" s="208">
        <f>(INDEX('Final allowances'!$T$21:$T$32, MATCH('Financial model inputs '!$B36, 'Final allowances'!$B$21:$B$32,0))/5)*H36</f>
        <v>133.04865276255205</v>
      </c>
      <c r="K36" s="208">
        <f>(INDEX('Final allowances'!$T$21:$T$32, MATCH('Financial model inputs '!$B36, 'Final allowances'!$B$21:$B$32,0))/5)*I36</f>
        <v>67.80853337451191</v>
      </c>
      <c r="L36" s="208">
        <f>(INDEX('Final allowances'!$Q$38:$Q$50, MATCH('Financial model inputs '!$B36, 'Final allowances'!$B$38:$B$50,0))/5)</f>
        <v>44.899872337605132</v>
      </c>
      <c r="M36" s="208">
        <f t="shared" si="2"/>
        <v>112.70840571211704</v>
      </c>
      <c r="N36" s="208">
        <f>INDEX('Final allowances'!$J$5:$J$16,MATCH('Financial model inputs '!$B36,'Final allowances'!$B$5:$B$16,0))/5</f>
        <v>245.95605847466905</v>
      </c>
      <c r="O36" s="208">
        <f>INDEX('Final allowances'!$G$5:$G$16,MATCH('Financial model inputs '!$B36,'Final allowances'!$B$5:$B$16,0))/5</f>
        <v>245.75705847466907</v>
      </c>
      <c r="P36" s="208">
        <v>15.146999999999998</v>
      </c>
      <c r="Q36" s="208">
        <v>0.155</v>
      </c>
      <c r="R36" s="208">
        <v>8.6310000000000002</v>
      </c>
      <c r="S36" s="208">
        <f t="shared" si="3"/>
        <v>0.63289182300589142</v>
      </c>
      <c r="T36" s="208">
        <f t="shared" si="4"/>
        <v>0.36710817699410853</v>
      </c>
      <c r="U36" s="208">
        <f>(INDEX('Final allowances'!$S$21:$S$32, MATCH('Financial model inputs '!$B36, 'Final allowances'!$B$21:$B$32,0))/5)*S36</f>
        <v>20.268718913054638</v>
      </c>
      <c r="V36" s="208">
        <f>(INDEX('Final allowances'!$S$21:$S$32, MATCH('Financial model inputs '!$B36, 'Final allowances'!$B$21:$B$32,0))/5)*T36</f>
        <v>11.756847188888759</v>
      </c>
      <c r="W36" s="208">
        <f>(INDEX('Final allowances'!$P$37:$P$50, MATCH('Financial model inputs '!$B36, 'Final allowances'!$B$37:$B$50,0))/5)</f>
        <v>1.4633139268936817</v>
      </c>
      <c r="X36" s="208">
        <f t="shared" si="5"/>
        <v>13.220161115782441</v>
      </c>
      <c r="Y36" s="208">
        <f>INDEX('Final allowances'!$I$6:$I$17,MATCH('Financial model inputs '!$B36,'Final allowances'!$B$6:$B$17,0))/5</f>
        <v>33.48888002883708</v>
      </c>
      <c r="Z36" s="208">
        <f>INDEX('Final allowances'!$F$6:$F$17,MATCH('Financial model inputs '!$B36,'Final allowances'!$B$6:$B$17,0))/5</f>
        <v>33.48888002883708</v>
      </c>
      <c r="AA36" s="208">
        <v>0</v>
      </c>
      <c r="AB36" s="208">
        <v>0</v>
      </c>
      <c r="AC36" s="208">
        <v>0</v>
      </c>
      <c r="AD36" s="119"/>
      <c r="AE36" s="119"/>
      <c r="AF36" s="119"/>
      <c r="AG36" s="81">
        <v>0</v>
      </c>
      <c r="AH36" s="81">
        <v>0.19900000000000001</v>
      </c>
      <c r="AI36" s="81">
        <v>3.4000000000000002E-2</v>
      </c>
      <c r="AJ36" s="81">
        <v>0</v>
      </c>
    </row>
    <row r="37" spans="1:36" x14ac:dyDescent="0.2">
      <c r="A37" s="3" t="s">
        <v>218</v>
      </c>
      <c r="B37" s="7" t="s">
        <v>15</v>
      </c>
      <c r="C37" s="7" t="s">
        <v>18</v>
      </c>
      <c r="D37" s="7">
        <v>2023</v>
      </c>
      <c r="E37" s="208">
        <v>133.386</v>
      </c>
      <c r="F37" s="208">
        <v>10.770999999999999</v>
      </c>
      <c r="G37" s="208">
        <v>59.424000000000007</v>
      </c>
      <c r="H37" s="208">
        <f t="shared" si="0"/>
        <v>0.65519866785210801</v>
      </c>
      <c r="I37" s="208">
        <f t="shared" si="1"/>
        <v>0.34480133214789205</v>
      </c>
      <c r="J37" s="208">
        <f>(INDEX('Final allowances'!$T$21:$T$32, MATCH('Financial model inputs '!$B37, 'Final allowances'!$B$21:$B$32,0))/5)*H37</f>
        <v>131.60136078552719</v>
      </c>
      <c r="K37" s="208">
        <f>(INDEX('Final allowances'!$T$21:$T$32, MATCH('Financial model inputs '!$B37, 'Final allowances'!$B$21:$B$32,0))/5)*I37</f>
        <v>69.255825351536757</v>
      </c>
      <c r="L37" s="208">
        <f>(INDEX('Final allowances'!$Q$38:$Q$50, MATCH('Financial model inputs '!$B37, 'Final allowances'!$B$38:$B$50,0))/5)</f>
        <v>44.899872337605132</v>
      </c>
      <c r="M37" s="208">
        <f t="shared" si="2"/>
        <v>114.15569768914189</v>
      </c>
      <c r="N37" s="208">
        <f>INDEX('Final allowances'!$J$5:$J$16,MATCH('Financial model inputs '!$B37,'Final allowances'!$B$5:$B$16,0))/5</f>
        <v>245.95605847466905</v>
      </c>
      <c r="O37" s="208">
        <f>INDEX('Final allowances'!$G$5:$G$16,MATCH('Financial model inputs '!$B37,'Final allowances'!$B$5:$B$16,0))/5</f>
        <v>245.75705847466907</v>
      </c>
      <c r="P37" s="208">
        <v>15.213000000000001</v>
      </c>
      <c r="Q37" s="208">
        <v>0.154</v>
      </c>
      <c r="R37" s="208">
        <v>8.8409999999999993</v>
      </c>
      <c r="S37" s="208">
        <f t="shared" si="3"/>
        <v>0.62842861863846666</v>
      </c>
      <c r="T37" s="208">
        <f t="shared" si="4"/>
        <v>0.37157138136153339</v>
      </c>
      <c r="U37" s="208">
        <f>(INDEX('Final allowances'!$S$21:$S$32, MATCH('Financial model inputs '!$B37, 'Final allowances'!$B$21:$B$32,0))/5)*S37</f>
        <v>20.125782266559192</v>
      </c>
      <c r="V37" s="208">
        <f>(INDEX('Final allowances'!$S$21:$S$32, MATCH('Financial model inputs '!$B37, 'Final allowances'!$B$21:$B$32,0))/5)*T37</f>
        <v>11.899783835384206</v>
      </c>
      <c r="W37" s="208">
        <f>(INDEX('Final allowances'!$P$37:$P$50, MATCH('Financial model inputs '!$B37, 'Final allowances'!$B$37:$B$50,0))/5)</f>
        <v>1.4633139268936817</v>
      </c>
      <c r="X37" s="208">
        <f t="shared" si="5"/>
        <v>13.363097762277887</v>
      </c>
      <c r="Y37" s="208">
        <f>INDEX('Final allowances'!$I$6:$I$17,MATCH('Financial model inputs '!$B37,'Final allowances'!$B$6:$B$17,0))/5</f>
        <v>33.48888002883708</v>
      </c>
      <c r="Z37" s="208">
        <f>INDEX('Final allowances'!$F$6:$F$17,MATCH('Financial model inputs '!$B37,'Final allowances'!$B$6:$B$17,0))/5</f>
        <v>33.48888002883708</v>
      </c>
      <c r="AA37" s="208">
        <v>0</v>
      </c>
      <c r="AB37" s="208">
        <v>0</v>
      </c>
      <c r="AC37" s="208">
        <v>0</v>
      </c>
      <c r="AD37" s="119"/>
      <c r="AE37" s="119"/>
      <c r="AF37" s="119"/>
      <c r="AG37" s="81">
        <v>0</v>
      </c>
      <c r="AH37" s="81">
        <v>0.19900000000000001</v>
      </c>
      <c r="AI37" s="81">
        <v>3.4000000000000002E-2</v>
      </c>
      <c r="AJ37" s="81">
        <v>0</v>
      </c>
    </row>
    <row r="38" spans="1:36" x14ac:dyDescent="0.2">
      <c r="A38" s="3" t="s">
        <v>219</v>
      </c>
      <c r="B38" s="7" t="s">
        <v>15</v>
      </c>
      <c r="C38" s="7" t="s">
        <v>19</v>
      </c>
      <c r="D38" s="7">
        <v>2024</v>
      </c>
      <c r="E38" s="208">
        <v>132.34300000000002</v>
      </c>
      <c r="F38" s="208">
        <v>10.571</v>
      </c>
      <c r="G38" s="208">
        <v>58.950999999999993</v>
      </c>
      <c r="H38" s="208">
        <f t="shared" si="0"/>
        <v>0.65560151586456306</v>
      </c>
      <c r="I38" s="208">
        <f t="shared" si="1"/>
        <v>0.344398484135437</v>
      </c>
      <c r="J38" s="208">
        <f>(INDEX('Final allowances'!$T$21:$T$32, MATCH('Financial model inputs '!$B38, 'Final allowances'!$B$21:$B$32,0))/5)*H38</f>
        <v>131.68227570374981</v>
      </c>
      <c r="K38" s="208">
        <f>(INDEX('Final allowances'!$T$21:$T$32, MATCH('Financial model inputs '!$B38, 'Final allowances'!$B$21:$B$32,0))/5)*I38</f>
        <v>69.174910433314125</v>
      </c>
      <c r="L38" s="208">
        <f>(INDEX('Final allowances'!$Q$38:$Q$50, MATCH('Financial model inputs '!$B38, 'Final allowances'!$B$38:$B$50,0))/5)</f>
        <v>44.899872337605132</v>
      </c>
      <c r="M38" s="208">
        <f t="shared" si="2"/>
        <v>114.07478277091926</v>
      </c>
      <c r="N38" s="208">
        <f>INDEX('Final allowances'!$J$5:$J$16,MATCH('Financial model inputs '!$B38,'Final allowances'!$B$5:$B$16,0))/5</f>
        <v>245.95605847466905</v>
      </c>
      <c r="O38" s="208">
        <f>INDEX('Final allowances'!$G$5:$G$16,MATCH('Financial model inputs '!$B38,'Final allowances'!$B$5:$B$16,0))/5</f>
        <v>245.75705847466907</v>
      </c>
      <c r="P38" s="208">
        <v>14.995999999999999</v>
      </c>
      <c r="Q38" s="208">
        <v>0.13899999999999998</v>
      </c>
      <c r="R38" s="208">
        <v>8.3170000000000002</v>
      </c>
      <c r="S38" s="208">
        <f t="shared" si="3"/>
        <v>0.63943373699471262</v>
      </c>
      <c r="T38" s="208">
        <f t="shared" si="4"/>
        <v>0.36056626300528738</v>
      </c>
      <c r="U38" s="208">
        <f>(INDEX('Final allowances'!$S$21:$S$32, MATCH('Financial model inputs '!$B38, 'Final allowances'!$B$21:$B$32,0))/5)*S38</f>
        <v>20.478227411936857</v>
      </c>
      <c r="V38" s="208">
        <f>(INDEX('Final allowances'!$S$21:$S$32, MATCH('Financial model inputs '!$B38, 'Final allowances'!$B$21:$B$32,0))/5)*T38</f>
        <v>11.547338690006539</v>
      </c>
      <c r="W38" s="208">
        <f>(INDEX('Final allowances'!$P$37:$P$50, MATCH('Financial model inputs '!$B38, 'Final allowances'!$B$37:$B$50,0))/5)</f>
        <v>1.4633139268936817</v>
      </c>
      <c r="X38" s="208">
        <f t="shared" si="5"/>
        <v>13.01065261690022</v>
      </c>
      <c r="Y38" s="208">
        <f>INDEX('Final allowances'!$I$6:$I$17,MATCH('Financial model inputs '!$B38,'Final allowances'!$B$6:$B$17,0))/5</f>
        <v>33.48888002883708</v>
      </c>
      <c r="Z38" s="208">
        <f>INDEX('Final allowances'!$F$6:$F$17,MATCH('Financial model inputs '!$B38,'Final allowances'!$B$6:$B$17,0))/5</f>
        <v>33.48888002883708</v>
      </c>
      <c r="AA38" s="208">
        <v>0</v>
      </c>
      <c r="AB38" s="208">
        <v>0</v>
      </c>
      <c r="AC38" s="208">
        <v>0</v>
      </c>
      <c r="AD38" s="119"/>
      <c r="AE38" s="119"/>
      <c r="AF38" s="119"/>
      <c r="AG38" s="81">
        <v>0</v>
      </c>
      <c r="AH38" s="81">
        <v>0.19900000000000001</v>
      </c>
      <c r="AI38" s="81">
        <v>3.3000000000000002E-2</v>
      </c>
      <c r="AJ38" s="81">
        <v>0</v>
      </c>
    </row>
    <row r="39" spans="1:36" x14ac:dyDescent="0.2">
      <c r="A39" s="3" t="s">
        <v>220</v>
      </c>
      <c r="B39" s="7" t="s">
        <v>15</v>
      </c>
      <c r="C39" s="7" t="s">
        <v>20</v>
      </c>
      <c r="D39" s="7">
        <v>2025</v>
      </c>
      <c r="E39" s="208">
        <v>132.03200000000001</v>
      </c>
      <c r="F39" s="208">
        <v>10.148</v>
      </c>
      <c r="G39" s="208">
        <v>55.879999999999995</v>
      </c>
      <c r="H39" s="208">
        <f t="shared" si="0"/>
        <v>0.66662627486620218</v>
      </c>
      <c r="I39" s="208">
        <f t="shared" si="1"/>
        <v>0.33337372513379782</v>
      </c>
      <c r="J39" s="208">
        <f>(INDEX('Final allowances'!$T$21:$T$32, MATCH('Financial model inputs '!$B39, 'Final allowances'!$B$21:$B$32,0))/5)*H39</f>
        <v>133.89667777465831</v>
      </c>
      <c r="K39" s="208">
        <f>(INDEX('Final allowances'!$T$21:$T$32, MATCH('Financial model inputs '!$B39, 'Final allowances'!$B$21:$B$32,0))/5)*I39</f>
        <v>66.960508362405619</v>
      </c>
      <c r="L39" s="208">
        <f>(INDEX('Final allowances'!$Q$38:$Q$50, MATCH('Financial model inputs '!$B39, 'Final allowances'!$B$38:$B$50,0))/5)</f>
        <v>44.899872337605132</v>
      </c>
      <c r="M39" s="208">
        <f t="shared" si="2"/>
        <v>111.86038070001075</v>
      </c>
      <c r="N39" s="208">
        <f>INDEX('Final allowances'!$J$5:$J$16,MATCH('Financial model inputs '!$B39,'Final allowances'!$B$5:$B$16,0))/5</f>
        <v>245.95605847466905</v>
      </c>
      <c r="O39" s="208">
        <f>INDEX('Final allowances'!$G$5:$G$16,MATCH('Financial model inputs '!$B39,'Final allowances'!$B$5:$B$16,0))/5</f>
        <v>245.75705847466907</v>
      </c>
      <c r="P39" s="208">
        <v>15.23</v>
      </c>
      <c r="Q39" s="208">
        <v>0.13200000000000001</v>
      </c>
      <c r="R39" s="208">
        <v>7.4289999999999994</v>
      </c>
      <c r="S39" s="208">
        <f t="shared" si="3"/>
        <v>0.66824623754991008</v>
      </c>
      <c r="T39" s="208">
        <f t="shared" si="4"/>
        <v>0.33175376245008992</v>
      </c>
      <c r="U39" s="208">
        <f>(INDEX('Final allowances'!$S$21:$S$32, MATCH('Financial model inputs '!$B39, 'Final allowances'!$B$21:$B$32,0))/5)*S39</f>
        <v>21.400964053029615</v>
      </c>
      <c r="V39" s="208">
        <f>(INDEX('Final allowances'!$S$21:$S$32, MATCH('Financial model inputs '!$B39, 'Final allowances'!$B$21:$B$32,0))/5)*T39</f>
        <v>10.624602048913783</v>
      </c>
      <c r="W39" s="208">
        <f>(INDEX('Final allowances'!$P$37:$P$50, MATCH('Financial model inputs '!$B39, 'Final allowances'!$B$37:$B$50,0))/5)</f>
        <v>1.4633139268936817</v>
      </c>
      <c r="X39" s="208">
        <f t="shared" si="5"/>
        <v>12.087915975807464</v>
      </c>
      <c r="Y39" s="208">
        <f>INDEX('Final allowances'!$I$6:$I$17,MATCH('Financial model inputs '!$B39,'Final allowances'!$B$6:$B$17,0))/5</f>
        <v>33.48888002883708</v>
      </c>
      <c r="Z39" s="208">
        <f>INDEX('Final allowances'!$F$6:$F$17,MATCH('Financial model inputs '!$B39,'Final allowances'!$B$6:$B$17,0))/5</f>
        <v>33.48888002883708</v>
      </c>
      <c r="AA39" s="208">
        <v>0</v>
      </c>
      <c r="AB39" s="208">
        <v>0</v>
      </c>
      <c r="AC39" s="208">
        <v>0</v>
      </c>
      <c r="AD39" s="119"/>
      <c r="AE39" s="119"/>
      <c r="AF39" s="119"/>
      <c r="AG39" s="81">
        <v>0</v>
      </c>
      <c r="AH39" s="81">
        <v>0.19900000000000001</v>
      </c>
      <c r="AI39" s="81">
        <v>3.2000000000000001E-2</v>
      </c>
      <c r="AJ39" s="81">
        <v>0</v>
      </c>
    </row>
    <row r="40" spans="1:36" x14ac:dyDescent="0.2">
      <c r="A40" s="3" t="s">
        <v>221</v>
      </c>
      <c r="B40" s="7" t="s">
        <v>10</v>
      </c>
      <c r="C40" s="7" t="s">
        <v>16</v>
      </c>
      <c r="D40" s="7">
        <v>2021</v>
      </c>
      <c r="E40" s="208">
        <v>82.702628242233999</v>
      </c>
      <c r="F40" s="208">
        <v>12.4912877684911</v>
      </c>
      <c r="G40" s="208">
        <v>48.75551301285185</v>
      </c>
      <c r="H40" s="208">
        <f t="shared" si="0"/>
        <v>0.57452557334345822</v>
      </c>
      <c r="I40" s="208">
        <f t="shared" si="1"/>
        <v>0.42547442665654173</v>
      </c>
      <c r="J40" s="208">
        <f>(INDEX('Final allowances'!$T$21:$T$32, MATCH('Financial model inputs '!$B40, 'Final allowances'!$B$21:$B$32,0))/5)*H40</f>
        <v>96.049444725797088</v>
      </c>
      <c r="K40" s="208">
        <f>(INDEX('Final allowances'!$T$21:$T$32, MATCH('Financial model inputs '!$B40, 'Final allowances'!$B$21:$B$32,0))/5)*I40</f>
        <v>71.131006732327265</v>
      </c>
      <c r="L40" s="208">
        <f>(INDEX('Final allowances'!$Q$38:$Q$50, MATCH('Financial model inputs '!$B40, 'Final allowances'!$B$38:$B$50,0))/5)</f>
        <v>79.844687107052025</v>
      </c>
      <c r="M40" s="208">
        <f t="shared" si="2"/>
        <v>150.97569383937929</v>
      </c>
      <c r="N40" s="208">
        <f>INDEX('Final allowances'!$J$5:$J$16,MATCH('Financial model inputs '!$B40,'Final allowances'!$B$5:$B$16,0))/5</f>
        <v>248.49463173906989</v>
      </c>
      <c r="O40" s="208">
        <f>INDEX('Final allowances'!$G$5:$G$16,MATCH('Financial model inputs '!$B40,'Final allowances'!$B$5:$B$16,0))/5</f>
        <v>247.02513856517641</v>
      </c>
      <c r="P40" s="208">
        <v>17.346314573380369</v>
      </c>
      <c r="Q40" s="208">
        <v>0</v>
      </c>
      <c r="R40" s="208">
        <v>6.2665857852776465</v>
      </c>
      <c r="S40" s="208">
        <f t="shared" si="3"/>
        <v>0.73461177195117788</v>
      </c>
      <c r="T40" s="208">
        <f t="shared" si="4"/>
        <v>0.26538822804882206</v>
      </c>
      <c r="U40" s="208">
        <f>(INDEX('Final allowances'!$S$21:$S$32, MATCH('Financial model inputs '!$B40, 'Final allowances'!$B$21:$B$32,0))/5)*S40</f>
        <v>19.900620362297619</v>
      </c>
      <c r="V40" s="208">
        <f>(INDEX('Final allowances'!$S$21:$S$32, MATCH('Financial model inputs '!$B40, 'Final allowances'!$B$21:$B$32,0))/5)*T40</f>
        <v>7.1893625676522275</v>
      </c>
      <c r="W40" s="208">
        <f>(INDEX('Final allowances'!$P$37:$P$50, MATCH('Financial model inputs '!$B40, 'Final allowances'!$B$37:$B$50,0))/5)</f>
        <v>0.73627011701704104</v>
      </c>
      <c r="X40" s="208">
        <f t="shared" si="5"/>
        <v>7.9256326846692682</v>
      </c>
      <c r="Y40" s="208">
        <f>INDEX('Final allowances'!$I$6:$I$17,MATCH('Financial model inputs '!$B40,'Final allowances'!$B$6:$B$17,0))/5</f>
        <v>28.201575518519849</v>
      </c>
      <c r="Z40" s="208">
        <f>INDEX('Final allowances'!$F$6:$F$17,MATCH('Financial model inputs '!$B40,'Final allowances'!$B$6:$B$17,0))/5</f>
        <v>27.82625304696689</v>
      </c>
      <c r="AA40" s="208">
        <v>2.3442578953554976</v>
      </c>
      <c r="AB40" s="208">
        <v>0.64335238982312426</v>
      </c>
      <c r="AC40" s="208">
        <v>0</v>
      </c>
      <c r="AD40" s="119"/>
      <c r="AE40" s="119"/>
      <c r="AF40" s="119"/>
      <c r="AG40" s="81">
        <v>0</v>
      </c>
      <c r="AH40" s="81">
        <v>0.10201</v>
      </c>
      <c r="AI40" s="81">
        <v>0</v>
      </c>
      <c r="AJ40" s="81">
        <v>0</v>
      </c>
    </row>
    <row r="41" spans="1:36" x14ac:dyDescent="0.2">
      <c r="A41" s="3" t="s">
        <v>222</v>
      </c>
      <c r="B41" s="7" t="s">
        <v>10</v>
      </c>
      <c r="C41" s="7" t="s">
        <v>17</v>
      </c>
      <c r="D41" s="7">
        <v>2022</v>
      </c>
      <c r="E41" s="208">
        <v>84.574555144979996</v>
      </c>
      <c r="F41" s="208">
        <v>12.4912877684911</v>
      </c>
      <c r="G41" s="208">
        <v>53.183909601313417</v>
      </c>
      <c r="H41" s="208">
        <f t="shared" si="0"/>
        <v>0.56289314111620847</v>
      </c>
      <c r="I41" s="208">
        <f t="shared" si="1"/>
        <v>0.43710685888379158</v>
      </c>
      <c r="J41" s="208">
        <f>(INDEX('Final allowances'!$T$21:$T$32, MATCH('Financial model inputs '!$B41, 'Final allowances'!$B$21:$B$32,0))/5)*H41</f>
        <v>94.104729454489444</v>
      </c>
      <c r="K41" s="208">
        <f>(INDEX('Final allowances'!$T$21:$T$32, MATCH('Financial model inputs '!$B41, 'Final allowances'!$B$21:$B$32,0))/5)*I41</f>
        <v>73.075722003634937</v>
      </c>
      <c r="L41" s="208">
        <f>(INDEX('Final allowances'!$Q$38:$Q$50, MATCH('Financial model inputs '!$B41, 'Final allowances'!$B$38:$B$50,0))/5)</f>
        <v>79.844687107052025</v>
      </c>
      <c r="M41" s="208">
        <f t="shared" si="2"/>
        <v>152.92040911068696</v>
      </c>
      <c r="N41" s="208">
        <f>INDEX('Final allowances'!$J$5:$J$16,MATCH('Financial model inputs '!$B41,'Final allowances'!$B$5:$B$16,0))/5</f>
        <v>248.49463173906989</v>
      </c>
      <c r="O41" s="208">
        <f>INDEX('Final allowances'!$G$5:$G$16,MATCH('Financial model inputs '!$B41,'Final allowances'!$B$5:$B$16,0))/5</f>
        <v>247.02513856517641</v>
      </c>
      <c r="P41" s="208">
        <v>17.427609357581353</v>
      </c>
      <c r="Q41" s="208">
        <v>0</v>
      </c>
      <c r="R41" s="208">
        <v>5.4615617468161179</v>
      </c>
      <c r="S41" s="208">
        <f t="shared" si="3"/>
        <v>0.76139102102448608</v>
      </c>
      <c r="T41" s="208">
        <f t="shared" si="4"/>
        <v>0.23860897897551397</v>
      </c>
      <c r="U41" s="208">
        <f>(INDEX('Final allowances'!$S$21:$S$32, MATCH('Financial model inputs '!$B41, 'Final allowances'!$B$21:$B$32,0))/5)*S41</f>
        <v>20.626069762570413</v>
      </c>
      <c r="V41" s="208">
        <f>(INDEX('Final allowances'!$S$21:$S$32, MATCH('Financial model inputs '!$B41, 'Final allowances'!$B$21:$B$32,0))/5)*T41</f>
        <v>6.4639131673794354</v>
      </c>
      <c r="W41" s="208">
        <f>(INDEX('Final allowances'!$P$37:$P$50, MATCH('Financial model inputs '!$B41, 'Final allowances'!$B$37:$B$50,0))/5)</f>
        <v>0.73627011701704104</v>
      </c>
      <c r="X41" s="208">
        <f t="shared" si="5"/>
        <v>7.2001832843964761</v>
      </c>
      <c r="Y41" s="208">
        <f>INDEX('Final allowances'!$I$6:$I$17,MATCH('Financial model inputs '!$B41,'Final allowances'!$B$6:$B$17,0))/5</f>
        <v>28.201575518519849</v>
      </c>
      <c r="Z41" s="208">
        <f>INDEX('Final allowances'!$F$6:$F$17,MATCH('Financial model inputs '!$B41,'Final allowances'!$B$6:$B$17,0))/5</f>
        <v>27.82625304696689</v>
      </c>
      <c r="AA41" s="208">
        <v>2.2783306906563738</v>
      </c>
      <c r="AB41" s="208">
        <v>0.62552776116242281</v>
      </c>
      <c r="AC41" s="208">
        <v>0</v>
      </c>
      <c r="AD41" s="119"/>
      <c r="AE41" s="119"/>
      <c r="AF41" s="119"/>
      <c r="AG41" s="81">
        <v>0</v>
      </c>
      <c r="AH41" s="81">
        <v>0.10201</v>
      </c>
      <c r="AI41" s="81">
        <v>0</v>
      </c>
      <c r="AJ41" s="81">
        <v>0</v>
      </c>
    </row>
    <row r="42" spans="1:36" x14ac:dyDescent="0.2">
      <c r="A42" s="3" t="s">
        <v>223</v>
      </c>
      <c r="B42" s="7" t="s">
        <v>10</v>
      </c>
      <c r="C42" s="7" t="s">
        <v>18</v>
      </c>
      <c r="D42" s="7">
        <v>2023</v>
      </c>
      <c r="E42" s="208">
        <v>87.187930070382009</v>
      </c>
      <c r="F42" s="208">
        <v>12.4912877684911</v>
      </c>
      <c r="G42" s="208">
        <v>50.477270976313399</v>
      </c>
      <c r="H42" s="208">
        <f t="shared" si="0"/>
        <v>0.58064710195570313</v>
      </c>
      <c r="I42" s="208">
        <f t="shared" si="1"/>
        <v>0.41935289804429676</v>
      </c>
      <c r="J42" s="208">
        <f>(INDEX('Final allowances'!$T$21:$T$32, MATCH('Financial model inputs '!$B42, 'Final allowances'!$B$21:$B$32,0))/5)*H42</f>
        <v>97.072844642806018</v>
      </c>
      <c r="K42" s="208">
        <f>(INDEX('Final allowances'!$T$21:$T$32, MATCH('Financial model inputs '!$B42, 'Final allowances'!$B$21:$B$32,0))/5)*I42</f>
        <v>70.107606815318334</v>
      </c>
      <c r="L42" s="208">
        <f>(INDEX('Final allowances'!$Q$38:$Q$50, MATCH('Financial model inputs '!$B42, 'Final allowances'!$B$38:$B$50,0))/5)</f>
        <v>79.844687107052025</v>
      </c>
      <c r="M42" s="208">
        <f t="shared" si="2"/>
        <v>149.95229392237036</v>
      </c>
      <c r="N42" s="208">
        <f>INDEX('Final allowances'!$J$5:$J$16,MATCH('Financial model inputs '!$B42,'Final allowances'!$B$5:$B$16,0))/5</f>
        <v>248.49463173906989</v>
      </c>
      <c r="O42" s="208">
        <f>INDEX('Final allowances'!$G$5:$G$16,MATCH('Financial model inputs '!$B42,'Final allowances'!$B$5:$B$16,0))/5</f>
        <v>247.02513856517641</v>
      </c>
      <c r="P42" s="208">
        <v>17.51012427633416</v>
      </c>
      <c r="Q42" s="208">
        <v>0</v>
      </c>
      <c r="R42" s="208">
        <v>7.5731002083545782</v>
      </c>
      <c r="S42" s="208">
        <f t="shared" si="3"/>
        <v>0.69808107354868443</v>
      </c>
      <c r="T42" s="208">
        <f t="shared" si="4"/>
        <v>0.30191892645131563</v>
      </c>
      <c r="U42" s="208">
        <f>(INDEX('Final allowances'!$S$21:$S$32, MATCH('Financial model inputs '!$B42, 'Final allowances'!$B$21:$B$32,0))/5)*S42</f>
        <v>18.911004366154927</v>
      </c>
      <c r="V42" s="208">
        <f>(INDEX('Final allowances'!$S$21:$S$32, MATCH('Financial model inputs '!$B42, 'Final allowances'!$B$21:$B$32,0))/5)*T42</f>
        <v>8.1789785637949244</v>
      </c>
      <c r="W42" s="208">
        <f>(INDEX('Final allowances'!$P$37:$P$50, MATCH('Financial model inputs '!$B42, 'Final allowances'!$B$37:$B$50,0))/5)</f>
        <v>0.73627011701704104</v>
      </c>
      <c r="X42" s="208">
        <f t="shared" si="5"/>
        <v>8.9152486808119651</v>
      </c>
      <c r="Y42" s="208">
        <f>INDEX('Final allowances'!$I$6:$I$17,MATCH('Financial model inputs '!$B42,'Final allowances'!$B$6:$B$17,0))/5</f>
        <v>28.201575518519849</v>
      </c>
      <c r="Z42" s="208">
        <f>INDEX('Final allowances'!$F$6:$F$17,MATCH('Financial model inputs '!$B42,'Final allowances'!$B$6:$B$17,0))/5</f>
        <v>27.82625304696689</v>
      </c>
      <c r="AA42" s="208">
        <v>2.2148272834555365</v>
      </c>
      <c r="AB42" s="208">
        <v>0.60773220677925732</v>
      </c>
      <c r="AC42" s="208">
        <v>0</v>
      </c>
      <c r="AD42" s="119"/>
      <c r="AE42" s="119"/>
      <c r="AF42" s="119"/>
      <c r="AG42" s="81">
        <v>0</v>
      </c>
      <c r="AH42" s="81">
        <v>0.10201</v>
      </c>
      <c r="AI42" s="81">
        <v>0</v>
      </c>
      <c r="AJ42" s="81">
        <v>0</v>
      </c>
    </row>
    <row r="43" spans="1:36" x14ac:dyDescent="0.2">
      <c r="A43" s="3" t="s">
        <v>224</v>
      </c>
      <c r="B43" s="7" t="s">
        <v>10</v>
      </c>
      <c r="C43" s="7" t="s">
        <v>19</v>
      </c>
      <c r="D43" s="7">
        <v>2024</v>
      </c>
      <c r="E43" s="208">
        <v>90.571634709443202</v>
      </c>
      <c r="F43" s="208">
        <v>12.4912877684911</v>
      </c>
      <c r="G43" s="208">
        <v>48.391580912851893</v>
      </c>
      <c r="H43" s="208">
        <f t="shared" si="0"/>
        <v>0.59801215996693269</v>
      </c>
      <c r="I43" s="208">
        <f t="shared" si="1"/>
        <v>0.40198784003306715</v>
      </c>
      <c r="J43" s="208">
        <f>(INDEX('Final allowances'!$T$21:$T$32, MATCH('Financial model inputs '!$B43, 'Final allowances'!$B$21:$B$32,0))/5)*H43</f>
        <v>99.975942880719899</v>
      </c>
      <c r="K43" s="208">
        <f>(INDEX('Final allowances'!$T$21:$T$32, MATCH('Financial model inputs '!$B43, 'Final allowances'!$B$21:$B$32,0))/5)*I43</f>
        <v>67.20450857740444</v>
      </c>
      <c r="L43" s="208">
        <f>(INDEX('Final allowances'!$Q$38:$Q$50, MATCH('Financial model inputs '!$B43, 'Final allowances'!$B$38:$B$50,0))/5)</f>
        <v>79.844687107052025</v>
      </c>
      <c r="M43" s="208">
        <f t="shared" si="2"/>
        <v>147.04919568445646</v>
      </c>
      <c r="N43" s="208">
        <f>INDEX('Final allowances'!$J$5:$J$16,MATCH('Financial model inputs '!$B43,'Final allowances'!$B$5:$B$16,0))/5</f>
        <v>248.49463173906989</v>
      </c>
      <c r="O43" s="208">
        <f>INDEX('Final allowances'!$G$5:$G$16,MATCH('Financial model inputs '!$B43,'Final allowances'!$B$5:$B$16,0))/5</f>
        <v>247.02513856517641</v>
      </c>
      <c r="P43" s="208">
        <v>17.593877879863509</v>
      </c>
      <c r="Q43" s="208">
        <v>0</v>
      </c>
      <c r="R43" s="208">
        <v>5.2873598237391874</v>
      </c>
      <c r="S43" s="208">
        <f t="shared" si="3"/>
        <v>0.76892159889992828</v>
      </c>
      <c r="T43" s="208">
        <f t="shared" si="4"/>
        <v>0.23107840110007169</v>
      </c>
      <c r="U43" s="208">
        <f>(INDEX('Final allowances'!$S$21:$S$32, MATCH('Financial model inputs '!$B43, 'Final allowances'!$B$21:$B$32,0))/5)*S43</f>
        <v>20.8300729886688</v>
      </c>
      <c r="V43" s="208">
        <f>(INDEX('Final allowances'!$S$21:$S$32, MATCH('Financial model inputs '!$B43, 'Final allowances'!$B$21:$B$32,0))/5)*T43</f>
        <v>6.2599099412810464</v>
      </c>
      <c r="W43" s="208">
        <f>(INDEX('Final allowances'!$P$37:$P$50, MATCH('Financial model inputs '!$B43, 'Final allowances'!$B$37:$B$50,0))/5)</f>
        <v>0.73627011701704104</v>
      </c>
      <c r="X43" s="208">
        <f t="shared" si="5"/>
        <v>6.9961800582980871</v>
      </c>
      <c r="Y43" s="208">
        <f>INDEX('Final allowances'!$I$6:$I$17,MATCH('Financial model inputs '!$B43,'Final allowances'!$B$6:$B$17,0))/5</f>
        <v>28.201575518519849</v>
      </c>
      <c r="Z43" s="208">
        <f>INDEX('Final allowances'!$F$6:$F$17,MATCH('Financial model inputs '!$B43,'Final allowances'!$B$6:$B$17,0))/5</f>
        <v>27.82625304696689</v>
      </c>
      <c r="AA43" s="208">
        <v>0</v>
      </c>
      <c r="AB43" s="208">
        <v>0</v>
      </c>
      <c r="AC43" s="208">
        <v>0</v>
      </c>
      <c r="AD43" s="119"/>
      <c r="AE43" s="119"/>
      <c r="AF43" s="119"/>
      <c r="AG43" s="81">
        <v>0</v>
      </c>
      <c r="AH43" s="81">
        <v>0.10201</v>
      </c>
      <c r="AI43" s="81">
        <v>0</v>
      </c>
      <c r="AJ43" s="81">
        <v>0</v>
      </c>
    </row>
    <row r="44" spans="1:36" x14ac:dyDescent="0.2">
      <c r="A44" s="3" t="s">
        <v>225</v>
      </c>
      <c r="B44" s="7" t="s">
        <v>10</v>
      </c>
      <c r="C44" s="7" t="s">
        <v>20</v>
      </c>
      <c r="D44" s="7">
        <v>2025</v>
      </c>
      <c r="E44" s="208">
        <v>93.0283881402719</v>
      </c>
      <c r="F44" s="208">
        <v>12.4912877684911</v>
      </c>
      <c r="G44" s="208">
        <v>48.259458784005801</v>
      </c>
      <c r="H44" s="208">
        <f t="shared" si="0"/>
        <v>0.60494805310311317</v>
      </c>
      <c r="I44" s="208">
        <f t="shared" si="1"/>
        <v>0.39505194689688672</v>
      </c>
      <c r="J44" s="208">
        <f>(INDEX('Final allowances'!$T$21:$T$32, MATCH('Financial model inputs '!$B44, 'Final allowances'!$B$21:$B$32,0))/5)*H44</f>
        <v>101.13548862649185</v>
      </c>
      <c r="K44" s="208">
        <f>(INDEX('Final allowances'!$T$21:$T$32, MATCH('Financial model inputs '!$B44, 'Final allowances'!$B$21:$B$32,0))/5)*I44</f>
        <v>66.044962831632489</v>
      </c>
      <c r="L44" s="208">
        <f>(INDEX('Final allowances'!$Q$38:$Q$50, MATCH('Financial model inputs '!$B44, 'Final allowances'!$B$38:$B$50,0))/5)</f>
        <v>79.844687107052025</v>
      </c>
      <c r="M44" s="208">
        <f t="shared" si="2"/>
        <v>145.8896499386845</v>
      </c>
      <c r="N44" s="208">
        <f>INDEX('Final allowances'!$J$5:$J$16,MATCH('Financial model inputs '!$B44,'Final allowances'!$B$5:$B$16,0))/5</f>
        <v>248.49463173906989</v>
      </c>
      <c r="O44" s="208">
        <f>INDEX('Final allowances'!$G$5:$G$16,MATCH('Financial model inputs '!$B44,'Final allowances'!$B$5:$B$16,0))/5</f>
        <v>247.02513856517641</v>
      </c>
      <c r="P44" s="208">
        <v>17.678889006893701</v>
      </c>
      <c r="Q44" s="208">
        <v>0</v>
      </c>
      <c r="R44" s="208">
        <v>7.0584127083545773</v>
      </c>
      <c r="S44" s="208">
        <f t="shared" si="3"/>
        <v>0.71466521330401556</v>
      </c>
      <c r="T44" s="208">
        <f t="shared" si="4"/>
        <v>0.28533478669598444</v>
      </c>
      <c r="U44" s="208">
        <f>(INDEX('Final allowances'!$S$21:$S$32, MATCH('Financial model inputs '!$B44, 'Final allowances'!$B$21:$B$32,0))/5)*S44</f>
        <v>19.360268429034747</v>
      </c>
      <c r="V44" s="208">
        <f>(INDEX('Final allowances'!$S$21:$S$32, MATCH('Financial model inputs '!$B44, 'Final allowances'!$B$21:$B$32,0))/5)*T44</f>
        <v>7.7297145009150992</v>
      </c>
      <c r="W44" s="208">
        <f>(INDEX('Final allowances'!$P$37:$P$50, MATCH('Financial model inputs '!$B44, 'Final allowances'!$B$37:$B$50,0))/5)</f>
        <v>0.73627011701704104</v>
      </c>
      <c r="X44" s="208">
        <f t="shared" si="5"/>
        <v>8.4659846179321399</v>
      </c>
      <c r="Y44" s="208">
        <f>INDEX('Final allowances'!$I$6:$I$17,MATCH('Financial model inputs '!$B44,'Final allowances'!$B$6:$B$17,0))/5</f>
        <v>28.201575518519849</v>
      </c>
      <c r="Z44" s="208">
        <f>INDEX('Final allowances'!$F$6:$F$17,MATCH('Financial model inputs '!$B44,'Final allowances'!$B$6:$B$17,0))/5</f>
        <v>27.82625304696689</v>
      </c>
      <c r="AA44" s="208">
        <v>0</v>
      </c>
      <c r="AB44" s="208">
        <v>0</v>
      </c>
      <c r="AC44" s="208">
        <v>0</v>
      </c>
      <c r="AD44" s="119"/>
      <c r="AE44" s="119"/>
      <c r="AF44" s="119"/>
      <c r="AG44" s="81">
        <v>0</v>
      </c>
      <c r="AH44" s="81">
        <v>0.10201</v>
      </c>
      <c r="AI44" s="81">
        <v>0</v>
      </c>
      <c r="AJ44" s="81">
        <v>0</v>
      </c>
    </row>
    <row r="45" spans="1:36" x14ac:dyDescent="0.2">
      <c r="A45" s="3" t="s">
        <v>226</v>
      </c>
      <c r="B45" s="7" t="s">
        <v>11</v>
      </c>
      <c r="C45" s="7" t="s">
        <v>16</v>
      </c>
      <c r="D45" s="7">
        <v>2021</v>
      </c>
      <c r="E45" s="208">
        <v>136.47199999999998</v>
      </c>
      <c r="F45" s="208">
        <v>86.11399999999999</v>
      </c>
      <c r="G45" s="208">
        <v>152.68</v>
      </c>
      <c r="H45" s="208">
        <f t="shared" si="0"/>
        <v>0.36366737194416759</v>
      </c>
      <c r="I45" s="208">
        <f t="shared" si="1"/>
        <v>0.63633262805583246</v>
      </c>
      <c r="J45" s="208">
        <f>(INDEX('Final allowances'!$T$21:$T$32, MATCH('Financial model inputs '!$B45, 'Final allowances'!$B$21:$B$32,0))/5)*H45</f>
        <v>99.730849247938991</v>
      </c>
      <c r="K45" s="208">
        <f>(INDEX('Final allowances'!$T$21:$T$32, MATCH('Financial model inputs '!$B45, 'Final allowances'!$B$21:$B$32,0))/5)*I45</f>
        <v>174.50560126115499</v>
      </c>
      <c r="L45" s="208">
        <f>(INDEX('Final allowances'!$Q$38:$Q$50, MATCH('Financial model inputs '!$B45, 'Final allowances'!$B$38:$B$50,0))/5)</f>
        <v>125.8068258338694</v>
      </c>
      <c r="M45" s="208">
        <f t="shared" si="2"/>
        <v>300.31242709502442</v>
      </c>
      <c r="N45" s="208">
        <f>INDEX('Final allowances'!$J$5:$J$16,MATCH('Financial model inputs '!$B45,'Final allowances'!$B$5:$B$16,0))/5</f>
        <v>402.22899330893409</v>
      </c>
      <c r="O45" s="208">
        <f>INDEX('Final allowances'!$G$5:$G$16,MATCH('Financial model inputs '!$B45,'Final allowances'!$B$5:$B$16,0))/5</f>
        <v>400.04327634296334</v>
      </c>
      <c r="P45" s="208">
        <v>40.201999999999998</v>
      </c>
      <c r="Q45" s="208">
        <v>0</v>
      </c>
      <c r="R45" s="208">
        <v>30.443999999999999</v>
      </c>
      <c r="S45" s="208">
        <f t="shared" si="3"/>
        <v>0.56906265039775783</v>
      </c>
      <c r="T45" s="208">
        <f t="shared" si="4"/>
        <v>0.43093734960224217</v>
      </c>
      <c r="U45" s="208">
        <f>(INDEX('Final allowances'!$S$21:$S$32, MATCH('Financial model inputs '!$B45, 'Final allowances'!$B$21:$B$32,0))/5)*S45</f>
        <v>31.708710477410389</v>
      </c>
      <c r="V45" s="208">
        <f>(INDEX('Final allowances'!$S$21:$S$32, MATCH('Financial model inputs '!$B45, 'Final allowances'!$B$21:$B$32,0))/5)*T45</f>
        <v>24.012237743751104</v>
      </c>
      <c r="W45" s="208">
        <f>(INDEX('Final allowances'!$P$37:$P$50, MATCH('Financial model inputs '!$B45, 'Final allowances'!$B$37:$B$50,0))/5)</f>
        <v>7.1431999999999984</v>
      </c>
      <c r="X45" s="208">
        <f t="shared" si="5"/>
        <v>31.155437743751101</v>
      </c>
      <c r="Y45" s="208">
        <f>INDEX('Final allowances'!$I$6:$I$17,MATCH('Financial model inputs '!$B45,'Final allowances'!$B$6:$B$17,0))/5</f>
        <v>63.451765596435052</v>
      </c>
      <c r="Z45" s="208">
        <f>INDEX('Final allowances'!$F$6:$F$17,MATCH('Financial model inputs '!$B45,'Final allowances'!$B$6:$B$17,0))/5</f>
        <v>62.8641482211615</v>
      </c>
      <c r="AA45" s="208">
        <v>5.464292414926966</v>
      </c>
      <c r="AB45" s="208">
        <v>1.4690434381838828</v>
      </c>
      <c r="AC45" s="208">
        <v>0</v>
      </c>
      <c r="AD45" s="119"/>
      <c r="AE45" s="119"/>
      <c r="AF45" s="119"/>
      <c r="AG45" s="81">
        <v>0</v>
      </c>
      <c r="AH45" s="81">
        <v>0</v>
      </c>
      <c r="AI45" s="81">
        <v>0</v>
      </c>
      <c r="AJ45" s="81">
        <v>0</v>
      </c>
    </row>
    <row r="46" spans="1:36" x14ac:dyDescent="0.2">
      <c r="A46" s="3" t="s">
        <v>227</v>
      </c>
      <c r="B46" s="7" t="s">
        <v>11</v>
      </c>
      <c r="C46" s="7" t="s">
        <v>17</v>
      </c>
      <c r="D46" s="7">
        <v>2022</v>
      </c>
      <c r="E46" s="208">
        <v>140.4</v>
      </c>
      <c r="F46" s="208">
        <v>48.097999999999999</v>
      </c>
      <c r="G46" s="208">
        <v>158.839</v>
      </c>
      <c r="H46" s="208">
        <f t="shared" si="0"/>
        <v>0.40421838157178763</v>
      </c>
      <c r="I46" s="208">
        <f t="shared" si="1"/>
        <v>0.59578161842821242</v>
      </c>
      <c r="J46" s="208">
        <f>(INDEX('Final allowances'!$T$21:$T$32, MATCH('Financial model inputs '!$B46, 'Final allowances'!$B$21:$B$32,0))/5)*H46</f>
        <v>110.8514141927776</v>
      </c>
      <c r="K46" s="208">
        <f>(INDEX('Final allowances'!$T$21:$T$32, MATCH('Financial model inputs '!$B46, 'Final allowances'!$B$21:$B$32,0))/5)*I46</f>
        <v>163.38503631631639</v>
      </c>
      <c r="L46" s="208">
        <f>(INDEX('Final allowances'!$Q$38:$Q$50, MATCH('Financial model inputs '!$B46, 'Final allowances'!$B$38:$B$50,0))/5)</f>
        <v>125.8068258338694</v>
      </c>
      <c r="M46" s="208">
        <f t="shared" si="2"/>
        <v>289.19186215018578</v>
      </c>
      <c r="N46" s="208">
        <f>INDEX('Final allowances'!$J$5:$J$16,MATCH('Financial model inputs '!$B46,'Final allowances'!$B$5:$B$16,0))/5</f>
        <v>402.22899330893409</v>
      </c>
      <c r="O46" s="208">
        <f>INDEX('Final allowances'!$G$5:$G$16,MATCH('Financial model inputs '!$B46,'Final allowances'!$B$5:$B$16,0))/5</f>
        <v>400.04327634296334</v>
      </c>
      <c r="P46" s="208">
        <v>40.789000000000001</v>
      </c>
      <c r="Q46" s="208">
        <v>0</v>
      </c>
      <c r="R46" s="208">
        <v>30.813999999999997</v>
      </c>
      <c r="S46" s="208">
        <f t="shared" si="3"/>
        <v>0.56965490272753938</v>
      </c>
      <c r="T46" s="208">
        <f t="shared" si="4"/>
        <v>0.43034509727246062</v>
      </c>
      <c r="U46" s="208">
        <f>(INDEX('Final allowances'!$S$21:$S$32, MATCH('Financial model inputs '!$B46, 'Final allowances'!$B$21:$B$32,0))/5)*S46</f>
        <v>31.74171133881201</v>
      </c>
      <c r="V46" s="208">
        <f>(INDEX('Final allowances'!$S$21:$S$32, MATCH('Financial model inputs '!$B46, 'Final allowances'!$B$21:$B$32,0))/5)*T46</f>
        <v>23.979236882349483</v>
      </c>
      <c r="W46" s="208">
        <f>(INDEX('Final allowances'!$P$37:$P$50, MATCH('Financial model inputs '!$B46, 'Final allowances'!$B$37:$B$50,0))/5)</f>
        <v>7.1431999999999984</v>
      </c>
      <c r="X46" s="208">
        <f t="shared" si="5"/>
        <v>31.122436882349483</v>
      </c>
      <c r="Y46" s="208">
        <f>INDEX('Final allowances'!$I$6:$I$17,MATCH('Financial model inputs '!$B46,'Final allowances'!$B$6:$B$17,0))/5</f>
        <v>63.451765596435052</v>
      </c>
      <c r="Z46" s="208">
        <f>INDEX('Final allowances'!$F$6:$F$17,MATCH('Financial model inputs '!$B46,'Final allowances'!$B$6:$B$17,0))/5</f>
        <v>62.8641482211615</v>
      </c>
      <c r="AA46" s="208">
        <v>5.464292414926966</v>
      </c>
      <c r="AB46" s="208">
        <v>1.4690434381838828</v>
      </c>
      <c r="AC46" s="208">
        <v>0</v>
      </c>
      <c r="AD46" s="119"/>
      <c r="AE46" s="119"/>
      <c r="AF46" s="119"/>
      <c r="AG46" s="81">
        <v>0</v>
      </c>
      <c r="AH46" s="81">
        <v>0</v>
      </c>
      <c r="AI46" s="81">
        <v>0</v>
      </c>
      <c r="AJ46" s="81">
        <v>0</v>
      </c>
    </row>
    <row r="47" spans="1:36" x14ac:dyDescent="0.2">
      <c r="A47" s="3" t="s">
        <v>228</v>
      </c>
      <c r="B47" s="7" t="s">
        <v>11</v>
      </c>
      <c r="C47" s="7" t="s">
        <v>18</v>
      </c>
      <c r="D47" s="7">
        <v>2023</v>
      </c>
      <c r="E47" s="208">
        <v>143.20499999999998</v>
      </c>
      <c r="F47" s="208">
        <v>34.35</v>
      </c>
      <c r="G47" s="208">
        <v>133.56399999999999</v>
      </c>
      <c r="H47" s="208">
        <f t="shared" si="0"/>
        <v>0.46029011407210746</v>
      </c>
      <c r="I47" s="208">
        <f t="shared" si="1"/>
        <v>0.5397098859278926</v>
      </c>
      <c r="J47" s="208">
        <f>(INDEX('Final allowances'!$T$21:$T$32, MATCH('Financial model inputs '!$B47, 'Final allowances'!$B$21:$B$32,0))/5)*H47</f>
        <v>126.22832708756071</v>
      </c>
      <c r="K47" s="208">
        <f>(INDEX('Final allowances'!$T$21:$T$32, MATCH('Financial model inputs '!$B47, 'Final allowances'!$B$21:$B$32,0))/5)*I47</f>
        <v>148.00812342153327</v>
      </c>
      <c r="L47" s="208">
        <f>(INDEX('Final allowances'!$Q$38:$Q$50, MATCH('Financial model inputs '!$B47, 'Final allowances'!$B$38:$B$50,0))/5)</f>
        <v>125.8068258338694</v>
      </c>
      <c r="M47" s="208">
        <f t="shared" si="2"/>
        <v>273.81494925540267</v>
      </c>
      <c r="N47" s="208">
        <f>INDEX('Final allowances'!$J$5:$J$16,MATCH('Financial model inputs '!$B47,'Final allowances'!$B$5:$B$16,0))/5</f>
        <v>402.22899330893409</v>
      </c>
      <c r="O47" s="208">
        <f>INDEX('Final allowances'!$G$5:$G$16,MATCH('Financial model inputs '!$B47,'Final allowances'!$B$5:$B$16,0))/5</f>
        <v>400.04327634296334</v>
      </c>
      <c r="P47" s="208">
        <v>41.078000000000003</v>
      </c>
      <c r="Q47" s="208">
        <v>0</v>
      </c>
      <c r="R47" s="208">
        <v>19.547000000000001</v>
      </c>
      <c r="S47" s="208">
        <f t="shared" si="3"/>
        <v>0.67757525773195881</v>
      </c>
      <c r="T47" s="208">
        <f t="shared" si="4"/>
        <v>0.32242474226804124</v>
      </c>
      <c r="U47" s="208">
        <f>(INDEX('Final allowances'!$S$21:$S$32, MATCH('Financial model inputs '!$B47, 'Final allowances'!$B$21:$B$32,0))/5)*S47</f>
        <v>37.755135852022633</v>
      </c>
      <c r="V47" s="208">
        <f>(INDEX('Final allowances'!$S$21:$S$32, MATCH('Financial model inputs '!$B47, 'Final allowances'!$B$21:$B$32,0))/5)*T47</f>
        <v>17.965812369138867</v>
      </c>
      <c r="W47" s="208">
        <f>(INDEX('Final allowances'!$P$37:$P$50, MATCH('Financial model inputs '!$B47, 'Final allowances'!$B$37:$B$50,0))/5)</f>
        <v>7.1431999999999984</v>
      </c>
      <c r="X47" s="208">
        <f t="shared" si="5"/>
        <v>25.109012369138867</v>
      </c>
      <c r="Y47" s="208">
        <f>INDEX('Final allowances'!$I$6:$I$17,MATCH('Financial model inputs '!$B47,'Final allowances'!$B$6:$B$17,0))/5</f>
        <v>63.451765596435052</v>
      </c>
      <c r="Z47" s="208">
        <f>INDEX('Final allowances'!$F$6:$F$17,MATCH('Financial model inputs '!$B47,'Final allowances'!$B$6:$B$17,0))/5</f>
        <v>62.8641482211615</v>
      </c>
      <c r="AA47" s="208">
        <v>0</v>
      </c>
      <c r="AB47" s="208">
        <v>0</v>
      </c>
      <c r="AC47" s="208">
        <v>0</v>
      </c>
      <c r="AD47" s="119"/>
      <c r="AE47" s="119"/>
      <c r="AF47" s="119"/>
      <c r="AG47" s="81">
        <v>0</v>
      </c>
      <c r="AH47" s="81">
        <v>0</v>
      </c>
      <c r="AI47" s="81">
        <v>0</v>
      </c>
      <c r="AJ47" s="81">
        <v>0</v>
      </c>
    </row>
    <row r="48" spans="1:36" x14ac:dyDescent="0.2">
      <c r="A48" s="3" t="s">
        <v>229</v>
      </c>
      <c r="B48" s="7" t="s">
        <v>11</v>
      </c>
      <c r="C48" s="7" t="s">
        <v>19</v>
      </c>
      <c r="D48" s="7">
        <v>2024</v>
      </c>
      <c r="E48" s="208">
        <v>153.03899999999999</v>
      </c>
      <c r="F48" s="208">
        <v>35.555999999999997</v>
      </c>
      <c r="G48" s="208">
        <v>96.727000000000004</v>
      </c>
      <c r="H48" s="208">
        <f t="shared" si="0"/>
        <v>0.53637294004668401</v>
      </c>
      <c r="I48" s="208">
        <f t="shared" si="1"/>
        <v>0.46362705995331593</v>
      </c>
      <c r="J48" s="208">
        <f>(INDEX('Final allowances'!$T$21:$T$32, MATCH('Financial model inputs '!$B48, 'Final allowances'!$B$21:$B$32,0))/5)*H48</f>
        <v>147.0930112275297</v>
      </c>
      <c r="K48" s="208">
        <f>(INDEX('Final allowances'!$T$21:$T$32, MATCH('Financial model inputs '!$B48, 'Final allowances'!$B$21:$B$32,0))/5)*I48</f>
        <v>127.14343928156427</v>
      </c>
      <c r="L48" s="208">
        <f>(INDEX('Final allowances'!$Q$38:$Q$50, MATCH('Financial model inputs '!$B48, 'Final allowances'!$B$38:$B$50,0))/5)</f>
        <v>125.8068258338694</v>
      </c>
      <c r="M48" s="208">
        <f t="shared" si="2"/>
        <v>252.95026511543367</v>
      </c>
      <c r="N48" s="208">
        <f>INDEX('Final allowances'!$J$5:$J$16,MATCH('Financial model inputs '!$B48,'Final allowances'!$B$5:$B$16,0))/5</f>
        <v>402.22899330893409</v>
      </c>
      <c r="O48" s="208">
        <f>INDEX('Final allowances'!$G$5:$G$16,MATCH('Financial model inputs '!$B48,'Final allowances'!$B$5:$B$16,0))/5</f>
        <v>400.04327634296334</v>
      </c>
      <c r="P48" s="208">
        <v>41.391999999999996</v>
      </c>
      <c r="Q48" s="208">
        <v>0</v>
      </c>
      <c r="R48" s="208">
        <v>13.218</v>
      </c>
      <c r="S48" s="208">
        <f t="shared" si="3"/>
        <v>0.75795641823841775</v>
      </c>
      <c r="T48" s="208">
        <f t="shared" si="4"/>
        <v>0.24204358176158214</v>
      </c>
      <c r="U48" s="208">
        <f>(INDEX('Final allowances'!$S$21:$S$32, MATCH('Financial model inputs '!$B48, 'Final allowances'!$B$21:$B$32,0))/5)*S48</f>
        <v>42.234050334559903</v>
      </c>
      <c r="V48" s="208">
        <f>(INDEX('Final allowances'!$S$21:$S$32, MATCH('Financial model inputs '!$B48, 'Final allowances'!$B$21:$B$32,0))/5)*T48</f>
        <v>13.486897886601586</v>
      </c>
      <c r="W48" s="208">
        <f>(INDEX('Final allowances'!$P$37:$P$50, MATCH('Financial model inputs '!$B48, 'Final allowances'!$B$37:$B$50,0))/5)</f>
        <v>7.1431999999999984</v>
      </c>
      <c r="X48" s="208">
        <f t="shared" si="5"/>
        <v>20.630097886601583</v>
      </c>
      <c r="Y48" s="208">
        <f>INDEX('Final allowances'!$I$6:$I$17,MATCH('Financial model inputs '!$B48,'Final allowances'!$B$6:$B$17,0))/5</f>
        <v>63.451765596435052</v>
      </c>
      <c r="Z48" s="208">
        <f>INDEX('Final allowances'!$F$6:$F$17,MATCH('Financial model inputs '!$B48,'Final allowances'!$B$6:$B$17,0))/5</f>
        <v>62.8641482211615</v>
      </c>
      <c r="AA48" s="208">
        <v>0</v>
      </c>
      <c r="AB48" s="208">
        <v>0</v>
      </c>
      <c r="AC48" s="208">
        <v>0</v>
      </c>
      <c r="AD48" s="119"/>
      <c r="AE48" s="119"/>
      <c r="AF48" s="119"/>
      <c r="AG48" s="81">
        <v>0</v>
      </c>
      <c r="AH48" s="81">
        <v>0</v>
      </c>
      <c r="AI48" s="81">
        <v>0</v>
      </c>
      <c r="AJ48" s="81">
        <v>0</v>
      </c>
    </row>
    <row r="49" spans="1:36" x14ac:dyDescent="0.2">
      <c r="A49" s="3" t="s">
        <v>230</v>
      </c>
      <c r="B49" s="7" t="s">
        <v>11</v>
      </c>
      <c r="C49" s="7" t="s">
        <v>20</v>
      </c>
      <c r="D49" s="7">
        <v>2025</v>
      </c>
      <c r="E49" s="208">
        <v>159.27099999999999</v>
      </c>
      <c r="F49" s="208">
        <v>40.578000000000003</v>
      </c>
      <c r="G49" s="208">
        <v>62.272999999999996</v>
      </c>
      <c r="H49" s="208">
        <f t="shared" si="0"/>
        <v>0.60762164183090317</v>
      </c>
      <c r="I49" s="208">
        <f t="shared" si="1"/>
        <v>0.39237835816909689</v>
      </c>
      <c r="J49" s="208">
        <f>(INDEX('Final allowances'!$T$21:$T$32, MATCH('Financial model inputs '!$B49, 'Final allowances'!$B$21:$B$32,0))/5)*H49</f>
        <v>166.63200230821491</v>
      </c>
      <c r="K49" s="208">
        <f>(INDEX('Final allowances'!$T$21:$T$32, MATCH('Financial model inputs '!$B49, 'Final allowances'!$B$21:$B$32,0))/5)*I49</f>
        <v>107.60444820087909</v>
      </c>
      <c r="L49" s="208">
        <f>(INDEX('Final allowances'!$Q$38:$Q$50, MATCH('Financial model inputs '!$B49, 'Final allowances'!$B$38:$B$50,0))/5)</f>
        <v>125.8068258338694</v>
      </c>
      <c r="M49" s="208">
        <f t="shared" si="2"/>
        <v>233.41127403474849</v>
      </c>
      <c r="N49" s="208">
        <f>INDEX('Final allowances'!$J$5:$J$16,MATCH('Financial model inputs '!$B49,'Final allowances'!$B$5:$B$16,0))/5</f>
        <v>402.22899330893409</v>
      </c>
      <c r="O49" s="208">
        <f>INDEX('Final allowances'!$G$5:$G$16,MATCH('Financial model inputs '!$B49,'Final allowances'!$B$5:$B$16,0))/5</f>
        <v>400.04327634296334</v>
      </c>
      <c r="P49" s="208">
        <v>41.698</v>
      </c>
      <c r="Q49" s="208">
        <v>0</v>
      </c>
      <c r="R49" s="208">
        <v>12.341000000000001</v>
      </c>
      <c r="S49" s="208">
        <f t="shared" si="3"/>
        <v>0.77162789836969592</v>
      </c>
      <c r="T49" s="208">
        <f t="shared" si="4"/>
        <v>0.22837210163030405</v>
      </c>
      <c r="U49" s="208">
        <f>(INDEX('Final allowances'!$S$21:$S$32, MATCH('Financial model inputs '!$B49, 'Final allowances'!$B$21:$B$32,0))/5)*S49</f>
        <v>42.995838171061486</v>
      </c>
      <c r="V49" s="208">
        <f>(INDEX('Final allowances'!$S$21:$S$32, MATCH('Financial model inputs '!$B49, 'Final allowances'!$B$21:$B$32,0))/5)*T49</f>
        <v>12.725110050100001</v>
      </c>
      <c r="W49" s="208">
        <f>(INDEX('Final allowances'!$P$37:$P$50, MATCH('Financial model inputs '!$B49, 'Final allowances'!$B$37:$B$50,0))/5)</f>
        <v>7.1431999999999984</v>
      </c>
      <c r="X49" s="208">
        <f t="shared" si="5"/>
        <v>19.8683100501</v>
      </c>
      <c r="Y49" s="208">
        <f>INDEX('Final allowances'!$I$6:$I$17,MATCH('Financial model inputs '!$B49,'Final allowances'!$B$6:$B$17,0))/5</f>
        <v>63.451765596435052</v>
      </c>
      <c r="Z49" s="208">
        <f>INDEX('Final allowances'!$F$6:$F$17,MATCH('Financial model inputs '!$B49,'Final allowances'!$B$6:$B$17,0))/5</f>
        <v>62.8641482211615</v>
      </c>
      <c r="AA49" s="208">
        <v>0</v>
      </c>
      <c r="AB49" s="208">
        <v>0</v>
      </c>
      <c r="AC49" s="208">
        <v>0</v>
      </c>
      <c r="AD49" s="119"/>
      <c r="AE49" s="119"/>
      <c r="AF49" s="119"/>
      <c r="AG49" s="81">
        <v>0</v>
      </c>
      <c r="AH49" s="81">
        <v>0</v>
      </c>
      <c r="AI49" s="81">
        <v>0</v>
      </c>
      <c r="AJ49" s="81">
        <v>0</v>
      </c>
    </row>
    <row r="50" spans="1:36" x14ac:dyDescent="0.2">
      <c r="A50" s="3" t="s">
        <v>231</v>
      </c>
      <c r="B50" s="7" t="s">
        <v>116</v>
      </c>
      <c r="C50" s="7" t="s">
        <v>16</v>
      </c>
      <c r="D50" s="7">
        <v>2021</v>
      </c>
      <c r="E50" s="208">
        <v>269.83185297147202</v>
      </c>
      <c r="F50" s="208">
        <v>0</v>
      </c>
      <c r="G50" s="208">
        <v>119.84071191129499</v>
      </c>
      <c r="H50" s="208">
        <f t="shared" si="0"/>
        <v>0.69245791797698386</v>
      </c>
      <c r="I50" s="208">
        <f t="shared" si="1"/>
        <v>0.30754208202301608</v>
      </c>
      <c r="J50" s="208">
        <f>(INDEX('Final allowances'!$T$21:$T$32, MATCH('Financial model inputs '!$B50, 'Final allowances'!$B$21:$B$32,0))/5)*H50</f>
        <v>310.43286130256422</v>
      </c>
      <c r="K50" s="208">
        <f>(INDEX('Final allowances'!$T$21:$T$32, MATCH('Financial model inputs '!$B50, 'Final allowances'!$B$21:$B$32,0))/5)*I50</f>
        <v>137.87288153520123</v>
      </c>
      <c r="L50" s="208">
        <f>(INDEX('Final allowances'!$Q$38:$Q$50, MATCH('Financial model inputs '!$B50, 'Final allowances'!$B$38:$B$50,0))/5)</f>
        <v>89.352536574720872</v>
      </c>
      <c r="M50" s="208">
        <f t="shared" si="2"/>
        <v>227.22541810992209</v>
      </c>
      <c r="N50" s="208">
        <f>INDEX('Final allowances'!$J$5:$J$16,MATCH('Financial model inputs '!$B50,'Final allowances'!$B$5:$B$16,0))/5</f>
        <v>541.91375417236691</v>
      </c>
      <c r="O50" s="208">
        <f>INDEX('Final allowances'!$G$5:$G$16,MATCH('Financial model inputs '!$B50,'Final allowances'!$B$5:$B$16,0))/5</f>
        <v>537.65827941248631</v>
      </c>
      <c r="P50" s="208">
        <v>20.514072638123505</v>
      </c>
      <c r="Q50" s="208">
        <v>0</v>
      </c>
      <c r="R50" s="208">
        <v>40.805186981340292</v>
      </c>
      <c r="S50" s="208">
        <f t="shared" si="3"/>
        <v>0.33454534130761071</v>
      </c>
      <c r="T50" s="208">
        <f t="shared" si="4"/>
        <v>0.6654546586923894</v>
      </c>
      <c r="U50" s="208">
        <f>(INDEX('Final allowances'!$S$21:$S$32, MATCH('Financial model inputs '!$B50, 'Final allowances'!$B$21:$B$32,0))/5)*S50</f>
        <v>29.989798943888829</v>
      </c>
      <c r="V50" s="208">
        <f>(INDEX('Final allowances'!$S$21:$S$32, MATCH('Financial model inputs '!$B50, 'Final allowances'!$B$21:$B$32,0))/5)*T50</f>
        <v>59.653652155056669</v>
      </c>
      <c r="W50" s="208">
        <f>(INDEX('Final allowances'!$P$37:$P$50, MATCH('Financial model inputs '!$B50, 'Final allowances'!$B$37:$B$50,0))/5)</f>
        <v>0</v>
      </c>
      <c r="X50" s="208">
        <f t="shared" si="5"/>
        <v>59.653652155056669</v>
      </c>
      <c r="Y50" s="208">
        <f>INDEX('Final allowances'!$I$6:$I$17,MATCH('Financial model inputs '!$B50,'Final allowances'!$B$6:$B$17,0))/5</f>
        <v>90.688261127617182</v>
      </c>
      <c r="Z50" s="208">
        <f>INDEX('Final allowances'!$F$6:$F$17,MATCH('Financial model inputs '!$B50,'Final allowances'!$B$6:$B$17,0))/5</f>
        <v>89.643451098945491</v>
      </c>
      <c r="AA50" s="208">
        <v>3.548489542556013</v>
      </c>
      <c r="AB50" s="208">
        <v>1.0448100286716873</v>
      </c>
      <c r="AC50" s="208">
        <v>0</v>
      </c>
      <c r="AD50" s="119"/>
      <c r="AE50" s="119"/>
      <c r="AF50" s="119"/>
      <c r="AG50" s="81">
        <v>0</v>
      </c>
      <c r="AH50" s="81">
        <v>0.69901504068353104</v>
      </c>
      <c r="AI50" s="81">
        <v>0</v>
      </c>
      <c r="AJ50" s="81">
        <v>0</v>
      </c>
    </row>
    <row r="51" spans="1:36" x14ac:dyDescent="0.2">
      <c r="A51" s="3" t="s">
        <v>232</v>
      </c>
      <c r="B51" s="7" t="s">
        <v>116</v>
      </c>
      <c r="C51" s="7" t="s">
        <v>17</v>
      </c>
      <c r="D51" s="7">
        <v>2022</v>
      </c>
      <c r="E51" s="208">
        <v>263.67375746313797</v>
      </c>
      <c r="F51" s="208">
        <v>0</v>
      </c>
      <c r="G51" s="208">
        <v>120.9105551924265</v>
      </c>
      <c r="H51" s="208">
        <f t="shared" si="0"/>
        <v>0.68560715761509861</v>
      </c>
      <c r="I51" s="208">
        <f t="shared" si="1"/>
        <v>0.31439284238490134</v>
      </c>
      <c r="J51" s="208">
        <f>(INDEX('Final allowances'!$T$21:$T$32, MATCH('Financial model inputs '!$B51, 'Final allowances'!$B$21:$B$32,0))/5)*H51</f>
        <v>307.36162608952571</v>
      </c>
      <c r="K51" s="208">
        <f>(INDEX('Final allowances'!$T$21:$T$32, MATCH('Financial model inputs '!$B51, 'Final allowances'!$B$21:$B$32,0))/5)*I51</f>
        <v>140.94411674823971</v>
      </c>
      <c r="L51" s="208">
        <f>(INDEX('Final allowances'!$Q$38:$Q$50, MATCH('Financial model inputs '!$B51, 'Final allowances'!$B$38:$B$50,0))/5)</f>
        <v>89.352536574720872</v>
      </c>
      <c r="M51" s="208">
        <f t="shared" si="2"/>
        <v>230.29665332296059</v>
      </c>
      <c r="N51" s="208">
        <f>INDEX('Final allowances'!$J$5:$J$16,MATCH('Financial model inputs '!$B51,'Final allowances'!$B$5:$B$16,0))/5</f>
        <v>541.91375417236691</v>
      </c>
      <c r="O51" s="208">
        <f>INDEX('Final allowances'!$G$5:$G$16,MATCH('Financial model inputs '!$B51,'Final allowances'!$B$5:$B$16,0))/5</f>
        <v>537.65827941248631</v>
      </c>
      <c r="P51" s="208">
        <v>20.879903195494681</v>
      </c>
      <c r="Q51" s="208">
        <v>0</v>
      </c>
      <c r="R51" s="208">
        <v>39.670576819770076</v>
      </c>
      <c r="S51" s="208">
        <f t="shared" si="3"/>
        <v>0.34483464359375621</v>
      </c>
      <c r="T51" s="208">
        <f t="shared" si="4"/>
        <v>0.65516535640624385</v>
      </c>
      <c r="U51" s="208">
        <f>(INDEX('Final allowances'!$S$21:$S$32, MATCH('Financial model inputs '!$B51, 'Final allowances'!$B$21:$B$32,0))/5)*S51</f>
        <v>30.912167510219181</v>
      </c>
      <c r="V51" s="208">
        <f>(INDEX('Final allowances'!$S$21:$S$32, MATCH('Financial model inputs '!$B51, 'Final allowances'!$B$21:$B$32,0))/5)*T51</f>
        <v>58.731283588726313</v>
      </c>
      <c r="W51" s="208">
        <f>(INDEX('Final allowances'!$P$37:$P$50, MATCH('Financial model inputs '!$B51, 'Final allowances'!$B$37:$B$50,0))/5)</f>
        <v>0</v>
      </c>
      <c r="X51" s="208">
        <f t="shared" si="5"/>
        <v>58.731283588726313</v>
      </c>
      <c r="Y51" s="208">
        <f>INDEX('Final allowances'!$I$6:$I$17,MATCH('Financial model inputs '!$B51,'Final allowances'!$B$6:$B$17,0))/5</f>
        <v>90.688261127617182</v>
      </c>
      <c r="Z51" s="208">
        <f>INDEX('Final allowances'!$F$6:$F$17,MATCH('Financial model inputs '!$B51,'Final allowances'!$B$6:$B$17,0))/5</f>
        <v>89.643451098945491</v>
      </c>
      <c r="AA51" s="208">
        <v>3.5484895425560299</v>
      </c>
      <c r="AB51" s="208">
        <v>1.0448100286716888</v>
      </c>
      <c r="AC51" s="208">
        <v>0</v>
      </c>
      <c r="AD51" s="119"/>
      <c r="AE51" s="119"/>
      <c r="AF51" s="119"/>
      <c r="AG51" s="81">
        <v>0</v>
      </c>
      <c r="AH51" s="81">
        <v>0.703175095192618</v>
      </c>
      <c r="AI51" s="81">
        <v>0</v>
      </c>
      <c r="AJ51" s="81">
        <v>0</v>
      </c>
    </row>
    <row r="52" spans="1:36" x14ac:dyDescent="0.2">
      <c r="A52" s="3" t="s">
        <v>233</v>
      </c>
      <c r="B52" s="7" t="s">
        <v>116</v>
      </c>
      <c r="C52" s="7" t="s">
        <v>18</v>
      </c>
      <c r="D52" s="7">
        <v>2023</v>
      </c>
      <c r="E52" s="208">
        <v>258.97148341125103</v>
      </c>
      <c r="F52" s="208">
        <v>0</v>
      </c>
      <c r="G52" s="208">
        <v>123.69503847478009</v>
      </c>
      <c r="H52" s="208">
        <f t="shared" si="0"/>
        <v>0.67675500363833774</v>
      </c>
      <c r="I52" s="208">
        <f t="shared" si="1"/>
        <v>0.32324499636166232</v>
      </c>
      <c r="J52" s="208">
        <f>(INDEX('Final allowances'!$T$21:$T$32, MATCH('Financial model inputs '!$B52, 'Final allowances'!$B$21:$B$32,0))/5)*H52</f>
        <v>303.39315462525968</v>
      </c>
      <c r="K52" s="208">
        <f>(INDEX('Final allowances'!$T$21:$T$32, MATCH('Financial model inputs '!$B52, 'Final allowances'!$B$21:$B$32,0))/5)*I52</f>
        <v>144.91258821250582</v>
      </c>
      <c r="L52" s="208">
        <f>(INDEX('Final allowances'!$Q$38:$Q$50, MATCH('Financial model inputs '!$B52, 'Final allowances'!$B$38:$B$50,0))/5)</f>
        <v>89.352536574720872</v>
      </c>
      <c r="M52" s="208">
        <f t="shared" si="2"/>
        <v>234.26512478722668</v>
      </c>
      <c r="N52" s="208">
        <f>INDEX('Final allowances'!$J$5:$J$16,MATCH('Financial model inputs '!$B52,'Final allowances'!$B$5:$B$16,0))/5</f>
        <v>541.91375417236691</v>
      </c>
      <c r="O52" s="208">
        <f>INDEX('Final allowances'!$G$5:$G$16,MATCH('Financial model inputs '!$B52,'Final allowances'!$B$5:$B$16,0))/5</f>
        <v>537.65827941248631</v>
      </c>
      <c r="P52" s="208">
        <v>19.56865067120745</v>
      </c>
      <c r="Q52" s="208">
        <v>0</v>
      </c>
      <c r="R52" s="208">
        <v>39.113637143576184</v>
      </c>
      <c r="S52" s="208">
        <f t="shared" si="3"/>
        <v>0.33346775321662875</v>
      </c>
      <c r="T52" s="208">
        <f t="shared" si="4"/>
        <v>0.6665322467833712</v>
      </c>
      <c r="U52" s="208">
        <f>(INDEX('Final allowances'!$S$21:$S$32, MATCH('Financial model inputs '!$B52, 'Final allowances'!$B$21:$B$32,0))/5)*S52</f>
        <v>29.893200228550082</v>
      </c>
      <c r="V52" s="208">
        <f>(INDEX('Final allowances'!$S$21:$S$32, MATCH('Financial model inputs '!$B52, 'Final allowances'!$B$21:$B$32,0))/5)*T52</f>
        <v>59.750250870395405</v>
      </c>
      <c r="W52" s="208">
        <f>(INDEX('Final allowances'!$P$37:$P$50, MATCH('Financial model inputs '!$B52, 'Final allowances'!$B$37:$B$50,0))/5)</f>
        <v>0</v>
      </c>
      <c r="X52" s="208">
        <f t="shared" si="5"/>
        <v>59.750250870395405</v>
      </c>
      <c r="Y52" s="208">
        <f>INDEX('Final allowances'!$I$6:$I$17,MATCH('Financial model inputs '!$B52,'Final allowances'!$B$6:$B$17,0))/5</f>
        <v>90.688261127617182</v>
      </c>
      <c r="Z52" s="208">
        <f>INDEX('Final allowances'!$F$6:$F$17,MATCH('Financial model inputs '!$B52,'Final allowances'!$B$6:$B$17,0))/5</f>
        <v>89.643451098945491</v>
      </c>
      <c r="AA52" s="208">
        <v>3.5484895425560148</v>
      </c>
      <c r="AB52" s="208">
        <v>1.0448100286716868</v>
      </c>
      <c r="AC52" s="208">
        <v>0</v>
      </c>
      <c r="AD52" s="119"/>
      <c r="AE52" s="119"/>
      <c r="AF52" s="119"/>
      <c r="AG52" s="81">
        <v>0</v>
      </c>
      <c r="AH52" s="81">
        <v>0.70716511736719501</v>
      </c>
      <c r="AI52" s="81">
        <v>0</v>
      </c>
      <c r="AJ52" s="81">
        <v>0</v>
      </c>
    </row>
    <row r="53" spans="1:36" x14ac:dyDescent="0.2">
      <c r="A53" s="3" t="s">
        <v>234</v>
      </c>
      <c r="B53" s="7" t="s">
        <v>116</v>
      </c>
      <c r="C53" s="7" t="s">
        <v>19</v>
      </c>
      <c r="D53" s="7">
        <v>2024</v>
      </c>
      <c r="E53" s="208">
        <v>257.521047081532</v>
      </c>
      <c r="F53" s="208">
        <v>0</v>
      </c>
      <c r="G53" s="208">
        <v>118.64420662994451</v>
      </c>
      <c r="H53" s="208">
        <f t="shared" si="0"/>
        <v>0.68459551896585824</v>
      </c>
      <c r="I53" s="208">
        <f t="shared" si="1"/>
        <v>0.31540448103414176</v>
      </c>
      <c r="J53" s="208">
        <f>(INDEX('Final allowances'!$T$21:$T$32, MATCH('Financial model inputs '!$B53, 'Final allowances'!$B$21:$B$32,0))/5)*H53</f>
        <v>306.90810267339464</v>
      </c>
      <c r="K53" s="208">
        <f>(INDEX('Final allowances'!$T$21:$T$32, MATCH('Financial model inputs '!$B53, 'Final allowances'!$B$21:$B$32,0))/5)*I53</f>
        <v>141.39764016437084</v>
      </c>
      <c r="L53" s="208">
        <f>(INDEX('Final allowances'!$Q$38:$Q$50, MATCH('Financial model inputs '!$B53, 'Final allowances'!$B$38:$B$50,0))/5)</f>
        <v>89.352536574720872</v>
      </c>
      <c r="M53" s="208">
        <f t="shared" si="2"/>
        <v>230.75017673909173</v>
      </c>
      <c r="N53" s="208">
        <f>INDEX('Final allowances'!$J$5:$J$16,MATCH('Financial model inputs '!$B53,'Final allowances'!$B$5:$B$16,0))/5</f>
        <v>541.91375417236691</v>
      </c>
      <c r="O53" s="208">
        <f>INDEX('Final allowances'!$G$5:$G$16,MATCH('Financial model inputs '!$B53,'Final allowances'!$B$5:$B$16,0))/5</f>
        <v>537.65827941248631</v>
      </c>
      <c r="P53" s="208">
        <v>19.73587442951353</v>
      </c>
      <c r="Q53" s="208">
        <v>0</v>
      </c>
      <c r="R53" s="208">
        <v>36.484224073920011</v>
      </c>
      <c r="S53" s="208">
        <f t="shared" si="3"/>
        <v>0.3510465999683049</v>
      </c>
      <c r="T53" s="208">
        <f t="shared" si="4"/>
        <v>0.6489534000316951</v>
      </c>
      <c r="U53" s="208">
        <f>(INDEX('Final allowances'!$S$21:$S$32, MATCH('Financial model inputs '!$B53, 'Final allowances'!$B$21:$B$32,0))/5)*S53</f>
        <v>31.469028717709818</v>
      </c>
      <c r="V53" s="208">
        <f>(INDEX('Final allowances'!$S$21:$S$32, MATCH('Financial model inputs '!$B53, 'Final allowances'!$B$21:$B$32,0))/5)*T53</f>
        <v>58.174422381235672</v>
      </c>
      <c r="W53" s="208">
        <f>(INDEX('Final allowances'!$P$37:$P$50, MATCH('Financial model inputs '!$B53, 'Final allowances'!$B$37:$B$50,0))/5)</f>
        <v>0</v>
      </c>
      <c r="X53" s="208">
        <f t="shared" si="5"/>
        <v>58.174422381235672</v>
      </c>
      <c r="Y53" s="208">
        <f>INDEX('Final allowances'!$I$6:$I$17,MATCH('Financial model inputs '!$B53,'Final allowances'!$B$6:$B$17,0))/5</f>
        <v>90.688261127617182</v>
      </c>
      <c r="Z53" s="208">
        <f>INDEX('Final allowances'!$F$6:$F$17,MATCH('Financial model inputs '!$B53,'Final allowances'!$B$6:$B$17,0))/5</f>
        <v>89.643451098945491</v>
      </c>
      <c r="AA53" s="208">
        <v>3.5484895425560086</v>
      </c>
      <c r="AB53" s="208">
        <v>1.0448100286716866</v>
      </c>
      <c r="AC53" s="208">
        <v>0</v>
      </c>
      <c r="AD53" s="119"/>
      <c r="AE53" s="119"/>
      <c r="AF53" s="119"/>
      <c r="AG53" s="81">
        <v>0</v>
      </c>
      <c r="AH53" s="81">
        <v>0.71094911210287903</v>
      </c>
      <c r="AI53" s="81">
        <v>0</v>
      </c>
      <c r="AJ53" s="81">
        <v>0</v>
      </c>
    </row>
    <row r="54" spans="1:36" x14ac:dyDescent="0.2">
      <c r="A54" s="3" t="s">
        <v>235</v>
      </c>
      <c r="B54" s="7" t="s">
        <v>116</v>
      </c>
      <c r="C54" s="7" t="s">
        <v>20</v>
      </c>
      <c r="D54" s="7">
        <v>2025</v>
      </c>
      <c r="E54" s="208">
        <v>259.840096713501</v>
      </c>
      <c r="F54" s="208">
        <v>0</v>
      </c>
      <c r="G54" s="208">
        <v>110.3966513125399</v>
      </c>
      <c r="H54" s="208">
        <f t="shared" si="0"/>
        <v>0.7018214645058003</v>
      </c>
      <c r="I54" s="208">
        <f t="shared" si="1"/>
        <v>0.29817853549419965</v>
      </c>
      <c r="J54" s="208">
        <f>(INDEX('Final allowances'!$T$21:$T$32, MATCH('Financial model inputs '!$B54, 'Final allowances'!$B$21:$B$32,0))/5)*H54</f>
        <v>314.63059298476128</v>
      </c>
      <c r="K54" s="208">
        <f>(INDEX('Final allowances'!$T$21:$T$32, MATCH('Financial model inputs '!$B54, 'Final allowances'!$B$21:$B$32,0))/5)*I54</f>
        <v>133.6751498530042</v>
      </c>
      <c r="L54" s="208">
        <f>(INDEX('Final allowances'!$Q$38:$Q$50, MATCH('Financial model inputs '!$B54, 'Final allowances'!$B$38:$B$50,0))/5)</f>
        <v>89.352536574720872</v>
      </c>
      <c r="M54" s="208">
        <f t="shared" si="2"/>
        <v>223.02768642772509</v>
      </c>
      <c r="N54" s="208">
        <f>INDEX('Final allowances'!$J$5:$J$16,MATCH('Financial model inputs '!$B54,'Final allowances'!$B$5:$B$16,0))/5</f>
        <v>541.91375417236691</v>
      </c>
      <c r="O54" s="208">
        <f>INDEX('Final allowances'!$G$5:$G$16,MATCH('Financial model inputs '!$B54,'Final allowances'!$B$5:$B$16,0))/5</f>
        <v>537.65827941248631</v>
      </c>
      <c r="P54" s="208">
        <v>19.587269245837248</v>
      </c>
      <c r="Q54" s="208">
        <v>0</v>
      </c>
      <c r="R54" s="208">
        <v>31.50324040648157</v>
      </c>
      <c r="S54" s="208">
        <f t="shared" si="3"/>
        <v>0.38338371214404693</v>
      </c>
      <c r="T54" s="208">
        <f t="shared" si="4"/>
        <v>0.61661628785595313</v>
      </c>
      <c r="U54" s="208">
        <f>(INDEX('Final allowances'!$S$21:$S$32, MATCH('Financial model inputs '!$B54, 'Final allowances'!$B$21:$B$32,0))/5)*S54</f>
        <v>34.367839051717063</v>
      </c>
      <c r="V54" s="208">
        <f>(INDEX('Final allowances'!$S$21:$S$32, MATCH('Financial model inputs '!$B54, 'Final allowances'!$B$21:$B$32,0))/5)*T54</f>
        <v>55.275612047228428</v>
      </c>
      <c r="W54" s="208">
        <f>(INDEX('Final allowances'!$P$37:$P$50, MATCH('Financial model inputs '!$B54, 'Final allowances'!$B$37:$B$50,0))/5)</f>
        <v>0</v>
      </c>
      <c r="X54" s="208">
        <f t="shared" si="5"/>
        <v>55.275612047228428</v>
      </c>
      <c r="Y54" s="208">
        <f>INDEX('Final allowances'!$I$6:$I$17,MATCH('Financial model inputs '!$B54,'Final allowances'!$B$6:$B$17,0))/5</f>
        <v>90.688261127617182</v>
      </c>
      <c r="Z54" s="208">
        <f>INDEX('Final allowances'!$F$6:$F$17,MATCH('Financial model inputs '!$B54,'Final allowances'!$B$6:$B$17,0))/5</f>
        <v>89.643451098945491</v>
      </c>
      <c r="AA54" s="208">
        <v>3.548489542556029</v>
      </c>
      <c r="AB54" s="208">
        <v>1.0448100286716862</v>
      </c>
      <c r="AC54" s="208">
        <v>0</v>
      </c>
      <c r="AD54" s="119"/>
      <c r="AE54" s="119"/>
      <c r="AF54" s="119"/>
      <c r="AG54" s="81">
        <v>0</v>
      </c>
      <c r="AH54" s="81">
        <v>0.71462172127678503</v>
      </c>
      <c r="AI54" s="81">
        <v>0</v>
      </c>
      <c r="AJ54" s="81">
        <v>0</v>
      </c>
    </row>
    <row r="55" spans="1:36" x14ac:dyDescent="0.2">
      <c r="A55" s="3" t="s">
        <v>236</v>
      </c>
      <c r="B55" s="7" t="s">
        <v>87</v>
      </c>
      <c r="C55" s="7" t="s">
        <v>16</v>
      </c>
      <c r="D55" s="7">
        <v>2021</v>
      </c>
      <c r="E55" s="208">
        <v>2.4700000000000042</v>
      </c>
      <c r="F55" s="208">
        <v>0</v>
      </c>
      <c r="G55" s="208">
        <v>1.3024672637009611</v>
      </c>
      <c r="H55" s="208">
        <f t="shared" si="0"/>
        <v>0.65474391885824335</v>
      </c>
      <c r="I55" s="208">
        <f t="shared" si="1"/>
        <v>0.34525608114175665</v>
      </c>
      <c r="J55" s="208">
        <f>(INDEX('Final allowances'!$T$21:$T$32, MATCH('Financial model inputs '!$B55, 'Final allowances'!$B$21:$B$32,0))/5)*H55</f>
        <v>2.6246191603755458</v>
      </c>
      <c r="K55" s="208">
        <f>(INDEX('Final allowances'!$T$21:$T$32, MATCH('Financial model inputs '!$B55, 'Final allowances'!$B$21:$B$32,0))/5)*I55</f>
        <v>1.3840002170329739</v>
      </c>
      <c r="L55" s="208">
        <f>(INDEX('Final allowances'!$Q$38:$Q$50, MATCH('Financial model inputs '!$B55, 'Final allowances'!$B$38:$B$50,0))/5)</f>
        <v>0.52960065313692728</v>
      </c>
      <c r="M55" s="208">
        <f t="shared" si="2"/>
        <v>1.9136008701699012</v>
      </c>
      <c r="N55" s="208">
        <f>INDEX('Final allowances'!$J$5:$J$16,MATCH('Financial model inputs '!$B55,'Final allowances'!$B$5:$B$16,0))/5</f>
        <v>4.5382200305454479</v>
      </c>
      <c r="O55" s="208">
        <f>INDEX('Final allowances'!$G$5:$G$16,MATCH('Financial model inputs '!$B55,'Final allowances'!$B$5:$B$16,0))/5</f>
        <v>4.5382200305454479</v>
      </c>
      <c r="P55" s="208">
        <v>0.69800000000000006</v>
      </c>
      <c r="Q55" s="208">
        <v>0</v>
      </c>
      <c r="R55" s="208">
        <v>0</v>
      </c>
      <c r="S55" s="208">
        <f t="shared" si="3"/>
        <v>1</v>
      </c>
      <c r="T55" s="208">
        <f t="shared" si="4"/>
        <v>0</v>
      </c>
      <c r="U55" s="208">
        <f>(INDEX('Final allowances'!$S$21:$S$32, MATCH('Financial model inputs '!$B55, 'Final allowances'!$B$21:$B$32,0))/5)*S55</f>
        <v>1.0705975592581454</v>
      </c>
      <c r="V55" s="208">
        <f>(INDEX('Final allowances'!$S$21:$S$32, MATCH('Financial model inputs '!$B55, 'Final allowances'!$B$21:$B$32,0))/5)*T55</f>
        <v>0</v>
      </c>
      <c r="W55" s="208">
        <f>(INDEX('Final allowances'!$P$37:$P$50, MATCH('Financial model inputs '!$B55, 'Final allowances'!$B$37:$B$50,0))/5)</f>
        <v>0</v>
      </c>
      <c r="X55" s="208">
        <f t="shared" si="5"/>
        <v>0</v>
      </c>
      <c r="Y55" s="208">
        <f>INDEX('Final allowances'!$I$6:$I$17,MATCH('Financial model inputs '!$B55,'Final allowances'!$B$6:$B$17,0))/5</f>
        <v>1.0705975592581454</v>
      </c>
      <c r="Z55" s="208">
        <f>INDEX('Final allowances'!$F$6:$F$17,MATCH('Financial model inputs '!$B55,'Final allowances'!$B$6:$B$17,0))/5</f>
        <v>1.0705975592581454</v>
      </c>
      <c r="AA55" s="208">
        <v>0</v>
      </c>
      <c r="AB55" s="208">
        <v>0</v>
      </c>
      <c r="AC55" s="208">
        <v>0</v>
      </c>
      <c r="AD55" s="119"/>
      <c r="AE55" s="119"/>
      <c r="AF55" s="119"/>
      <c r="AG55" s="81">
        <v>0</v>
      </c>
      <c r="AH55" s="81">
        <v>0</v>
      </c>
      <c r="AI55" s="81">
        <v>0</v>
      </c>
      <c r="AJ55" s="81">
        <v>0</v>
      </c>
    </row>
    <row r="56" spans="1:36" x14ac:dyDescent="0.2">
      <c r="A56" s="3" t="s">
        <v>237</v>
      </c>
      <c r="B56" s="7" t="s">
        <v>87</v>
      </c>
      <c r="C56" s="7" t="s">
        <v>17</v>
      </c>
      <c r="D56" s="7">
        <v>2022</v>
      </c>
      <c r="E56" s="208">
        <v>2.478999999999997</v>
      </c>
      <c r="F56" s="208">
        <v>0</v>
      </c>
      <c r="G56" s="208">
        <v>1.3033474958078</v>
      </c>
      <c r="H56" s="208">
        <f t="shared" si="0"/>
        <v>0.65541307422113426</v>
      </c>
      <c r="I56" s="208">
        <f t="shared" si="1"/>
        <v>0.34458692577886568</v>
      </c>
      <c r="J56" s="208">
        <f>(INDEX('Final allowances'!$T$21:$T$32, MATCH('Financial model inputs '!$B56, 'Final allowances'!$B$21:$B$32,0))/5)*H56</f>
        <v>2.6273015495297272</v>
      </c>
      <c r="K56" s="208">
        <f>(INDEX('Final allowances'!$T$21:$T$32, MATCH('Financial model inputs '!$B56, 'Final allowances'!$B$21:$B$32,0))/5)*I56</f>
        <v>1.3813178278787923</v>
      </c>
      <c r="L56" s="208">
        <f>(INDEX('Final allowances'!$Q$38:$Q$50, MATCH('Financial model inputs '!$B56, 'Final allowances'!$B$38:$B$50,0))/5)</f>
        <v>0.52960065313692728</v>
      </c>
      <c r="M56" s="208">
        <f t="shared" si="2"/>
        <v>1.9109184810157196</v>
      </c>
      <c r="N56" s="208">
        <f>INDEX('Final allowances'!$J$5:$J$16,MATCH('Financial model inputs '!$B56,'Final allowances'!$B$5:$B$16,0))/5</f>
        <v>4.5382200305454479</v>
      </c>
      <c r="O56" s="208">
        <f>INDEX('Final allowances'!$G$5:$G$16,MATCH('Financial model inputs '!$B56,'Final allowances'!$B$5:$B$16,0))/5</f>
        <v>4.5382200305454479</v>
      </c>
      <c r="P56" s="208">
        <v>0.72599999999999998</v>
      </c>
      <c r="Q56" s="208">
        <v>0</v>
      </c>
      <c r="R56" s="208">
        <v>0</v>
      </c>
      <c r="S56" s="208">
        <f t="shared" si="3"/>
        <v>1</v>
      </c>
      <c r="T56" s="208">
        <f t="shared" si="4"/>
        <v>0</v>
      </c>
      <c r="U56" s="208">
        <f>(INDEX('Final allowances'!$S$21:$S$32, MATCH('Financial model inputs '!$B56, 'Final allowances'!$B$21:$B$32,0))/5)*S56</f>
        <v>1.0705975592581454</v>
      </c>
      <c r="V56" s="208">
        <f>(INDEX('Final allowances'!$S$21:$S$32, MATCH('Financial model inputs '!$B56, 'Final allowances'!$B$21:$B$32,0))/5)*T56</f>
        <v>0</v>
      </c>
      <c r="W56" s="208">
        <f>(INDEX('Final allowances'!$P$37:$P$50, MATCH('Financial model inputs '!$B56, 'Final allowances'!$B$37:$B$50,0))/5)</f>
        <v>0</v>
      </c>
      <c r="X56" s="208">
        <f t="shared" si="5"/>
        <v>0</v>
      </c>
      <c r="Y56" s="208">
        <f>INDEX('Final allowances'!$I$6:$I$17,MATCH('Financial model inputs '!$B56,'Final allowances'!$B$6:$B$17,0))/5</f>
        <v>1.0705975592581454</v>
      </c>
      <c r="Z56" s="208">
        <f>INDEX('Final allowances'!$F$6:$F$17,MATCH('Financial model inputs '!$B56,'Final allowances'!$B$6:$B$17,0))/5</f>
        <v>1.0705975592581454</v>
      </c>
      <c r="AA56" s="208">
        <v>0</v>
      </c>
      <c r="AB56" s="208">
        <v>0</v>
      </c>
      <c r="AC56" s="208">
        <v>0</v>
      </c>
      <c r="AD56" s="119"/>
      <c r="AE56" s="119"/>
      <c r="AF56" s="119"/>
      <c r="AG56" s="81">
        <v>0</v>
      </c>
      <c r="AH56" s="81">
        <v>0</v>
      </c>
      <c r="AI56" s="81">
        <v>0</v>
      </c>
      <c r="AJ56" s="81">
        <v>0</v>
      </c>
    </row>
    <row r="57" spans="1:36" x14ac:dyDescent="0.2">
      <c r="A57" s="3" t="s">
        <v>238</v>
      </c>
      <c r="B57" s="7" t="s">
        <v>87</v>
      </c>
      <c r="C57" s="7" t="s">
        <v>18</v>
      </c>
      <c r="D57" s="7">
        <v>2023</v>
      </c>
      <c r="E57" s="208">
        <v>2.4530000000000012</v>
      </c>
      <c r="F57" s="208">
        <v>0</v>
      </c>
      <c r="G57" s="208">
        <v>1.302895313228015</v>
      </c>
      <c r="H57" s="208">
        <f t="shared" si="0"/>
        <v>0.65310659521331615</v>
      </c>
      <c r="I57" s="208">
        <f t="shared" si="1"/>
        <v>0.34689340478668385</v>
      </c>
      <c r="J57" s="208">
        <f>(INDEX('Final allowances'!$T$21:$T$32, MATCH('Financial model inputs '!$B57, 'Final allowances'!$B$21:$B$32,0))/5)*H57</f>
        <v>2.6180557530854016</v>
      </c>
      <c r="K57" s="208">
        <f>(INDEX('Final allowances'!$T$21:$T$32, MATCH('Financial model inputs '!$B57, 'Final allowances'!$B$21:$B$32,0))/5)*I57</f>
        <v>1.3905636243231183</v>
      </c>
      <c r="L57" s="208">
        <f>(INDEX('Final allowances'!$Q$38:$Q$50, MATCH('Financial model inputs '!$B57, 'Final allowances'!$B$38:$B$50,0))/5)</f>
        <v>0.52960065313692728</v>
      </c>
      <c r="M57" s="208">
        <f t="shared" si="2"/>
        <v>1.9201642774600456</v>
      </c>
      <c r="N57" s="208">
        <f>INDEX('Final allowances'!$J$5:$J$16,MATCH('Financial model inputs '!$B57,'Final allowances'!$B$5:$B$16,0))/5</f>
        <v>4.5382200305454479</v>
      </c>
      <c r="O57" s="208">
        <f>INDEX('Final allowances'!$G$5:$G$16,MATCH('Financial model inputs '!$B57,'Final allowances'!$B$5:$B$16,0))/5</f>
        <v>4.5382200305454479</v>
      </c>
      <c r="P57" s="208">
        <v>0.72599999999999998</v>
      </c>
      <c r="Q57" s="208">
        <v>0</v>
      </c>
      <c r="R57" s="208">
        <v>0</v>
      </c>
      <c r="S57" s="208">
        <f t="shared" si="3"/>
        <v>1</v>
      </c>
      <c r="T57" s="208">
        <f t="shared" si="4"/>
        <v>0</v>
      </c>
      <c r="U57" s="208">
        <f>(INDEX('Final allowances'!$S$21:$S$32, MATCH('Financial model inputs '!$B57, 'Final allowances'!$B$21:$B$32,0))/5)*S57</f>
        <v>1.0705975592581454</v>
      </c>
      <c r="V57" s="208">
        <f>(INDEX('Final allowances'!$S$21:$S$32, MATCH('Financial model inputs '!$B57, 'Final allowances'!$B$21:$B$32,0))/5)*T57</f>
        <v>0</v>
      </c>
      <c r="W57" s="208">
        <f>(INDEX('Final allowances'!$P$37:$P$50, MATCH('Financial model inputs '!$B57, 'Final allowances'!$B$37:$B$50,0))/5)</f>
        <v>0</v>
      </c>
      <c r="X57" s="208">
        <f t="shared" si="5"/>
        <v>0</v>
      </c>
      <c r="Y57" s="208">
        <f>INDEX('Final allowances'!$I$6:$I$17,MATCH('Financial model inputs '!$B57,'Final allowances'!$B$6:$B$17,0))/5</f>
        <v>1.0705975592581454</v>
      </c>
      <c r="Z57" s="208">
        <f>INDEX('Final allowances'!$F$6:$F$17,MATCH('Financial model inputs '!$B57,'Final allowances'!$B$6:$B$17,0))/5</f>
        <v>1.0705975592581454</v>
      </c>
      <c r="AA57" s="208">
        <v>0</v>
      </c>
      <c r="AB57" s="208">
        <v>0</v>
      </c>
      <c r="AC57" s="208">
        <v>0</v>
      </c>
      <c r="AD57" s="119"/>
      <c r="AE57" s="119"/>
      <c r="AF57" s="119"/>
      <c r="AG57" s="81">
        <v>0</v>
      </c>
      <c r="AH57" s="81">
        <v>0</v>
      </c>
      <c r="AI57" s="81">
        <v>0</v>
      </c>
      <c r="AJ57" s="81">
        <v>0</v>
      </c>
    </row>
    <row r="58" spans="1:36" x14ac:dyDescent="0.2">
      <c r="A58" s="3" t="s">
        <v>239</v>
      </c>
      <c r="B58" s="7" t="s">
        <v>87</v>
      </c>
      <c r="C58" s="7" t="s">
        <v>19</v>
      </c>
      <c r="D58" s="7">
        <v>2024</v>
      </c>
      <c r="E58" s="208">
        <v>2.4410000000000052</v>
      </c>
      <c r="F58" s="208">
        <v>0</v>
      </c>
      <c r="G58" s="208">
        <v>1.302902443776101</v>
      </c>
      <c r="H58" s="208">
        <f t="shared" si="0"/>
        <v>0.65199348451451866</v>
      </c>
      <c r="I58" s="208">
        <f t="shared" si="1"/>
        <v>0.34800651548548139</v>
      </c>
      <c r="J58" s="208">
        <f>(INDEX('Final allowances'!$T$21:$T$32, MATCH('Financial model inputs '!$B58, 'Final allowances'!$B$21:$B$32,0))/5)*H58</f>
        <v>2.6135937159690013</v>
      </c>
      <c r="K58" s="208">
        <f>(INDEX('Final allowances'!$T$21:$T$32, MATCH('Financial model inputs '!$B58, 'Final allowances'!$B$21:$B$32,0))/5)*I58</f>
        <v>1.3950256614395189</v>
      </c>
      <c r="L58" s="208">
        <f>(INDEX('Final allowances'!$Q$38:$Q$50, MATCH('Financial model inputs '!$B58, 'Final allowances'!$B$38:$B$50,0))/5)</f>
        <v>0.52960065313692728</v>
      </c>
      <c r="M58" s="208">
        <f t="shared" si="2"/>
        <v>1.9246263145764462</v>
      </c>
      <c r="N58" s="208">
        <f>INDEX('Final allowances'!$J$5:$J$16,MATCH('Financial model inputs '!$B58,'Final allowances'!$B$5:$B$16,0))/5</f>
        <v>4.5382200305454479</v>
      </c>
      <c r="O58" s="208">
        <f>INDEX('Final allowances'!$G$5:$G$16,MATCH('Financial model inputs '!$B58,'Final allowances'!$B$5:$B$16,0))/5</f>
        <v>4.5382200305454479</v>
      </c>
      <c r="P58" s="208">
        <v>0.72600000000000098</v>
      </c>
      <c r="Q58" s="208">
        <v>0</v>
      </c>
      <c r="R58" s="208">
        <v>0</v>
      </c>
      <c r="S58" s="208">
        <f t="shared" si="3"/>
        <v>1</v>
      </c>
      <c r="T58" s="208">
        <f t="shared" si="4"/>
        <v>0</v>
      </c>
      <c r="U58" s="208">
        <f>(INDEX('Final allowances'!$S$21:$S$32, MATCH('Financial model inputs '!$B58, 'Final allowances'!$B$21:$B$32,0))/5)*S58</f>
        <v>1.0705975592581454</v>
      </c>
      <c r="V58" s="208">
        <f>(INDEX('Final allowances'!$S$21:$S$32, MATCH('Financial model inputs '!$B58, 'Final allowances'!$B$21:$B$32,0))/5)*T58</f>
        <v>0</v>
      </c>
      <c r="W58" s="208">
        <f>(INDEX('Final allowances'!$P$37:$P$50, MATCH('Financial model inputs '!$B58, 'Final allowances'!$B$37:$B$50,0))/5)</f>
        <v>0</v>
      </c>
      <c r="X58" s="208">
        <f t="shared" si="5"/>
        <v>0</v>
      </c>
      <c r="Y58" s="208">
        <f>INDEX('Final allowances'!$I$6:$I$17,MATCH('Financial model inputs '!$B58,'Final allowances'!$B$6:$B$17,0))/5</f>
        <v>1.0705975592581454</v>
      </c>
      <c r="Z58" s="208">
        <f>INDEX('Final allowances'!$F$6:$F$17,MATCH('Financial model inputs '!$B58,'Final allowances'!$B$6:$B$17,0))/5</f>
        <v>1.0705975592581454</v>
      </c>
      <c r="AA58" s="208">
        <v>0</v>
      </c>
      <c r="AB58" s="208">
        <v>0</v>
      </c>
      <c r="AC58" s="208">
        <v>0</v>
      </c>
      <c r="AD58" s="119"/>
      <c r="AE58" s="119"/>
      <c r="AF58" s="119"/>
      <c r="AG58" s="81">
        <v>0</v>
      </c>
      <c r="AH58" s="81">
        <v>0</v>
      </c>
      <c r="AI58" s="81">
        <v>0</v>
      </c>
      <c r="AJ58" s="81">
        <v>0</v>
      </c>
    </row>
    <row r="59" spans="1:36" x14ac:dyDescent="0.2">
      <c r="A59" s="3" t="s">
        <v>240</v>
      </c>
      <c r="B59" s="7" t="s">
        <v>87</v>
      </c>
      <c r="C59" s="7" t="s">
        <v>20</v>
      </c>
      <c r="D59" s="7">
        <v>2025</v>
      </c>
      <c r="E59" s="208">
        <v>2.4439999999999951</v>
      </c>
      <c r="F59" s="208">
        <v>0</v>
      </c>
      <c r="G59" s="208">
        <v>1.302462123494925</v>
      </c>
      <c r="H59" s="208">
        <f t="shared" si="0"/>
        <v>0.65234878118028006</v>
      </c>
      <c r="I59" s="208">
        <f t="shared" si="1"/>
        <v>0.34765121881971989</v>
      </c>
      <c r="J59" s="208">
        <f>(INDEX('Final allowances'!$T$21:$T$32, MATCH('Financial model inputs '!$B59, 'Final allowances'!$B$21:$B$32,0))/5)*H59</f>
        <v>2.6150179650681009</v>
      </c>
      <c r="K59" s="208">
        <f>(INDEX('Final allowances'!$T$21:$T$32, MATCH('Financial model inputs '!$B59, 'Final allowances'!$B$21:$B$32,0))/5)*I59</f>
        <v>1.3936014123404186</v>
      </c>
      <c r="L59" s="208">
        <f>(INDEX('Final allowances'!$Q$38:$Q$50, MATCH('Financial model inputs '!$B59, 'Final allowances'!$B$38:$B$50,0))/5)</f>
        <v>0.52960065313692728</v>
      </c>
      <c r="M59" s="208">
        <f t="shared" si="2"/>
        <v>1.9232020654773458</v>
      </c>
      <c r="N59" s="208">
        <f>INDEX('Final allowances'!$J$5:$J$16,MATCH('Financial model inputs '!$B59,'Final allowances'!$B$5:$B$16,0))/5</f>
        <v>4.5382200305454479</v>
      </c>
      <c r="O59" s="208">
        <f>INDEX('Final allowances'!$G$5:$G$16,MATCH('Financial model inputs '!$B59,'Final allowances'!$B$5:$B$16,0))/5</f>
        <v>4.5382200305454479</v>
      </c>
      <c r="P59" s="208">
        <v>0.72599999999999998</v>
      </c>
      <c r="Q59" s="208">
        <v>0</v>
      </c>
      <c r="R59" s="208">
        <v>0</v>
      </c>
      <c r="S59" s="208">
        <f t="shared" si="3"/>
        <v>1</v>
      </c>
      <c r="T59" s="208">
        <f t="shared" si="4"/>
        <v>0</v>
      </c>
      <c r="U59" s="208">
        <f>(INDEX('Final allowances'!$S$21:$S$32, MATCH('Financial model inputs '!$B59, 'Final allowances'!$B$21:$B$32,0))/5)*S59</f>
        <v>1.0705975592581454</v>
      </c>
      <c r="V59" s="208">
        <f>(INDEX('Final allowances'!$S$21:$S$32, MATCH('Financial model inputs '!$B59, 'Final allowances'!$B$21:$B$32,0))/5)*T59</f>
        <v>0</v>
      </c>
      <c r="W59" s="208">
        <f>(INDEX('Final allowances'!$P$37:$P$50, MATCH('Financial model inputs '!$B59, 'Final allowances'!$B$37:$B$50,0))/5)</f>
        <v>0</v>
      </c>
      <c r="X59" s="208">
        <f t="shared" si="5"/>
        <v>0</v>
      </c>
      <c r="Y59" s="208">
        <f>INDEX('Final allowances'!$I$6:$I$17,MATCH('Financial model inputs '!$B59,'Final allowances'!$B$6:$B$17,0))/5</f>
        <v>1.0705975592581454</v>
      </c>
      <c r="Z59" s="208">
        <f>INDEX('Final allowances'!$F$6:$F$17,MATCH('Financial model inputs '!$B59,'Final allowances'!$B$6:$B$17,0))/5</f>
        <v>1.0705975592581454</v>
      </c>
      <c r="AA59" s="208">
        <v>0</v>
      </c>
      <c r="AB59" s="208">
        <v>0</v>
      </c>
      <c r="AC59" s="208">
        <v>0</v>
      </c>
      <c r="AD59" s="119"/>
      <c r="AE59" s="119"/>
      <c r="AF59" s="119"/>
      <c r="AG59" s="81">
        <v>0</v>
      </c>
      <c r="AH59" s="81">
        <v>0</v>
      </c>
      <c r="AI59" s="81">
        <v>0</v>
      </c>
      <c r="AJ59" s="81">
        <v>0</v>
      </c>
    </row>
    <row r="61" spans="1:36" x14ac:dyDescent="0.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row>
    <row r="63" spans="1:36" x14ac:dyDescent="0.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row>
  </sheetData>
  <autoFilter ref="A4:AJ59"/>
  <conditionalFormatting sqref="B1">
    <cfRule type="expression" dxfId="2" priority="2">
      <formula>B1="error"</formula>
    </cfRule>
    <cfRule type="expression" dxfId="1" priority="3">
      <formula>B1="OK"</formula>
    </cfRule>
  </conditionalFormatting>
  <conditionalFormatting sqref="E65:AJ65">
    <cfRule type="containsText" dxfId="0" priority="1" operator="containsText" text="ok">
      <formula>NOT(ISERROR(SEARCH("ok",E65)))</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sheetPr>
  <dimension ref="A1:L470"/>
  <sheetViews>
    <sheetView zoomScale="85" zoomScaleNormal="85" workbookViewId="0">
      <pane xSplit="6" ySplit="2" topLeftCell="H3" activePane="bottomRight" state="frozen"/>
      <selection pane="topRight" activeCell="E1" sqref="E1"/>
      <selection pane="bottomLeft" activeCell="A2" sqref="A2"/>
      <selection pane="bottomRight"/>
    </sheetView>
  </sheetViews>
  <sheetFormatPr defaultColWidth="8.625" defaultRowHeight="15" x14ac:dyDescent="0.2"/>
  <cols>
    <col min="1" max="1" width="8.625" style="4"/>
    <col min="2" max="2" width="28" style="4" bestFit="1" customWidth="1"/>
    <col min="3" max="3" width="31.875" style="4" customWidth="1"/>
    <col min="4" max="4" width="23.875" style="4" customWidth="1"/>
    <col min="5" max="5" width="35.625" style="4" customWidth="1"/>
    <col min="6" max="6" width="8.625" style="8"/>
    <col min="7" max="7" width="15" style="4" hidden="1" customWidth="1"/>
    <col min="8" max="11" width="14.5" style="4" bestFit="1" customWidth="1"/>
    <col min="12" max="12" width="19.375" style="4" customWidth="1"/>
    <col min="13" max="16384" width="8.625" style="4"/>
  </cols>
  <sheetData>
    <row r="1" spans="1:12" x14ac:dyDescent="0.2">
      <c r="A1" s="9"/>
      <c r="B1" s="9"/>
      <c r="C1" s="9"/>
      <c r="D1" s="9"/>
      <c r="E1" s="135" t="s">
        <v>146</v>
      </c>
      <c r="F1" s="135"/>
      <c r="G1" s="9"/>
      <c r="H1" s="9"/>
      <c r="I1" s="9"/>
      <c r="J1" s="9"/>
      <c r="K1" s="9"/>
      <c r="L1" s="9"/>
    </row>
    <row r="2" spans="1:12" x14ac:dyDescent="0.2">
      <c r="A2" s="136" t="s">
        <v>21</v>
      </c>
      <c r="B2" s="136" t="s">
        <v>112</v>
      </c>
      <c r="C2" s="136" t="s">
        <v>109</v>
      </c>
      <c r="D2" s="136" t="s">
        <v>107</v>
      </c>
      <c r="E2" s="136" t="s">
        <v>22</v>
      </c>
      <c r="F2" s="136" t="s">
        <v>23</v>
      </c>
      <c r="G2" s="136" t="s">
        <v>14</v>
      </c>
      <c r="H2" s="136" t="s">
        <v>16</v>
      </c>
      <c r="I2" s="136" t="s">
        <v>17</v>
      </c>
      <c r="J2" s="136" t="s">
        <v>18</v>
      </c>
      <c r="K2" s="9" t="s">
        <v>19</v>
      </c>
      <c r="L2" s="9" t="s">
        <v>20</v>
      </c>
    </row>
    <row r="3" spans="1:12" x14ac:dyDescent="0.2">
      <c r="A3" s="10" t="s">
        <v>4</v>
      </c>
      <c r="B3" s="10" t="s">
        <v>131</v>
      </c>
      <c r="C3" s="10" t="str">
        <f>A3&amp;B3</f>
        <v>ANHC_NPWW_PR19CA008</v>
      </c>
      <c r="D3" s="9" t="s">
        <v>49</v>
      </c>
      <c r="E3" s="9" t="s">
        <v>394</v>
      </c>
      <c r="F3" s="135" t="s">
        <v>2</v>
      </c>
      <c r="G3" s="9" t="s">
        <v>50</v>
      </c>
      <c r="H3" s="9">
        <f>_xlfn.IFNA(INDEX('Final allowances'!$F$5:$H$16,MATCH(F_Interface!$A3,'Final allowances'!$B$5:$B$16,0),MATCH(F_Interface!$E3,'Final allowances'!$F$5:$H$5,0))/5, 0 )</f>
        <v>502.86421414348763</v>
      </c>
      <c r="I3" s="9">
        <f>_xlfn.IFNA(INDEX('Final allowances'!$F$5:$H$16,MATCH(F_Interface!$A3,'Final allowances'!$B$5:$B$16,0),MATCH(F_Interface!$E3,'Final allowances'!$F$5:$H$5,0))/5, 0 )</f>
        <v>502.86421414348763</v>
      </c>
      <c r="J3" s="9">
        <f>_xlfn.IFNA(INDEX('Final allowances'!$F$5:$H$16,MATCH(F_Interface!$A3,'Final allowances'!$B$5:$B$16,0),MATCH(F_Interface!$E3,'Final allowances'!$F$5:$H$5,0))/5, 0 )</f>
        <v>502.86421414348763</v>
      </c>
      <c r="K3" s="9">
        <f>_xlfn.IFNA(INDEX('Final allowances'!$F$5:$H$16,MATCH(F_Interface!$A3,'Final allowances'!$B$5:$B$16,0),MATCH(F_Interface!$E3,'Final allowances'!$F$5:$H$5,0))/5, 0 )</f>
        <v>502.86421414348763</v>
      </c>
      <c r="L3" s="9">
        <f>_xlfn.IFNA(INDEX('Final allowances'!$F$5:$H$16,MATCH(F_Interface!$A3,'Final allowances'!$B$5:$B$16,0),MATCH(F_Interface!$E3,'Final allowances'!$F$5:$H$5,0))/5, 0 )</f>
        <v>502.86421414348763</v>
      </c>
    </row>
    <row r="4" spans="1:12" x14ac:dyDescent="0.2">
      <c r="A4" s="10" t="s">
        <v>87</v>
      </c>
      <c r="B4" s="10" t="s">
        <v>131</v>
      </c>
      <c r="C4" s="10" t="str">
        <f t="shared" ref="C4:C67" si="0">A4&amp;B4</f>
        <v>HDDC_NPWW_PR19CA008</v>
      </c>
      <c r="D4" s="9" t="s">
        <v>49</v>
      </c>
      <c r="E4" s="9" t="s">
        <v>394</v>
      </c>
      <c r="F4" s="135" t="s">
        <v>2</v>
      </c>
      <c r="G4" s="137" t="s">
        <v>50</v>
      </c>
      <c r="H4" s="9">
        <f>_xlfn.IFNA(INDEX('Final allowances'!$F$5:$H$16,MATCH(F_Interface!$A4,'Final allowances'!$B$5:$B$16,0),MATCH(F_Interface!$E4,'Final allowances'!$F$5:$H$5,0))/5, 0 )</f>
        <v>4.5382200305454479</v>
      </c>
      <c r="I4" s="9">
        <f>_xlfn.IFNA(INDEX('Final allowances'!$F$5:$H$16,MATCH(F_Interface!$A4,'Final allowances'!$B$5:$B$16,0),MATCH(F_Interface!$E4,'Final allowances'!$F$5:$H$5,0))/5, 0 )</f>
        <v>4.5382200305454479</v>
      </c>
      <c r="J4" s="9">
        <f>_xlfn.IFNA(INDEX('Final allowances'!$F$5:$H$16,MATCH(F_Interface!$A4,'Final allowances'!$B$5:$B$16,0),MATCH(F_Interface!$E4,'Final allowances'!$F$5:$H$5,0))/5, 0 )</f>
        <v>4.5382200305454479</v>
      </c>
      <c r="K4" s="9">
        <f>_xlfn.IFNA(INDEX('Final allowances'!$F$5:$H$16,MATCH(F_Interface!$A4,'Final allowances'!$B$5:$B$16,0),MATCH(F_Interface!$E4,'Final allowances'!$F$5:$H$5,0))/5, 0 )</f>
        <v>4.5382200305454479</v>
      </c>
      <c r="L4" s="9">
        <f>_xlfn.IFNA(INDEX('Final allowances'!$F$5:$H$16,MATCH(F_Interface!$A4,'Final allowances'!$B$5:$B$16,0),MATCH(F_Interface!$E4,'Final allowances'!$F$5:$H$5,0))/5, 0 )</f>
        <v>4.5382200305454479</v>
      </c>
    </row>
    <row r="5" spans="1:12" x14ac:dyDescent="0.2">
      <c r="A5" s="10" t="s">
        <v>5</v>
      </c>
      <c r="B5" s="10" t="s">
        <v>131</v>
      </c>
      <c r="C5" s="10" t="str">
        <f t="shared" si="0"/>
        <v>NESC_NPWW_PR19CA008</v>
      </c>
      <c r="D5" s="9" t="s">
        <v>49</v>
      </c>
      <c r="E5" s="9" t="s">
        <v>394</v>
      </c>
      <c r="F5" s="135" t="s">
        <v>2</v>
      </c>
      <c r="G5" s="9" t="s">
        <v>50</v>
      </c>
      <c r="H5" s="9">
        <f>_xlfn.IFNA(INDEX('Final allowances'!$F$5:$H$16,MATCH(F_Interface!$A5,'Final allowances'!$B$5:$B$16,0),MATCH(F_Interface!$E5,'Final allowances'!$F$5:$H$5,0))/5, 0 )</f>
        <v>185.72905147386797</v>
      </c>
      <c r="I5" s="9">
        <f>_xlfn.IFNA(INDEX('Final allowances'!$F$5:$H$16,MATCH(F_Interface!$A5,'Final allowances'!$B$5:$B$16,0),MATCH(F_Interface!$E5,'Final allowances'!$F$5:$H$5,0))/5, 0 )</f>
        <v>185.72905147386797</v>
      </c>
      <c r="J5" s="9">
        <f>_xlfn.IFNA(INDEX('Final allowances'!$F$5:$H$16,MATCH(F_Interface!$A5,'Final allowances'!$B$5:$B$16,0),MATCH(F_Interface!$E5,'Final allowances'!$F$5:$H$5,0))/5, 0 )</f>
        <v>185.72905147386797</v>
      </c>
      <c r="K5" s="9">
        <f>_xlfn.IFNA(INDEX('Final allowances'!$F$5:$H$16,MATCH(F_Interface!$A5,'Final allowances'!$B$5:$B$16,0),MATCH(F_Interface!$E5,'Final allowances'!$F$5:$H$5,0))/5, 0 )</f>
        <v>185.72905147386797</v>
      </c>
      <c r="L5" s="9">
        <f>_xlfn.IFNA(INDEX('Final allowances'!$F$5:$H$16,MATCH(F_Interface!$A5,'Final allowances'!$B$5:$B$16,0),MATCH(F_Interface!$E5,'Final allowances'!$F$5:$H$5,0))/5, 0 )</f>
        <v>185.72905147386797</v>
      </c>
    </row>
    <row r="6" spans="1:12" x14ac:dyDescent="0.2">
      <c r="A6" s="10" t="s">
        <v>6</v>
      </c>
      <c r="B6" s="10" t="s">
        <v>131</v>
      </c>
      <c r="C6" s="10" t="str">
        <f t="shared" si="0"/>
        <v>NWTC_NPWW_PR19CA008</v>
      </c>
      <c r="D6" s="9" t="s">
        <v>49</v>
      </c>
      <c r="E6" s="9" t="s">
        <v>394</v>
      </c>
      <c r="F6" s="135" t="s">
        <v>2</v>
      </c>
      <c r="G6" s="9" t="s">
        <v>50</v>
      </c>
      <c r="H6" s="9">
        <f>_xlfn.IFNA(INDEX('Final allowances'!$F$5:$H$16,MATCH(F_Interface!$A6,'Final allowances'!$B$5:$B$16,0),MATCH(F_Interface!$E6,'Final allowances'!$F$5:$H$5,0))/5, 0 )</f>
        <v>494.50239301896755</v>
      </c>
      <c r="I6" s="9">
        <f>_xlfn.IFNA(INDEX('Final allowances'!$F$5:$H$16,MATCH(F_Interface!$A6,'Final allowances'!$B$5:$B$16,0),MATCH(F_Interface!$E6,'Final allowances'!$F$5:$H$5,0))/5, 0 )</f>
        <v>494.50239301896755</v>
      </c>
      <c r="J6" s="9">
        <f>_xlfn.IFNA(INDEX('Final allowances'!$F$5:$H$16,MATCH(F_Interface!$A6,'Final allowances'!$B$5:$B$16,0),MATCH(F_Interface!$E6,'Final allowances'!$F$5:$H$5,0))/5, 0 )</f>
        <v>494.50239301896755</v>
      </c>
      <c r="K6" s="9">
        <f>_xlfn.IFNA(INDEX('Final allowances'!$F$5:$H$16,MATCH(F_Interface!$A6,'Final allowances'!$B$5:$B$16,0),MATCH(F_Interface!$E6,'Final allowances'!$F$5:$H$5,0))/5, 0 )</f>
        <v>494.50239301896755</v>
      </c>
      <c r="L6" s="9">
        <f>_xlfn.IFNA(INDEX('Final allowances'!$F$5:$H$16,MATCH(F_Interface!$A6,'Final allowances'!$B$5:$B$16,0),MATCH(F_Interface!$E6,'Final allowances'!$F$5:$H$5,0))/5, 0 )</f>
        <v>494.50239301896755</v>
      </c>
    </row>
    <row r="7" spans="1:12" x14ac:dyDescent="0.2">
      <c r="A7" s="10" t="s">
        <v>7</v>
      </c>
      <c r="B7" s="10" t="s">
        <v>131</v>
      </c>
      <c r="C7" s="10" t="str">
        <f t="shared" si="0"/>
        <v>SRNC_NPWW_PR19CA008</v>
      </c>
      <c r="D7" s="9" t="s">
        <v>49</v>
      </c>
      <c r="E7" s="9" t="s">
        <v>394</v>
      </c>
      <c r="F7" s="135" t="s">
        <v>2</v>
      </c>
      <c r="G7" s="9" t="s">
        <v>50</v>
      </c>
      <c r="H7" s="9">
        <f>_xlfn.IFNA(INDEX('Final allowances'!$F$5:$H$16,MATCH(F_Interface!$A7,'Final allowances'!$B$5:$B$16,0),MATCH(F_Interface!$E7,'Final allowances'!$F$5:$H$5,0))/5, 0 )</f>
        <v>388.42579143404009</v>
      </c>
      <c r="I7" s="9">
        <f>_xlfn.IFNA(INDEX('Final allowances'!$F$5:$H$16,MATCH(F_Interface!$A7,'Final allowances'!$B$5:$B$16,0),MATCH(F_Interface!$E7,'Final allowances'!$F$5:$H$5,0))/5, 0 )</f>
        <v>388.42579143404009</v>
      </c>
      <c r="J7" s="9">
        <f>_xlfn.IFNA(INDEX('Final allowances'!$F$5:$H$16,MATCH(F_Interface!$A7,'Final allowances'!$B$5:$B$16,0),MATCH(F_Interface!$E7,'Final allowances'!$F$5:$H$5,0))/5, 0 )</f>
        <v>388.42579143404009</v>
      </c>
      <c r="K7" s="9">
        <f>_xlfn.IFNA(INDEX('Final allowances'!$F$5:$H$16,MATCH(F_Interface!$A7,'Final allowances'!$B$5:$B$16,0),MATCH(F_Interface!$E7,'Final allowances'!$F$5:$H$5,0))/5, 0 )</f>
        <v>388.42579143404009</v>
      </c>
      <c r="L7" s="9">
        <f>_xlfn.IFNA(INDEX('Final allowances'!$F$5:$H$16,MATCH(F_Interface!$A7,'Final allowances'!$B$5:$B$16,0),MATCH(F_Interface!$E7,'Final allowances'!$F$5:$H$5,0))/5, 0 )</f>
        <v>388.42579143404009</v>
      </c>
    </row>
    <row r="8" spans="1:12" x14ac:dyDescent="0.2">
      <c r="A8" s="10" t="s">
        <v>101</v>
      </c>
      <c r="B8" s="10" t="s">
        <v>131</v>
      </c>
      <c r="C8" s="10" t="str">
        <f t="shared" si="0"/>
        <v>SVHC_NPWW_PR19CA008</v>
      </c>
      <c r="D8" s="9" t="s">
        <v>49</v>
      </c>
      <c r="E8" s="9" t="s">
        <v>394</v>
      </c>
      <c r="F8" s="135" t="s">
        <v>2</v>
      </c>
      <c r="G8" s="137"/>
      <c r="H8" s="9">
        <f>_xlfn.IFNA(INDEX('Final allowances'!$F$5:$H$16,MATCH(F_Interface!$A8,'Final allowances'!$B$5:$B$16,0),MATCH(F_Interface!$E8,'Final allowances'!$F$5:$H$5,0))/5, 0 )</f>
        <v>0</v>
      </c>
      <c r="I8" s="9">
        <f>_xlfn.IFNA(INDEX('Final allowances'!$F$5:$H$16,MATCH(F_Interface!$A8,'Final allowances'!$B$5:$B$16,0),MATCH(F_Interface!$E8,'Final allowances'!$F$5:$H$5,0))/5, 0 )</f>
        <v>0</v>
      </c>
      <c r="J8" s="9">
        <f>_xlfn.IFNA(INDEX('Final allowances'!$F$5:$H$16,MATCH(F_Interface!$A8,'Final allowances'!$B$5:$B$16,0),MATCH(F_Interface!$E8,'Final allowances'!$F$5:$H$5,0))/5, 0 )</f>
        <v>0</v>
      </c>
      <c r="K8" s="9">
        <f>_xlfn.IFNA(INDEX('Final allowances'!$F$5:$H$16,MATCH(F_Interface!$A8,'Final allowances'!$B$5:$B$16,0),MATCH(F_Interface!$E8,'Final allowances'!$F$5:$H$5,0))/5, 0 )</f>
        <v>0</v>
      </c>
      <c r="L8" s="9">
        <f>_xlfn.IFNA(INDEX('Final allowances'!$F$5:$H$16,MATCH(F_Interface!$A8,'Final allowances'!$B$5:$B$16,0),MATCH(F_Interface!$E8,'Final allowances'!$F$5:$H$5,0))/5, 0 )</f>
        <v>0</v>
      </c>
    </row>
    <row r="9" spans="1:12" x14ac:dyDescent="0.2">
      <c r="A9" s="10" t="s">
        <v>116</v>
      </c>
      <c r="B9" s="10" t="s">
        <v>131</v>
      </c>
      <c r="C9" s="10" t="str">
        <f t="shared" si="0"/>
        <v>SVEC_NPWW_PR19CA008</v>
      </c>
      <c r="D9" s="9" t="s">
        <v>49</v>
      </c>
      <c r="E9" s="9" t="s">
        <v>394</v>
      </c>
      <c r="F9" s="135" t="s">
        <v>2</v>
      </c>
      <c r="G9" s="10" t="s">
        <v>50</v>
      </c>
      <c r="H9" s="9">
        <f>_xlfn.IFNA(INDEX('Final allowances'!$F$5:$H$16,MATCH(F_Interface!$A9,'Final allowances'!$B$5:$B$16,0),MATCH(F_Interface!$E9,'Final allowances'!$F$5:$H$5,0))/5, 0 )</f>
        <v>537.65827941248631</v>
      </c>
      <c r="I9" s="9">
        <f>_xlfn.IFNA(INDEX('Final allowances'!$F$5:$H$16,MATCH(F_Interface!$A9,'Final allowances'!$B$5:$B$16,0),MATCH(F_Interface!$E9,'Final allowances'!$F$5:$H$5,0))/5, 0 )</f>
        <v>537.65827941248631</v>
      </c>
      <c r="J9" s="9">
        <f>_xlfn.IFNA(INDEX('Final allowances'!$F$5:$H$16,MATCH(F_Interface!$A9,'Final allowances'!$B$5:$B$16,0),MATCH(F_Interface!$E9,'Final allowances'!$F$5:$H$5,0))/5, 0 )</f>
        <v>537.65827941248631</v>
      </c>
      <c r="K9" s="9">
        <f>_xlfn.IFNA(INDEX('Final allowances'!$F$5:$H$16,MATCH(F_Interface!$A9,'Final allowances'!$B$5:$B$16,0),MATCH(F_Interface!$E9,'Final allowances'!$F$5:$H$5,0))/5, 0 )</f>
        <v>537.65827941248631</v>
      </c>
      <c r="L9" s="9">
        <f>_xlfn.IFNA(INDEX('Final allowances'!$F$5:$H$16,MATCH(F_Interface!$A9,'Final allowances'!$B$5:$B$16,0),MATCH(F_Interface!$E9,'Final allowances'!$F$5:$H$5,0))/5, 0 )</f>
        <v>537.65827941248631</v>
      </c>
    </row>
    <row r="10" spans="1:12" x14ac:dyDescent="0.2">
      <c r="A10" s="10" t="s">
        <v>8</v>
      </c>
      <c r="B10" s="10" t="s">
        <v>131</v>
      </c>
      <c r="C10" s="10" t="str">
        <f t="shared" si="0"/>
        <v>SVTC_NPWW_PR19CA008</v>
      </c>
      <c r="D10" s="9" t="s">
        <v>49</v>
      </c>
      <c r="E10" s="9" t="s">
        <v>394</v>
      </c>
      <c r="F10" s="135" t="s">
        <v>2</v>
      </c>
      <c r="G10" s="9" t="s">
        <v>50</v>
      </c>
      <c r="H10" s="9">
        <f>_xlfn.IFNA(INDEX('Final allowances'!$F$5:$H$16,MATCH(F_Interface!$A10,'Final allowances'!$B$5:$B$16,0),MATCH(F_Interface!$E10,'Final allowances'!$F$5:$H$5,0))/5, 0 )</f>
        <v>0</v>
      </c>
      <c r="I10" s="9">
        <f>_xlfn.IFNA(INDEX('Final allowances'!$F$5:$H$16,MATCH(F_Interface!$A10,'Final allowances'!$B$5:$B$16,0),MATCH(F_Interface!$E10,'Final allowances'!$F$5:$H$5,0))/5, 0 )</f>
        <v>0</v>
      </c>
      <c r="J10" s="9">
        <f>_xlfn.IFNA(INDEX('Final allowances'!$F$5:$H$16,MATCH(F_Interface!$A10,'Final allowances'!$B$5:$B$16,0),MATCH(F_Interface!$E10,'Final allowances'!$F$5:$H$5,0))/5, 0 )</f>
        <v>0</v>
      </c>
      <c r="K10" s="9">
        <f>_xlfn.IFNA(INDEX('Final allowances'!$F$5:$H$16,MATCH(F_Interface!$A10,'Final allowances'!$B$5:$B$16,0),MATCH(F_Interface!$E10,'Final allowances'!$F$5:$H$5,0))/5, 0 )</f>
        <v>0</v>
      </c>
      <c r="L10" s="9">
        <f>_xlfn.IFNA(INDEX('Final allowances'!$F$5:$H$16,MATCH(F_Interface!$A10,'Final allowances'!$B$5:$B$16,0),MATCH(F_Interface!$E10,'Final allowances'!$F$5:$H$5,0))/5, 0 )</f>
        <v>0</v>
      </c>
    </row>
    <row r="11" spans="1:12" x14ac:dyDescent="0.2">
      <c r="A11" s="10" t="s">
        <v>12</v>
      </c>
      <c r="B11" s="10" t="s">
        <v>131</v>
      </c>
      <c r="C11" s="10" t="str">
        <f t="shared" si="0"/>
        <v>SWBC_NPWW_PR19CA008</v>
      </c>
      <c r="D11" s="9" t="s">
        <v>49</v>
      </c>
      <c r="E11" s="9" t="s">
        <v>394</v>
      </c>
      <c r="F11" s="135" t="s">
        <v>2</v>
      </c>
      <c r="G11" s="9" t="s">
        <v>50</v>
      </c>
      <c r="H11" s="9">
        <f>_xlfn.IFNA(INDEX('Final allowances'!$F$5:$H$16,MATCH(F_Interface!$A11,'Final allowances'!$B$5:$B$16,0),MATCH(F_Interface!$E11,'Final allowances'!$F$5:$H$5,0))/5, 0 )</f>
        <v>163.2608872862873</v>
      </c>
      <c r="I11" s="9">
        <f>_xlfn.IFNA(INDEX('Final allowances'!$F$5:$H$16,MATCH(F_Interface!$A11,'Final allowances'!$B$5:$B$16,0),MATCH(F_Interface!$E11,'Final allowances'!$F$5:$H$5,0))/5, 0 )</f>
        <v>163.2608872862873</v>
      </c>
      <c r="J11" s="9">
        <f>_xlfn.IFNA(INDEX('Final allowances'!$F$5:$H$16,MATCH(F_Interface!$A11,'Final allowances'!$B$5:$B$16,0),MATCH(F_Interface!$E11,'Final allowances'!$F$5:$H$5,0))/5, 0 )</f>
        <v>163.2608872862873</v>
      </c>
      <c r="K11" s="9">
        <f>_xlfn.IFNA(INDEX('Final allowances'!$F$5:$H$16,MATCH(F_Interface!$A11,'Final allowances'!$B$5:$B$16,0),MATCH(F_Interface!$E11,'Final allowances'!$F$5:$H$5,0))/5, 0 )</f>
        <v>163.2608872862873</v>
      </c>
      <c r="L11" s="9">
        <f>_xlfn.IFNA(INDEX('Final allowances'!$F$5:$H$16,MATCH(F_Interface!$A11,'Final allowances'!$B$5:$B$16,0),MATCH(F_Interface!$E11,'Final allowances'!$F$5:$H$5,0))/5, 0 )</f>
        <v>163.2608872862873</v>
      </c>
    </row>
    <row r="12" spans="1:12" x14ac:dyDescent="0.2">
      <c r="A12" s="10" t="s">
        <v>9</v>
      </c>
      <c r="B12" s="10" t="s">
        <v>131</v>
      </c>
      <c r="C12" s="10" t="str">
        <f t="shared" si="0"/>
        <v>TMSC_NPWW_PR19CA008</v>
      </c>
      <c r="D12" s="9" t="s">
        <v>49</v>
      </c>
      <c r="E12" s="9" t="s">
        <v>394</v>
      </c>
      <c r="F12" s="135" t="s">
        <v>2</v>
      </c>
      <c r="G12" s="9" t="s">
        <v>50</v>
      </c>
      <c r="H12" s="9">
        <f>_xlfn.IFNA(INDEX('Final allowances'!$F$5:$H$16,MATCH(F_Interface!$A12,'Final allowances'!$B$5:$B$16,0),MATCH(F_Interface!$E12,'Final allowances'!$F$5:$H$5,0))/5, 0 )</f>
        <v>724.49584363488407</v>
      </c>
      <c r="I12" s="9">
        <f>_xlfn.IFNA(INDEX('Final allowances'!$F$5:$H$16,MATCH(F_Interface!$A12,'Final allowances'!$B$5:$B$16,0),MATCH(F_Interface!$E12,'Final allowances'!$F$5:$H$5,0))/5, 0 )</f>
        <v>724.49584363488407</v>
      </c>
      <c r="J12" s="9">
        <f>_xlfn.IFNA(INDEX('Final allowances'!$F$5:$H$16,MATCH(F_Interface!$A12,'Final allowances'!$B$5:$B$16,0),MATCH(F_Interface!$E12,'Final allowances'!$F$5:$H$5,0))/5, 0 )</f>
        <v>724.49584363488407</v>
      </c>
      <c r="K12" s="9">
        <f>_xlfn.IFNA(INDEX('Final allowances'!$F$5:$H$16,MATCH(F_Interface!$A12,'Final allowances'!$B$5:$B$16,0),MATCH(F_Interface!$E12,'Final allowances'!$F$5:$H$5,0))/5, 0 )</f>
        <v>724.49584363488407</v>
      </c>
      <c r="L12" s="9">
        <f>_xlfn.IFNA(INDEX('Final allowances'!$F$5:$H$16,MATCH(F_Interface!$A12,'Final allowances'!$B$5:$B$16,0),MATCH(F_Interface!$E12,'Final allowances'!$F$5:$H$5,0))/5, 0 )</f>
        <v>724.49584363488407</v>
      </c>
    </row>
    <row r="13" spans="1:12" x14ac:dyDescent="0.2">
      <c r="A13" s="10" t="s">
        <v>15</v>
      </c>
      <c r="B13" s="10" t="s">
        <v>131</v>
      </c>
      <c r="C13" s="10" t="str">
        <f t="shared" si="0"/>
        <v>WSHC_NPWW_PR19CA008</v>
      </c>
      <c r="D13" s="9" t="s">
        <v>49</v>
      </c>
      <c r="E13" s="9" t="s">
        <v>394</v>
      </c>
      <c r="F13" s="135" t="s">
        <v>2</v>
      </c>
      <c r="G13" s="9" t="s">
        <v>50</v>
      </c>
      <c r="H13" s="9">
        <f>_xlfn.IFNA(INDEX('Final allowances'!$F$5:$H$16,MATCH(F_Interface!$A13,'Final allowances'!$B$5:$B$16,0),MATCH(F_Interface!$E13,'Final allowances'!$F$5:$H$5,0))/5, 0 )</f>
        <v>245.75705847466907</v>
      </c>
      <c r="I13" s="9">
        <f>_xlfn.IFNA(INDEX('Final allowances'!$F$5:$H$16,MATCH(F_Interface!$A13,'Final allowances'!$B$5:$B$16,0),MATCH(F_Interface!$E13,'Final allowances'!$F$5:$H$5,0))/5, 0 )</f>
        <v>245.75705847466907</v>
      </c>
      <c r="J13" s="9">
        <f>_xlfn.IFNA(INDEX('Final allowances'!$F$5:$H$16,MATCH(F_Interface!$A13,'Final allowances'!$B$5:$B$16,0),MATCH(F_Interface!$E13,'Final allowances'!$F$5:$H$5,0))/5, 0 )</f>
        <v>245.75705847466907</v>
      </c>
      <c r="K13" s="9">
        <f>_xlfn.IFNA(INDEX('Final allowances'!$F$5:$H$16,MATCH(F_Interface!$A13,'Final allowances'!$B$5:$B$16,0),MATCH(F_Interface!$E13,'Final allowances'!$F$5:$H$5,0))/5, 0 )</f>
        <v>245.75705847466907</v>
      </c>
      <c r="L13" s="9">
        <f>_xlfn.IFNA(INDEX('Final allowances'!$F$5:$H$16,MATCH(F_Interface!$A13,'Final allowances'!$B$5:$B$16,0),MATCH(F_Interface!$E13,'Final allowances'!$F$5:$H$5,0))/5, 0 )</f>
        <v>245.75705847466907</v>
      </c>
    </row>
    <row r="14" spans="1:12" x14ac:dyDescent="0.2">
      <c r="A14" s="10" t="s">
        <v>10</v>
      </c>
      <c r="B14" s="10" t="s">
        <v>131</v>
      </c>
      <c r="C14" s="10" t="str">
        <f t="shared" si="0"/>
        <v>WSXC_NPWW_PR19CA008</v>
      </c>
      <c r="D14" s="9" t="s">
        <v>49</v>
      </c>
      <c r="E14" s="9" t="s">
        <v>394</v>
      </c>
      <c r="F14" s="135" t="s">
        <v>2</v>
      </c>
      <c r="G14" s="9" t="s">
        <v>50</v>
      </c>
      <c r="H14" s="9">
        <f>_xlfn.IFNA(INDEX('Final allowances'!$F$5:$H$16,MATCH(F_Interface!$A14,'Final allowances'!$B$5:$B$16,0),MATCH(F_Interface!$E14,'Final allowances'!$F$5:$H$5,0))/5, 0 )</f>
        <v>247.02513856517641</v>
      </c>
      <c r="I14" s="9">
        <f>_xlfn.IFNA(INDEX('Final allowances'!$F$5:$H$16,MATCH(F_Interface!$A14,'Final allowances'!$B$5:$B$16,0),MATCH(F_Interface!$E14,'Final allowances'!$F$5:$H$5,0))/5, 0 )</f>
        <v>247.02513856517641</v>
      </c>
      <c r="J14" s="9">
        <f>_xlfn.IFNA(INDEX('Final allowances'!$F$5:$H$16,MATCH(F_Interface!$A14,'Final allowances'!$B$5:$B$16,0),MATCH(F_Interface!$E14,'Final allowances'!$F$5:$H$5,0))/5, 0 )</f>
        <v>247.02513856517641</v>
      </c>
      <c r="K14" s="9">
        <f>_xlfn.IFNA(INDEX('Final allowances'!$F$5:$H$16,MATCH(F_Interface!$A14,'Final allowances'!$B$5:$B$16,0),MATCH(F_Interface!$E14,'Final allowances'!$F$5:$H$5,0))/5, 0 )</f>
        <v>247.02513856517641</v>
      </c>
      <c r="L14" s="9">
        <f>_xlfn.IFNA(INDEX('Final allowances'!$F$5:$H$16,MATCH(F_Interface!$A14,'Final allowances'!$B$5:$B$16,0),MATCH(F_Interface!$E14,'Final allowances'!$F$5:$H$5,0))/5, 0 )</f>
        <v>247.02513856517641</v>
      </c>
    </row>
    <row r="15" spans="1:12" x14ac:dyDescent="0.2">
      <c r="A15" s="10" t="s">
        <v>11</v>
      </c>
      <c r="B15" s="10" t="s">
        <v>131</v>
      </c>
      <c r="C15" s="10" t="str">
        <f t="shared" si="0"/>
        <v>YKYC_NPWW_PR19CA008</v>
      </c>
      <c r="D15" s="9" t="s">
        <v>49</v>
      </c>
      <c r="E15" s="9" t="s">
        <v>394</v>
      </c>
      <c r="F15" s="135" t="s">
        <v>2</v>
      </c>
      <c r="G15" s="9" t="s">
        <v>50</v>
      </c>
      <c r="H15" s="9">
        <f>_xlfn.IFNA(INDEX('Final allowances'!$F$5:$H$16,MATCH(F_Interface!$A15,'Final allowances'!$B$5:$B$16,0),MATCH(F_Interface!$E15,'Final allowances'!$F$5:$H$5,0))/5, 0 )</f>
        <v>400.04327634296334</v>
      </c>
      <c r="I15" s="9">
        <f>_xlfn.IFNA(INDEX('Final allowances'!$F$5:$H$16,MATCH(F_Interface!$A15,'Final allowances'!$B$5:$B$16,0),MATCH(F_Interface!$E15,'Final allowances'!$F$5:$H$5,0))/5, 0 )</f>
        <v>400.04327634296334</v>
      </c>
      <c r="J15" s="9">
        <f>_xlfn.IFNA(INDEX('Final allowances'!$F$5:$H$16,MATCH(F_Interface!$A15,'Final allowances'!$B$5:$B$16,0),MATCH(F_Interface!$E15,'Final allowances'!$F$5:$H$5,0))/5, 0 )</f>
        <v>400.04327634296334</v>
      </c>
      <c r="K15" s="9">
        <f>_xlfn.IFNA(INDEX('Final allowances'!$F$5:$H$16,MATCH(F_Interface!$A15,'Final allowances'!$B$5:$B$16,0),MATCH(F_Interface!$E15,'Final allowances'!$F$5:$H$5,0))/5, 0 )</f>
        <v>400.04327634296334</v>
      </c>
      <c r="L15" s="9">
        <f>_xlfn.IFNA(INDEX('Final allowances'!$F$5:$H$16,MATCH(F_Interface!$A15,'Final allowances'!$B$5:$B$16,0),MATCH(F_Interface!$E15,'Final allowances'!$F$5:$H$5,0))/5, 0 )</f>
        <v>400.04327634296334</v>
      </c>
    </row>
    <row r="16" spans="1:12" x14ac:dyDescent="0.2">
      <c r="A16" s="10" t="s">
        <v>4</v>
      </c>
      <c r="B16" s="10" t="s">
        <v>132</v>
      </c>
      <c r="C16" s="10" t="str">
        <f t="shared" si="0"/>
        <v>ANHC_BR_PR19CA008</v>
      </c>
      <c r="D16" s="9" t="s">
        <v>48</v>
      </c>
      <c r="E16" s="9" t="s">
        <v>35</v>
      </c>
      <c r="F16" s="135" t="s">
        <v>2</v>
      </c>
      <c r="G16" s="137" t="s">
        <v>50</v>
      </c>
      <c r="H16" s="9">
        <f>_xlfn.IFNA(INDEX('Final allowances'!$F$5:$H$16,MATCH(F_Interface!$A16,'Final allowances'!$B$5:$B$16,0),MATCH(F_Interface!$E16,'Final allowances'!$F$5:$H$5,0))/5, 0 )</f>
        <v>65.620267940345556</v>
      </c>
      <c r="I16" s="9">
        <f>_xlfn.IFNA(INDEX('Final allowances'!$F$5:$H$16,MATCH(F_Interface!$A16,'Final allowances'!$B$5:$B$16,0),MATCH(F_Interface!$E16,'Final allowances'!$F$5:$H$5,0))/5, 0 )</f>
        <v>65.620267940345556</v>
      </c>
      <c r="J16" s="9">
        <f>_xlfn.IFNA(INDEX('Final allowances'!$F$5:$H$16,MATCH(F_Interface!$A16,'Final allowances'!$B$5:$B$16,0),MATCH(F_Interface!$E16,'Final allowances'!$F$5:$H$5,0))/5, 0 )</f>
        <v>65.620267940345556</v>
      </c>
      <c r="K16" s="9">
        <f>_xlfn.IFNA(INDEX('Final allowances'!$F$5:$H$16,MATCH(F_Interface!$A16,'Final allowances'!$B$5:$B$16,0),MATCH(F_Interface!$E16,'Final allowances'!$F$5:$H$5,0))/5, 0 )</f>
        <v>65.620267940345556</v>
      </c>
      <c r="L16" s="9">
        <f>_xlfn.IFNA(INDEX('Final allowances'!$F$5:$H$16,MATCH(F_Interface!$A16,'Final allowances'!$B$5:$B$16,0),MATCH(F_Interface!$E16,'Final allowances'!$F$5:$H$5,0))/5, 0 )</f>
        <v>65.620267940345556</v>
      </c>
    </row>
    <row r="17" spans="1:12" x14ac:dyDescent="0.2">
      <c r="A17" s="10" t="s">
        <v>87</v>
      </c>
      <c r="B17" s="10" t="s">
        <v>132</v>
      </c>
      <c r="C17" s="10" t="str">
        <f t="shared" si="0"/>
        <v>HDDC_BR_PR19CA008</v>
      </c>
      <c r="D17" s="9" t="s">
        <v>48</v>
      </c>
      <c r="E17" s="9" t="s">
        <v>35</v>
      </c>
      <c r="F17" s="135" t="s">
        <v>2</v>
      </c>
      <c r="G17" s="9" t="s">
        <v>50</v>
      </c>
      <c r="H17" s="9">
        <f>_xlfn.IFNA(INDEX('Final allowances'!$F$5:$H$16,MATCH(F_Interface!$A17,'Final allowances'!$B$5:$B$16,0),MATCH(F_Interface!$E17,'Final allowances'!$F$5:$H$5,0))/5, 0 )</f>
        <v>1.0705975592581454</v>
      </c>
      <c r="I17" s="9">
        <f>_xlfn.IFNA(INDEX('Final allowances'!$F$5:$H$16,MATCH(F_Interface!$A17,'Final allowances'!$B$5:$B$16,0),MATCH(F_Interface!$E17,'Final allowances'!$F$5:$H$5,0))/5, 0 )</f>
        <v>1.0705975592581454</v>
      </c>
      <c r="J17" s="9">
        <f>_xlfn.IFNA(INDEX('Final allowances'!$F$5:$H$16,MATCH(F_Interface!$A17,'Final allowances'!$B$5:$B$16,0),MATCH(F_Interface!$E17,'Final allowances'!$F$5:$H$5,0))/5, 0 )</f>
        <v>1.0705975592581454</v>
      </c>
      <c r="K17" s="9">
        <f>_xlfn.IFNA(INDEX('Final allowances'!$F$5:$H$16,MATCH(F_Interface!$A17,'Final allowances'!$B$5:$B$16,0),MATCH(F_Interface!$E17,'Final allowances'!$F$5:$H$5,0))/5, 0 )</f>
        <v>1.0705975592581454</v>
      </c>
      <c r="L17" s="9">
        <f>_xlfn.IFNA(INDEX('Final allowances'!$F$5:$H$16,MATCH(F_Interface!$A17,'Final allowances'!$B$5:$B$16,0),MATCH(F_Interface!$E17,'Final allowances'!$F$5:$H$5,0))/5, 0 )</f>
        <v>1.0705975592581454</v>
      </c>
    </row>
    <row r="18" spans="1:12" x14ac:dyDescent="0.2">
      <c r="A18" s="10" t="s">
        <v>5</v>
      </c>
      <c r="B18" s="10" t="s">
        <v>132</v>
      </c>
      <c r="C18" s="10" t="str">
        <f t="shared" si="0"/>
        <v>NESC_BR_PR19CA008</v>
      </c>
      <c r="D18" s="9" t="s">
        <v>48</v>
      </c>
      <c r="E18" s="9" t="s">
        <v>35</v>
      </c>
      <c r="F18" s="135" t="s">
        <v>2</v>
      </c>
      <c r="G18" s="9" t="s">
        <v>50</v>
      </c>
      <c r="H18" s="9">
        <f>_xlfn.IFNA(INDEX('Final allowances'!$F$5:$H$16,MATCH(F_Interface!$A18,'Final allowances'!$B$5:$B$16,0),MATCH(F_Interface!$E18,'Final allowances'!$F$5:$H$5,0))/5, 0 )</f>
        <v>24.907960108969355</v>
      </c>
      <c r="I18" s="9">
        <f>_xlfn.IFNA(INDEX('Final allowances'!$F$5:$H$16,MATCH(F_Interface!$A18,'Final allowances'!$B$5:$B$16,0),MATCH(F_Interface!$E18,'Final allowances'!$F$5:$H$5,0))/5, 0 )</f>
        <v>24.907960108969355</v>
      </c>
      <c r="J18" s="9">
        <f>_xlfn.IFNA(INDEX('Final allowances'!$F$5:$H$16,MATCH(F_Interface!$A18,'Final allowances'!$B$5:$B$16,0),MATCH(F_Interface!$E18,'Final allowances'!$F$5:$H$5,0))/5, 0 )</f>
        <v>24.907960108969355</v>
      </c>
      <c r="K18" s="9">
        <f>_xlfn.IFNA(INDEX('Final allowances'!$F$5:$H$16,MATCH(F_Interface!$A18,'Final allowances'!$B$5:$B$16,0),MATCH(F_Interface!$E18,'Final allowances'!$F$5:$H$5,0))/5, 0 )</f>
        <v>24.907960108969355</v>
      </c>
      <c r="L18" s="9">
        <f>_xlfn.IFNA(INDEX('Final allowances'!$F$5:$H$16,MATCH(F_Interface!$A18,'Final allowances'!$B$5:$B$16,0),MATCH(F_Interface!$E18,'Final allowances'!$F$5:$H$5,0))/5, 0 )</f>
        <v>24.907960108969355</v>
      </c>
    </row>
    <row r="19" spans="1:12" x14ac:dyDescent="0.2">
      <c r="A19" s="10" t="s">
        <v>6</v>
      </c>
      <c r="B19" s="10" t="s">
        <v>132</v>
      </c>
      <c r="C19" s="10" t="str">
        <f t="shared" si="0"/>
        <v>NWTC_BR_PR19CA008</v>
      </c>
      <c r="D19" s="9" t="s">
        <v>48</v>
      </c>
      <c r="E19" s="9" t="s">
        <v>35</v>
      </c>
      <c r="F19" s="135" t="s">
        <v>2</v>
      </c>
      <c r="G19" s="9" t="s">
        <v>50</v>
      </c>
      <c r="H19" s="9">
        <f>_xlfn.IFNA(INDEX('Final allowances'!$F$5:$H$16,MATCH(F_Interface!$A19,'Final allowances'!$B$5:$B$16,0),MATCH(F_Interface!$E19,'Final allowances'!$F$5:$H$5,0))/5, 0 )</f>
        <v>78.027142314909341</v>
      </c>
      <c r="I19" s="9">
        <f>_xlfn.IFNA(INDEX('Final allowances'!$F$5:$H$16,MATCH(F_Interface!$A19,'Final allowances'!$B$5:$B$16,0),MATCH(F_Interface!$E19,'Final allowances'!$F$5:$H$5,0))/5, 0 )</f>
        <v>78.027142314909341</v>
      </c>
      <c r="J19" s="9">
        <f>_xlfn.IFNA(INDEX('Final allowances'!$F$5:$H$16,MATCH(F_Interface!$A19,'Final allowances'!$B$5:$B$16,0),MATCH(F_Interface!$E19,'Final allowances'!$F$5:$H$5,0))/5, 0 )</f>
        <v>78.027142314909341</v>
      </c>
      <c r="K19" s="9">
        <f>_xlfn.IFNA(INDEX('Final allowances'!$F$5:$H$16,MATCH(F_Interface!$A19,'Final allowances'!$B$5:$B$16,0),MATCH(F_Interface!$E19,'Final allowances'!$F$5:$H$5,0))/5, 0 )</f>
        <v>78.027142314909341</v>
      </c>
      <c r="L19" s="9">
        <f>_xlfn.IFNA(INDEX('Final allowances'!$F$5:$H$16,MATCH(F_Interface!$A19,'Final allowances'!$B$5:$B$16,0),MATCH(F_Interface!$E19,'Final allowances'!$F$5:$H$5,0))/5, 0 )</f>
        <v>78.027142314909341</v>
      </c>
    </row>
    <row r="20" spans="1:12" x14ac:dyDescent="0.2">
      <c r="A20" s="10" t="s">
        <v>7</v>
      </c>
      <c r="B20" s="10" t="s">
        <v>132</v>
      </c>
      <c r="C20" s="10" t="str">
        <f t="shared" si="0"/>
        <v>SRNC_BR_PR19CA008</v>
      </c>
      <c r="D20" s="9" t="s">
        <v>48</v>
      </c>
      <c r="E20" s="9" t="s">
        <v>35</v>
      </c>
      <c r="F20" s="135" t="s">
        <v>2</v>
      </c>
      <c r="G20" s="137"/>
      <c r="H20" s="9">
        <f>_xlfn.IFNA(INDEX('Final allowances'!$F$5:$H$16,MATCH(F_Interface!$A20,'Final allowances'!$B$5:$B$16,0),MATCH(F_Interface!$E20,'Final allowances'!$F$5:$H$5,0))/5, 0 )</f>
        <v>42.241604649250533</v>
      </c>
      <c r="I20" s="9">
        <f>_xlfn.IFNA(INDEX('Final allowances'!$F$5:$H$16,MATCH(F_Interface!$A20,'Final allowances'!$B$5:$B$16,0),MATCH(F_Interface!$E20,'Final allowances'!$F$5:$H$5,0))/5, 0 )</f>
        <v>42.241604649250533</v>
      </c>
      <c r="J20" s="9">
        <f>_xlfn.IFNA(INDEX('Final allowances'!$F$5:$H$16,MATCH(F_Interface!$A20,'Final allowances'!$B$5:$B$16,0),MATCH(F_Interface!$E20,'Final allowances'!$F$5:$H$5,0))/5, 0 )</f>
        <v>42.241604649250533</v>
      </c>
      <c r="K20" s="9">
        <f>_xlfn.IFNA(INDEX('Final allowances'!$F$5:$H$16,MATCH(F_Interface!$A20,'Final allowances'!$B$5:$B$16,0),MATCH(F_Interface!$E20,'Final allowances'!$F$5:$H$5,0))/5, 0 )</f>
        <v>42.241604649250533</v>
      </c>
      <c r="L20" s="9">
        <f>_xlfn.IFNA(INDEX('Final allowances'!$F$5:$H$16,MATCH(F_Interface!$A20,'Final allowances'!$B$5:$B$16,0),MATCH(F_Interface!$E20,'Final allowances'!$F$5:$H$5,0))/5, 0 )</f>
        <v>42.241604649250533</v>
      </c>
    </row>
    <row r="21" spans="1:12" x14ac:dyDescent="0.2">
      <c r="A21" s="10" t="s">
        <v>116</v>
      </c>
      <c r="B21" s="10" t="s">
        <v>132</v>
      </c>
      <c r="C21" s="10" t="str">
        <f t="shared" si="0"/>
        <v>SVEC_BR_PR19CA008</v>
      </c>
      <c r="D21" s="9" t="s">
        <v>48</v>
      </c>
      <c r="E21" s="9" t="s">
        <v>35</v>
      </c>
      <c r="F21" s="135" t="s">
        <v>2</v>
      </c>
      <c r="G21" s="10" t="s">
        <v>50</v>
      </c>
      <c r="H21" s="9">
        <f>_xlfn.IFNA(INDEX('Final allowances'!$F$5:$H$16,MATCH(F_Interface!$A21,'Final allowances'!$B$5:$B$16,0),MATCH(F_Interface!$E21,'Final allowances'!$F$5:$H$5,0))/5, 0 )</f>
        <v>89.643451098945491</v>
      </c>
      <c r="I21" s="9">
        <f>_xlfn.IFNA(INDEX('Final allowances'!$F$5:$H$16,MATCH(F_Interface!$A21,'Final allowances'!$B$5:$B$16,0),MATCH(F_Interface!$E21,'Final allowances'!$F$5:$H$5,0))/5, 0 )</f>
        <v>89.643451098945491</v>
      </c>
      <c r="J21" s="9">
        <f>_xlfn.IFNA(INDEX('Final allowances'!$F$5:$H$16,MATCH(F_Interface!$A21,'Final allowances'!$B$5:$B$16,0),MATCH(F_Interface!$E21,'Final allowances'!$F$5:$H$5,0))/5, 0 )</f>
        <v>89.643451098945491</v>
      </c>
      <c r="K21" s="9">
        <f>_xlfn.IFNA(INDEX('Final allowances'!$F$5:$H$16,MATCH(F_Interface!$A21,'Final allowances'!$B$5:$B$16,0),MATCH(F_Interface!$E21,'Final allowances'!$F$5:$H$5,0))/5, 0 )</f>
        <v>89.643451098945491</v>
      </c>
      <c r="L21" s="9">
        <f>_xlfn.IFNA(INDEX('Final allowances'!$F$5:$H$16,MATCH(F_Interface!$A21,'Final allowances'!$B$5:$B$16,0),MATCH(F_Interface!$E21,'Final allowances'!$F$5:$H$5,0))/5, 0 )</f>
        <v>89.643451098945491</v>
      </c>
    </row>
    <row r="22" spans="1:12" x14ac:dyDescent="0.2">
      <c r="A22" s="10" t="s">
        <v>101</v>
      </c>
      <c r="B22" s="10" t="s">
        <v>132</v>
      </c>
      <c r="C22" s="10" t="str">
        <f t="shared" si="0"/>
        <v>SVHC_BR_PR19CA008</v>
      </c>
      <c r="D22" s="9" t="s">
        <v>48</v>
      </c>
      <c r="E22" s="9" t="s">
        <v>35</v>
      </c>
      <c r="F22" s="135" t="s">
        <v>2</v>
      </c>
      <c r="G22" s="9" t="s">
        <v>50</v>
      </c>
      <c r="H22" s="9">
        <f>_xlfn.IFNA(INDEX('Final allowances'!$F$5:$H$16,MATCH(F_Interface!$A22,'Final allowances'!$B$5:$B$16,0),MATCH(F_Interface!$E22,'Final allowances'!$F$5:$H$5,0))/5, 0 )</f>
        <v>0</v>
      </c>
      <c r="I22" s="9">
        <f>_xlfn.IFNA(INDEX('Final allowances'!$F$5:$H$16,MATCH(F_Interface!$A22,'Final allowances'!$B$5:$B$16,0),MATCH(F_Interface!$E22,'Final allowances'!$F$5:$H$5,0))/5, 0 )</f>
        <v>0</v>
      </c>
      <c r="J22" s="9">
        <f>_xlfn.IFNA(INDEX('Final allowances'!$F$5:$H$16,MATCH(F_Interface!$A22,'Final allowances'!$B$5:$B$16,0),MATCH(F_Interface!$E22,'Final allowances'!$F$5:$H$5,0))/5, 0 )</f>
        <v>0</v>
      </c>
      <c r="K22" s="9">
        <f>_xlfn.IFNA(INDEX('Final allowances'!$F$5:$H$16,MATCH(F_Interface!$A22,'Final allowances'!$B$5:$B$16,0),MATCH(F_Interface!$E22,'Final allowances'!$F$5:$H$5,0))/5, 0 )</f>
        <v>0</v>
      </c>
      <c r="L22" s="9">
        <f>_xlfn.IFNA(INDEX('Final allowances'!$F$5:$H$16,MATCH(F_Interface!$A22,'Final allowances'!$B$5:$B$16,0),MATCH(F_Interface!$E22,'Final allowances'!$F$5:$H$5,0))/5, 0 )</f>
        <v>0</v>
      </c>
    </row>
    <row r="23" spans="1:12" x14ac:dyDescent="0.2">
      <c r="A23" s="10" t="s">
        <v>8</v>
      </c>
      <c r="B23" s="10" t="s">
        <v>132</v>
      </c>
      <c r="C23" s="10" t="str">
        <f t="shared" si="0"/>
        <v>SVTC_BR_PR19CA008</v>
      </c>
      <c r="D23" s="9" t="s">
        <v>48</v>
      </c>
      <c r="E23" s="9" t="s">
        <v>35</v>
      </c>
      <c r="F23" s="135" t="s">
        <v>2</v>
      </c>
      <c r="G23" s="9" t="s">
        <v>50</v>
      </c>
      <c r="H23" s="9">
        <f>_xlfn.IFNA(INDEX('Final allowances'!$F$5:$H$16,MATCH(F_Interface!$A23,'Final allowances'!$B$5:$B$16,0),MATCH(F_Interface!$E23,'Final allowances'!$F$5:$H$5,0))/5, 0 )</f>
        <v>0</v>
      </c>
      <c r="I23" s="9">
        <f>_xlfn.IFNA(INDEX('Final allowances'!$F$5:$H$16,MATCH(F_Interface!$A23,'Final allowances'!$B$5:$B$16,0),MATCH(F_Interface!$E23,'Final allowances'!$F$5:$H$5,0))/5, 0 )</f>
        <v>0</v>
      </c>
      <c r="J23" s="9">
        <f>_xlfn.IFNA(INDEX('Final allowances'!$F$5:$H$16,MATCH(F_Interface!$A23,'Final allowances'!$B$5:$B$16,0),MATCH(F_Interface!$E23,'Final allowances'!$F$5:$H$5,0))/5, 0 )</f>
        <v>0</v>
      </c>
      <c r="K23" s="9">
        <f>_xlfn.IFNA(INDEX('Final allowances'!$F$5:$H$16,MATCH(F_Interface!$A23,'Final allowances'!$B$5:$B$16,0),MATCH(F_Interface!$E23,'Final allowances'!$F$5:$H$5,0))/5, 0 )</f>
        <v>0</v>
      </c>
      <c r="L23" s="9">
        <f>_xlfn.IFNA(INDEX('Final allowances'!$F$5:$H$16,MATCH(F_Interface!$A23,'Final allowances'!$B$5:$B$16,0),MATCH(F_Interface!$E23,'Final allowances'!$F$5:$H$5,0))/5, 0 )</f>
        <v>0</v>
      </c>
    </row>
    <row r="24" spans="1:12" x14ac:dyDescent="0.2">
      <c r="A24" s="10" t="s">
        <v>12</v>
      </c>
      <c r="B24" s="10" t="s">
        <v>132</v>
      </c>
      <c r="C24" s="10" t="str">
        <f t="shared" si="0"/>
        <v>SWBC_BR_PR19CA008</v>
      </c>
      <c r="D24" s="9" t="s">
        <v>48</v>
      </c>
      <c r="E24" s="9" t="s">
        <v>35</v>
      </c>
      <c r="F24" s="135" t="s">
        <v>2</v>
      </c>
      <c r="G24" s="9" t="s">
        <v>50</v>
      </c>
      <c r="H24" s="9">
        <f>_xlfn.IFNA(INDEX('Final allowances'!$F$5:$H$16,MATCH(F_Interface!$A24,'Final allowances'!$B$5:$B$16,0),MATCH(F_Interface!$E24,'Final allowances'!$F$5:$H$5,0))/5, 0 )</f>
        <v>19.467777286324896</v>
      </c>
      <c r="I24" s="9">
        <f>_xlfn.IFNA(INDEX('Final allowances'!$F$5:$H$16,MATCH(F_Interface!$A24,'Final allowances'!$B$5:$B$16,0),MATCH(F_Interface!$E24,'Final allowances'!$F$5:$H$5,0))/5, 0 )</f>
        <v>19.467777286324896</v>
      </c>
      <c r="J24" s="9">
        <f>_xlfn.IFNA(INDEX('Final allowances'!$F$5:$H$16,MATCH(F_Interface!$A24,'Final allowances'!$B$5:$B$16,0),MATCH(F_Interface!$E24,'Final allowances'!$F$5:$H$5,0))/5, 0 )</f>
        <v>19.467777286324896</v>
      </c>
      <c r="K24" s="9">
        <f>_xlfn.IFNA(INDEX('Final allowances'!$F$5:$H$16,MATCH(F_Interface!$A24,'Final allowances'!$B$5:$B$16,0),MATCH(F_Interface!$E24,'Final allowances'!$F$5:$H$5,0))/5, 0 )</f>
        <v>19.467777286324896</v>
      </c>
      <c r="L24" s="9">
        <f>_xlfn.IFNA(INDEX('Final allowances'!$F$5:$H$16,MATCH(F_Interface!$A24,'Final allowances'!$B$5:$B$16,0),MATCH(F_Interface!$E24,'Final allowances'!$F$5:$H$5,0))/5, 0 )</f>
        <v>19.467777286324896</v>
      </c>
    </row>
    <row r="25" spans="1:12" x14ac:dyDescent="0.2">
      <c r="A25" s="10" t="s">
        <v>9</v>
      </c>
      <c r="B25" s="10" t="s">
        <v>132</v>
      </c>
      <c r="C25" s="10" t="str">
        <f t="shared" si="0"/>
        <v>TMSC_BR_PR19CA008</v>
      </c>
      <c r="D25" s="9" t="s">
        <v>48</v>
      </c>
      <c r="E25" s="9" t="s">
        <v>35</v>
      </c>
      <c r="F25" s="135" t="s">
        <v>2</v>
      </c>
      <c r="G25" s="9" t="s">
        <v>50</v>
      </c>
      <c r="H25" s="9">
        <f>_xlfn.IFNA(INDEX('Final allowances'!$F$5:$H$16,MATCH(F_Interface!$A25,'Final allowances'!$B$5:$B$16,0),MATCH(F_Interface!$E25,'Final allowances'!$F$5:$H$5,0))/5, 0 )</f>
        <v>144.69722938200402</v>
      </c>
      <c r="I25" s="9">
        <f>_xlfn.IFNA(INDEX('Final allowances'!$F$5:$H$16,MATCH(F_Interface!$A25,'Final allowances'!$B$5:$B$16,0),MATCH(F_Interface!$E25,'Final allowances'!$F$5:$H$5,0))/5, 0 )</f>
        <v>144.69722938200402</v>
      </c>
      <c r="J25" s="9">
        <f>_xlfn.IFNA(INDEX('Final allowances'!$F$5:$H$16,MATCH(F_Interface!$A25,'Final allowances'!$B$5:$B$16,0),MATCH(F_Interface!$E25,'Final allowances'!$F$5:$H$5,0))/5, 0 )</f>
        <v>144.69722938200402</v>
      </c>
      <c r="K25" s="9">
        <f>_xlfn.IFNA(INDEX('Final allowances'!$F$5:$H$16,MATCH(F_Interface!$A25,'Final allowances'!$B$5:$B$16,0),MATCH(F_Interface!$E25,'Final allowances'!$F$5:$H$5,0))/5, 0 )</f>
        <v>144.69722938200402</v>
      </c>
      <c r="L25" s="9">
        <f>_xlfn.IFNA(INDEX('Final allowances'!$F$5:$H$16,MATCH(F_Interface!$A25,'Final allowances'!$B$5:$B$16,0),MATCH(F_Interface!$E25,'Final allowances'!$F$5:$H$5,0))/5, 0 )</f>
        <v>144.69722938200402</v>
      </c>
    </row>
    <row r="26" spans="1:12" x14ac:dyDescent="0.2">
      <c r="A26" s="10" t="s">
        <v>15</v>
      </c>
      <c r="B26" s="10" t="s">
        <v>132</v>
      </c>
      <c r="C26" s="10" t="str">
        <f t="shared" si="0"/>
        <v>WSHC_BR_PR19CA008</v>
      </c>
      <c r="D26" s="9" t="s">
        <v>48</v>
      </c>
      <c r="E26" s="9" t="s">
        <v>35</v>
      </c>
      <c r="F26" s="135" t="s">
        <v>2</v>
      </c>
      <c r="G26" s="9" t="s">
        <v>50</v>
      </c>
      <c r="H26" s="9">
        <f>_xlfn.IFNA(INDEX('Final allowances'!$F$5:$H$16,MATCH(F_Interface!$A26,'Final allowances'!$B$5:$B$16,0),MATCH(F_Interface!$E26,'Final allowances'!$F$5:$H$5,0))/5, 0 )</f>
        <v>33.48888002883708</v>
      </c>
      <c r="I26" s="9">
        <f>_xlfn.IFNA(INDEX('Final allowances'!$F$5:$H$16,MATCH(F_Interface!$A26,'Final allowances'!$B$5:$B$16,0),MATCH(F_Interface!$E26,'Final allowances'!$F$5:$H$5,0))/5, 0 )</f>
        <v>33.48888002883708</v>
      </c>
      <c r="J26" s="9">
        <f>_xlfn.IFNA(INDEX('Final allowances'!$F$5:$H$16,MATCH(F_Interface!$A26,'Final allowances'!$B$5:$B$16,0),MATCH(F_Interface!$E26,'Final allowances'!$F$5:$H$5,0))/5, 0 )</f>
        <v>33.48888002883708</v>
      </c>
      <c r="K26" s="9">
        <f>_xlfn.IFNA(INDEX('Final allowances'!$F$5:$H$16,MATCH(F_Interface!$A26,'Final allowances'!$B$5:$B$16,0),MATCH(F_Interface!$E26,'Final allowances'!$F$5:$H$5,0))/5, 0 )</f>
        <v>33.48888002883708</v>
      </c>
      <c r="L26" s="9">
        <f>_xlfn.IFNA(INDEX('Final allowances'!$F$5:$H$16,MATCH(F_Interface!$A26,'Final allowances'!$B$5:$B$16,0),MATCH(F_Interface!$E26,'Final allowances'!$F$5:$H$5,0))/5, 0 )</f>
        <v>33.48888002883708</v>
      </c>
    </row>
    <row r="27" spans="1:12" x14ac:dyDescent="0.2">
      <c r="A27" s="10" t="s">
        <v>10</v>
      </c>
      <c r="B27" s="10" t="s">
        <v>132</v>
      </c>
      <c r="C27" s="10" t="str">
        <f t="shared" si="0"/>
        <v>WSXC_BR_PR19CA008</v>
      </c>
      <c r="D27" s="9" t="s">
        <v>48</v>
      </c>
      <c r="E27" s="9" t="s">
        <v>35</v>
      </c>
      <c r="F27" s="135" t="s">
        <v>2</v>
      </c>
      <c r="G27" s="9" t="s">
        <v>50</v>
      </c>
      <c r="H27" s="9">
        <f>_xlfn.IFNA(INDEX('Final allowances'!$F$5:$H$16,MATCH(F_Interface!$A27,'Final allowances'!$B$5:$B$16,0),MATCH(F_Interface!$E27,'Final allowances'!$F$5:$H$5,0))/5, 0 )</f>
        <v>27.82625304696689</v>
      </c>
      <c r="I27" s="9">
        <f>_xlfn.IFNA(INDEX('Final allowances'!$F$5:$H$16,MATCH(F_Interface!$A27,'Final allowances'!$B$5:$B$16,0),MATCH(F_Interface!$E27,'Final allowances'!$F$5:$H$5,0))/5, 0 )</f>
        <v>27.82625304696689</v>
      </c>
      <c r="J27" s="9">
        <f>_xlfn.IFNA(INDEX('Final allowances'!$F$5:$H$16,MATCH(F_Interface!$A27,'Final allowances'!$B$5:$B$16,0),MATCH(F_Interface!$E27,'Final allowances'!$F$5:$H$5,0))/5, 0 )</f>
        <v>27.82625304696689</v>
      </c>
      <c r="K27" s="9">
        <f>_xlfn.IFNA(INDEX('Final allowances'!$F$5:$H$16,MATCH(F_Interface!$A27,'Final allowances'!$B$5:$B$16,0),MATCH(F_Interface!$E27,'Final allowances'!$F$5:$H$5,0))/5, 0 )</f>
        <v>27.82625304696689</v>
      </c>
      <c r="L27" s="9">
        <f>_xlfn.IFNA(INDEX('Final allowances'!$F$5:$H$16,MATCH(F_Interface!$A27,'Final allowances'!$B$5:$B$16,0),MATCH(F_Interface!$E27,'Final allowances'!$F$5:$H$5,0))/5, 0 )</f>
        <v>27.82625304696689</v>
      </c>
    </row>
    <row r="28" spans="1:12" x14ac:dyDescent="0.2">
      <c r="A28" s="10" t="s">
        <v>11</v>
      </c>
      <c r="B28" s="9" t="s">
        <v>132</v>
      </c>
      <c r="C28" s="10" t="str">
        <f t="shared" si="0"/>
        <v>YKYC_BR_PR19CA008</v>
      </c>
      <c r="D28" s="9" t="s">
        <v>48</v>
      </c>
      <c r="E28" s="9" t="s">
        <v>35</v>
      </c>
      <c r="F28" s="135" t="s">
        <v>2</v>
      </c>
      <c r="G28" s="9" t="s">
        <v>50</v>
      </c>
      <c r="H28" s="9">
        <f>_xlfn.IFNA(INDEX('Final allowances'!$F$5:$H$16,MATCH(F_Interface!$A28,'Final allowances'!$B$5:$B$16,0),MATCH(F_Interface!$E28,'Final allowances'!$F$5:$H$5,0))/5, 0 )</f>
        <v>62.8641482211615</v>
      </c>
      <c r="I28" s="9">
        <f>_xlfn.IFNA(INDEX('Final allowances'!$F$5:$H$16,MATCH(F_Interface!$A28,'Final allowances'!$B$5:$B$16,0),MATCH(F_Interface!$E28,'Final allowances'!$F$5:$H$5,0))/5, 0 )</f>
        <v>62.8641482211615</v>
      </c>
      <c r="J28" s="9">
        <f>_xlfn.IFNA(INDEX('Final allowances'!$F$5:$H$16,MATCH(F_Interface!$A28,'Final allowances'!$B$5:$B$16,0),MATCH(F_Interface!$E28,'Final allowances'!$F$5:$H$5,0))/5, 0 )</f>
        <v>62.8641482211615</v>
      </c>
      <c r="K28" s="9">
        <f>_xlfn.IFNA(INDEX('Final allowances'!$F$5:$H$16,MATCH(F_Interface!$A28,'Final allowances'!$B$5:$B$16,0),MATCH(F_Interface!$E28,'Final allowances'!$F$5:$H$5,0))/5, 0 )</f>
        <v>62.8641482211615</v>
      </c>
      <c r="L28" s="9">
        <f>_xlfn.IFNA(INDEX('Final allowances'!$F$5:$H$16,MATCH(F_Interface!$A28,'Final allowances'!$B$5:$B$16,0),MATCH(F_Interface!$E28,'Final allowances'!$F$5:$H$5,0))/5, 0 )</f>
        <v>62.8641482211615</v>
      </c>
    </row>
    <row r="29" spans="1:12" x14ac:dyDescent="0.2">
      <c r="A29" s="10" t="s">
        <v>4</v>
      </c>
      <c r="B29" s="10" t="s">
        <v>275</v>
      </c>
      <c r="C29" s="10" t="str">
        <f t="shared" si="0"/>
        <v>ANHC_WWW_PR19CA008</v>
      </c>
      <c r="D29" s="9" t="s">
        <v>250</v>
      </c>
      <c r="E29" s="9" t="s">
        <v>124</v>
      </c>
      <c r="F29" s="135" t="s">
        <v>2</v>
      </c>
      <c r="G29" s="137" t="s">
        <v>50</v>
      </c>
      <c r="H29" s="9">
        <f>_xlfn.IFNA(INDEX('Final allowances'!$F$5:$H$16,MATCH(F_Interface!$A29,'Final allowances'!$B$5:$B$16,0),MATCH(F_Interface!$E29,'Final allowances'!$F$5:$H$5,0))/5, 0 )</f>
        <v>568.4844820838332</v>
      </c>
      <c r="I29" s="9">
        <f>_xlfn.IFNA(INDEX('Final allowances'!$F$5:$H$16,MATCH(F_Interface!$A29,'Final allowances'!$B$5:$B$16,0),MATCH(F_Interface!$E29,'Final allowances'!$F$5:$H$5,0))/5, 0 )</f>
        <v>568.4844820838332</v>
      </c>
      <c r="J29" s="9">
        <f>_xlfn.IFNA(INDEX('Final allowances'!$F$5:$H$16,MATCH(F_Interface!$A29,'Final allowances'!$B$5:$B$16,0),MATCH(F_Interface!$E29,'Final allowances'!$F$5:$H$5,0))/5, 0 )</f>
        <v>568.4844820838332</v>
      </c>
      <c r="K29" s="9">
        <f>_xlfn.IFNA(INDEX('Final allowances'!$F$5:$H$16,MATCH(F_Interface!$A29,'Final allowances'!$B$5:$B$16,0),MATCH(F_Interface!$E29,'Final allowances'!$F$5:$H$5,0))/5, 0 )</f>
        <v>568.4844820838332</v>
      </c>
      <c r="L29" s="9">
        <f>_xlfn.IFNA(INDEX('Final allowances'!$F$5:$H$16,MATCH(F_Interface!$A29,'Final allowances'!$B$5:$B$16,0),MATCH(F_Interface!$E29,'Final allowances'!$F$5:$H$5,0))/5, 0 )</f>
        <v>568.4844820838332</v>
      </c>
    </row>
    <row r="30" spans="1:12" x14ac:dyDescent="0.2">
      <c r="A30" s="10" t="s">
        <v>87</v>
      </c>
      <c r="B30" s="10" t="s">
        <v>275</v>
      </c>
      <c r="C30" s="10" t="str">
        <f t="shared" si="0"/>
        <v>HDDC_WWW_PR19CA008</v>
      </c>
      <c r="D30" s="9" t="s">
        <v>250</v>
      </c>
      <c r="E30" s="9" t="s">
        <v>124</v>
      </c>
      <c r="F30" s="135" t="s">
        <v>2</v>
      </c>
      <c r="G30" s="9" t="s">
        <v>50</v>
      </c>
      <c r="H30" s="9">
        <f>_xlfn.IFNA(INDEX('Final allowances'!$F$5:$H$16,MATCH(F_Interface!$A30,'Final allowances'!$B$5:$B$16,0),MATCH(F_Interface!$E30,'Final allowances'!$F$5:$H$5,0))/5, 0 )</f>
        <v>5.6088175898035928</v>
      </c>
      <c r="I30" s="9">
        <f>_xlfn.IFNA(INDEX('Final allowances'!$F$5:$H$16,MATCH(F_Interface!$A30,'Final allowances'!$B$5:$B$16,0),MATCH(F_Interface!$E30,'Final allowances'!$F$5:$H$5,0))/5, 0 )</f>
        <v>5.6088175898035928</v>
      </c>
      <c r="J30" s="9">
        <f>_xlfn.IFNA(INDEX('Final allowances'!$F$5:$H$16,MATCH(F_Interface!$A30,'Final allowances'!$B$5:$B$16,0),MATCH(F_Interface!$E30,'Final allowances'!$F$5:$H$5,0))/5, 0 )</f>
        <v>5.6088175898035928</v>
      </c>
      <c r="K30" s="9">
        <f>_xlfn.IFNA(INDEX('Final allowances'!$F$5:$H$16,MATCH(F_Interface!$A30,'Final allowances'!$B$5:$B$16,0),MATCH(F_Interface!$E30,'Final allowances'!$F$5:$H$5,0))/5, 0 )</f>
        <v>5.6088175898035928</v>
      </c>
      <c r="L30" s="9">
        <f>_xlfn.IFNA(INDEX('Final allowances'!$F$5:$H$16,MATCH(F_Interface!$A30,'Final allowances'!$B$5:$B$16,0),MATCH(F_Interface!$E30,'Final allowances'!$F$5:$H$5,0))/5, 0 )</f>
        <v>5.6088175898035928</v>
      </c>
    </row>
    <row r="31" spans="1:12" x14ac:dyDescent="0.2">
      <c r="A31" s="10" t="s">
        <v>5</v>
      </c>
      <c r="B31" s="10" t="s">
        <v>275</v>
      </c>
      <c r="C31" s="10" t="str">
        <f t="shared" si="0"/>
        <v>NESC_WWW_PR19CA008</v>
      </c>
      <c r="D31" s="9" t="s">
        <v>250</v>
      </c>
      <c r="E31" s="9" t="s">
        <v>124</v>
      </c>
      <c r="F31" s="135" t="s">
        <v>2</v>
      </c>
      <c r="G31" s="9" t="s">
        <v>50</v>
      </c>
      <c r="H31" s="9">
        <f>_xlfn.IFNA(INDEX('Final allowances'!$F$5:$H$16,MATCH(F_Interface!$A31,'Final allowances'!$B$5:$B$16,0),MATCH(F_Interface!$E31,'Final allowances'!$F$5:$H$5,0))/5, 0 )</f>
        <v>210.63701158283729</v>
      </c>
      <c r="I31" s="9">
        <f>_xlfn.IFNA(INDEX('Final allowances'!$F$5:$H$16,MATCH(F_Interface!$A31,'Final allowances'!$B$5:$B$16,0),MATCH(F_Interface!$E31,'Final allowances'!$F$5:$H$5,0))/5, 0 )</f>
        <v>210.63701158283729</v>
      </c>
      <c r="J31" s="9">
        <f>_xlfn.IFNA(INDEX('Final allowances'!$F$5:$H$16,MATCH(F_Interface!$A31,'Final allowances'!$B$5:$B$16,0),MATCH(F_Interface!$E31,'Final allowances'!$F$5:$H$5,0))/5, 0 )</f>
        <v>210.63701158283729</v>
      </c>
      <c r="K31" s="9">
        <f>_xlfn.IFNA(INDEX('Final allowances'!$F$5:$H$16,MATCH(F_Interface!$A31,'Final allowances'!$B$5:$B$16,0),MATCH(F_Interface!$E31,'Final allowances'!$F$5:$H$5,0))/5, 0 )</f>
        <v>210.63701158283729</v>
      </c>
      <c r="L31" s="9">
        <f>_xlfn.IFNA(INDEX('Final allowances'!$F$5:$H$16,MATCH(F_Interface!$A31,'Final allowances'!$B$5:$B$16,0),MATCH(F_Interface!$E31,'Final allowances'!$F$5:$H$5,0))/5, 0 )</f>
        <v>210.63701158283729</v>
      </c>
    </row>
    <row r="32" spans="1:12" x14ac:dyDescent="0.2">
      <c r="A32" s="10" t="s">
        <v>6</v>
      </c>
      <c r="B32" s="10" t="s">
        <v>275</v>
      </c>
      <c r="C32" s="10" t="str">
        <f t="shared" si="0"/>
        <v>NWTC_WWW_PR19CA008</v>
      </c>
      <c r="D32" s="9" t="s">
        <v>250</v>
      </c>
      <c r="E32" s="9" t="s">
        <v>124</v>
      </c>
      <c r="F32" s="135" t="s">
        <v>2</v>
      </c>
      <c r="G32" s="9" t="s">
        <v>50</v>
      </c>
      <c r="H32" s="9">
        <f>_xlfn.IFNA(INDEX('Final allowances'!$F$5:$H$16,MATCH(F_Interface!$A32,'Final allowances'!$B$5:$B$16,0),MATCH(F_Interface!$E32,'Final allowances'!$F$5:$H$5,0))/5, 0 )</f>
        <v>572.52953533387688</v>
      </c>
      <c r="I32" s="9">
        <f>_xlfn.IFNA(INDEX('Final allowances'!$F$5:$H$16,MATCH(F_Interface!$A32,'Final allowances'!$B$5:$B$16,0),MATCH(F_Interface!$E32,'Final allowances'!$F$5:$H$5,0))/5, 0 )</f>
        <v>572.52953533387688</v>
      </c>
      <c r="J32" s="9">
        <f>_xlfn.IFNA(INDEX('Final allowances'!$F$5:$H$16,MATCH(F_Interface!$A32,'Final allowances'!$B$5:$B$16,0),MATCH(F_Interface!$E32,'Final allowances'!$F$5:$H$5,0))/5, 0 )</f>
        <v>572.52953533387688</v>
      </c>
      <c r="K32" s="9">
        <f>_xlfn.IFNA(INDEX('Final allowances'!$F$5:$H$16,MATCH(F_Interface!$A32,'Final allowances'!$B$5:$B$16,0),MATCH(F_Interface!$E32,'Final allowances'!$F$5:$H$5,0))/5, 0 )</f>
        <v>572.52953533387688</v>
      </c>
      <c r="L32" s="9">
        <f>_xlfn.IFNA(INDEX('Final allowances'!$F$5:$H$16,MATCH(F_Interface!$A32,'Final allowances'!$B$5:$B$16,0),MATCH(F_Interface!$E32,'Final allowances'!$F$5:$H$5,0))/5, 0 )</f>
        <v>572.52953533387688</v>
      </c>
    </row>
    <row r="33" spans="1:12" x14ac:dyDescent="0.2">
      <c r="A33" s="10" t="s">
        <v>7</v>
      </c>
      <c r="B33" s="10" t="s">
        <v>275</v>
      </c>
      <c r="C33" s="10" t="str">
        <f t="shared" si="0"/>
        <v>SRNC_WWW_PR19CA008</v>
      </c>
      <c r="D33" s="9" t="s">
        <v>250</v>
      </c>
      <c r="E33" s="9" t="s">
        <v>124</v>
      </c>
      <c r="F33" s="135" t="s">
        <v>2</v>
      </c>
      <c r="G33" s="137"/>
      <c r="H33" s="9">
        <f>_xlfn.IFNA(INDEX('Final allowances'!$F$5:$H$16,MATCH(F_Interface!$A33,'Final allowances'!$B$5:$B$16,0),MATCH(F_Interface!$E33,'Final allowances'!$F$5:$H$5,0))/5, 0 )</f>
        <v>430.66739608329061</v>
      </c>
      <c r="I33" s="9">
        <f>_xlfn.IFNA(INDEX('Final allowances'!$F$5:$H$16,MATCH(F_Interface!$A33,'Final allowances'!$B$5:$B$16,0),MATCH(F_Interface!$E33,'Final allowances'!$F$5:$H$5,0))/5, 0 )</f>
        <v>430.66739608329061</v>
      </c>
      <c r="J33" s="9">
        <f>_xlfn.IFNA(INDEX('Final allowances'!$F$5:$H$16,MATCH(F_Interface!$A33,'Final allowances'!$B$5:$B$16,0),MATCH(F_Interface!$E33,'Final allowances'!$F$5:$H$5,0))/5, 0 )</f>
        <v>430.66739608329061</v>
      </c>
      <c r="K33" s="9">
        <f>_xlfn.IFNA(INDEX('Final allowances'!$F$5:$H$16,MATCH(F_Interface!$A33,'Final allowances'!$B$5:$B$16,0),MATCH(F_Interface!$E33,'Final allowances'!$F$5:$H$5,0))/5, 0 )</f>
        <v>430.66739608329061</v>
      </c>
      <c r="L33" s="9">
        <f>_xlfn.IFNA(INDEX('Final allowances'!$F$5:$H$16,MATCH(F_Interface!$A33,'Final allowances'!$B$5:$B$16,0),MATCH(F_Interface!$E33,'Final allowances'!$F$5:$H$5,0))/5, 0 )</f>
        <v>430.66739608329061</v>
      </c>
    </row>
    <row r="34" spans="1:12" x14ac:dyDescent="0.2">
      <c r="A34" s="10" t="s">
        <v>116</v>
      </c>
      <c r="B34" s="10" t="s">
        <v>275</v>
      </c>
      <c r="C34" s="10" t="str">
        <f t="shared" si="0"/>
        <v>SVEC_WWW_PR19CA008</v>
      </c>
      <c r="D34" s="9" t="s">
        <v>250</v>
      </c>
      <c r="E34" s="9" t="s">
        <v>124</v>
      </c>
      <c r="F34" s="135" t="s">
        <v>2</v>
      </c>
      <c r="G34" s="10" t="s">
        <v>50</v>
      </c>
      <c r="H34" s="9">
        <f>_xlfn.IFNA(INDEX('Final allowances'!$F$5:$H$16,MATCH(F_Interface!$A34,'Final allowances'!$B$5:$B$16,0),MATCH(F_Interface!$E34,'Final allowances'!$F$5:$H$5,0))/5, 0 )</f>
        <v>627.30173051143186</v>
      </c>
      <c r="I34" s="9">
        <f>_xlfn.IFNA(INDEX('Final allowances'!$F$5:$H$16,MATCH(F_Interface!$A34,'Final allowances'!$B$5:$B$16,0),MATCH(F_Interface!$E34,'Final allowances'!$F$5:$H$5,0))/5, 0 )</f>
        <v>627.30173051143186</v>
      </c>
      <c r="J34" s="9">
        <f>_xlfn.IFNA(INDEX('Final allowances'!$F$5:$H$16,MATCH(F_Interface!$A34,'Final allowances'!$B$5:$B$16,0),MATCH(F_Interface!$E34,'Final allowances'!$F$5:$H$5,0))/5, 0 )</f>
        <v>627.30173051143186</v>
      </c>
      <c r="K34" s="9">
        <f>_xlfn.IFNA(INDEX('Final allowances'!$F$5:$H$16,MATCH(F_Interface!$A34,'Final allowances'!$B$5:$B$16,0),MATCH(F_Interface!$E34,'Final allowances'!$F$5:$H$5,0))/5, 0 )</f>
        <v>627.30173051143186</v>
      </c>
      <c r="L34" s="9">
        <f>_xlfn.IFNA(INDEX('Final allowances'!$F$5:$H$16,MATCH(F_Interface!$A34,'Final allowances'!$B$5:$B$16,0),MATCH(F_Interface!$E34,'Final allowances'!$F$5:$H$5,0))/5, 0 )</f>
        <v>627.30173051143186</v>
      </c>
    </row>
    <row r="35" spans="1:12" x14ac:dyDescent="0.2">
      <c r="A35" s="10" t="s">
        <v>101</v>
      </c>
      <c r="B35" s="10" t="s">
        <v>275</v>
      </c>
      <c r="C35" s="10" t="str">
        <f t="shared" si="0"/>
        <v>SVHC_WWW_PR19CA008</v>
      </c>
      <c r="D35" s="9" t="s">
        <v>250</v>
      </c>
      <c r="E35" s="9" t="s">
        <v>124</v>
      </c>
      <c r="F35" s="135" t="s">
        <v>2</v>
      </c>
      <c r="G35" s="9" t="s">
        <v>50</v>
      </c>
      <c r="H35" s="9">
        <f>_xlfn.IFNA(INDEX('Final allowances'!$F$5:$H$16,MATCH(F_Interface!$A35,'Final allowances'!$B$5:$B$16,0),MATCH(F_Interface!$E35,'Final allowances'!$F$5:$H$5,0))/5, 0 )</f>
        <v>0</v>
      </c>
      <c r="I35" s="9">
        <f>_xlfn.IFNA(INDEX('Final allowances'!$F$5:$H$16,MATCH(F_Interface!$A35,'Final allowances'!$B$5:$B$16,0),MATCH(F_Interface!$E35,'Final allowances'!$F$5:$H$5,0))/5, 0 )</f>
        <v>0</v>
      </c>
      <c r="J35" s="9">
        <f>_xlfn.IFNA(INDEX('Final allowances'!$F$5:$H$16,MATCH(F_Interface!$A35,'Final allowances'!$B$5:$B$16,0),MATCH(F_Interface!$E35,'Final allowances'!$F$5:$H$5,0))/5, 0 )</f>
        <v>0</v>
      </c>
      <c r="K35" s="9">
        <f>_xlfn.IFNA(INDEX('Final allowances'!$F$5:$H$16,MATCH(F_Interface!$A35,'Final allowances'!$B$5:$B$16,0),MATCH(F_Interface!$E35,'Final allowances'!$F$5:$H$5,0))/5, 0 )</f>
        <v>0</v>
      </c>
      <c r="L35" s="9">
        <f>_xlfn.IFNA(INDEX('Final allowances'!$F$5:$H$16,MATCH(F_Interface!$A35,'Final allowances'!$B$5:$B$16,0),MATCH(F_Interface!$E35,'Final allowances'!$F$5:$H$5,0))/5, 0 )</f>
        <v>0</v>
      </c>
    </row>
    <row r="36" spans="1:12" x14ac:dyDescent="0.2">
      <c r="A36" s="10" t="s">
        <v>8</v>
      </c>
      <c r="B36" s="10" t="s">
        <v>275</v>
      </c>
      <c r="C36" s="10" t="str">
        <f t="shared" si="0"/>
        <v>SVTC_WWW_PR19CA008</v>
      </c>
      <c r="D36" s="9" t="s">
        <v>250</v>
      </c>
      <c r="E36" s="9" t="s">
        <v>124</v>
      </c>
      <c r="F36" s="135" t="s">
        <v>2</v>
      </c>
      <c r="G36" s="9" t="s">
        <v>50</v>
      </c>
      <c r="H36" s="9">
        <f>_xlfn.IFNA(INDEX('Final allowances'!$F$5:$H$16,MATCH(F_Interface!$A36,'Final allowances'!$B$5:$B$16,0),MATCH(F_Interface!$E36,'Final allowances'!$F$5:$H$5,0))/5, 0 )</f>
        <v>0</v>
      </c>
      <c r="I36" s="9">
        <f>_xlfn.IFNA(INDEX('Final allowances'!$F$5:$H$16,MATCH(F_Interface!$A36,'Final allowances'!$B$5:$B$16,0),MATCH(F_Interface!$E36,'Final allowances'!$F$5:$H$5,0))/5, 0 )</f>
        <v>0</v>
      </c>
      <c r="J36" s="9">
        <f>_xlfn.IFNA(INDEX('Final allowances'!$F$5:$H$16,MATCH(F_Interface!$A36,'Final allowances'!$B$5:$B$16,0),MATCH(F_Interface!$E36,'Final allowances'!$F$5:$H$5,0))/5, 0 )</f>
        <v>0</v>
      </c>
      <c r="K36" s="9">
        <f>_xlfn.IFNA(INDEX('Final allowances'!$F$5:$H$16,MATCH(F_Interface!$A36,'Final allowances'!$B$5:$B$16,0),MATCH(F_Interface!$E36,'Final allowances'!$F$5:$H$5,0))/5, 0 )</f>
        <v>0</v>
      </c>
      <c r="L36" s="9">
        <f>_xlfn.IFNA(INDEX('Final allowances'!$F$5:$H$16,MATCH(F_Interface!$A36,'Final allowances'!$B$5:$B$16,0),MATCH(F_Interface!$E36,'Final allowances'!$F$5:$H$5,0))/5, 0 )</f>
        <v>0</v>
      </c>
    </row>
    <row r="37" spans="1:12" x14ac:dyDescent="0.2">
      <c r="A37" s="10" t="s">
        <v>12</v>
      </c>
      <c r="B37" s="10" t="s">
        <v>275</v>
      </c>
      <c r="C37" s="10" t="str">
        <f t="shared" si="0"/>
        <v>SWBC_WWW_PR19CA008</v>
      </c>
      <c r="D37" s="9" t="s">
        <v>250</v>
      </c>
      <c r="E37" s="9" t="s">
        <v>124</v>
      </c>
      <c r="F37" s="135" t="s">
        <v>2</v>
      </c>
      <c r="G37" s="9" t="s">
        <v>50</v>
      </c>
      <c r="H37" s="9">
        <f>_xlfn.IFNA(INDEX('Final allowances'!$F$5:$H$16,MATCH(F_Interface!$A37,'Final allowances'!$B$5:$B$16,0),MATCH(F_Interface!$E37,'Final allowances'!$F$5:$H$5,0))/5, 0 )</f>
        <v>182.72866457261219</v>
      </c>
      <c r="I37" s="9">
        <f>_xlfn.IFNA(INDEX('Final allowances'!$F$5:$H$16,MATCH(F_Interface!$A37,'Final allowances'!$B$5:$B$16,0),MATCH(F_Interface!$E37,'Final allowances'!$F$5:$H$5,0))/5, 0 )</f>
        <v>182.72866457261219</v>
      </c>
      <c r="J37" s="9">
        <f>_xlfn.IFNA(INDEX('Final allowances'!$F$5:$H$16,MATCH(F_Interface!$A37,'Final allowances'!$B$5:$B$16,0),MATCH(F_Interface!$E37,'Final allowances'!$F$5:$H$5,0))/5, 0 )</f>
        <v>182.72866457261219</v>
      </c>
      <c r="K37" s="9">
        <f>_xlfn.IFNA(INDEX('Final allowances'!$F$5:$H$16,MATCH(F_Interface!$A37,'Final allowances'!$B$5:$B$16,0),MATCH(F_Interface!$E37,'Final allowances'!$F$5:$H$5,0))/5, 0 )</f>
        <v>182.72866457261219</v>
      </c>
      <c r="L37" s="9">
        <f>_xlfn.IFNA(INDEX('Final allowances'!$F$5:$H$16,MATCH(F_Interface!$A37,'Final allowances'!$B$5:$B$16,0),MATCH(F_Interface!$E37,'Final allowances'!$F$5:$H$5,0))/5, 0 )</f>
        <v>182.72866457261219</v>
      </c>
    </row>
    <row r="38" spans="1:12" x14ac:dyDescent="0.2">
      <c r="A38" s="10" t="s">
        <v>9</v>
      </c>
      <c r="B38" s="10" t="s">
        <v>275</v>
      </c>
      <c r="C38" s="10" t="str">
        <f t="shared" si="0"/>
        <v>TMSC_WWW_PR19CA008</v>
      </c>
      <c r="D38" s="9" t="s">
        <v>250</v>
      </c>
      <c r="E38" s="9" t="s">
        <v>124</v>
      </c>
      <c r="F38" s="135" t="s">
        <v>2</v>
      </c>
      <c r="G38" s="9" t="s">
        <v>50</v>
      </c>
      <c r="H38" s="9">
        <f>_xlfn.IFNA(INDEX('Final allowances'!$F$5:$H$16,MATCH(F_Interface!$A38,'Final allowances'!$B$5:$B$16,0),MATCH(F_Interface!$E38,'Final allowances'!$F$5:$H$5,0))/5, 0 )</f>
        <v>869.19307301688821</v>
      </c>
      <c r="I38" s="9">
        <f>_xlfn.IFNA(INDEX('Final allowances'!$F$5:$H$16,MATCH(F_Interface!$A38,'Final allowances'!$B$5:$B$16,0),MATCH(F_Interface!$E38,'Final allowances'!$F$5:$H$5,0))/5, 0 )</f>
        <v>869.19307301688821</v>
      </c>
      <c r="J38" s="9">
        <f>_xlfn.IFNA(INDEX('Final allowances'!$F$5:$H$16,MATCH(F_Interface!$A38,'Final allowances'!$B$5:$B$16,0),MATCH(F_Interface!$E38,'Final allowances'!$F$5:$H$5,0))/5, 0 )</f>
        <v>869.19307301688821</v>
      </c>
      <c r="K38" s="9">
        <f>_xlfn.IFNA(INDEX('Final allowances'!$F$5:$H$16,MATCH(F_Interface!$A38,'Final allowances'!$B$5:$B$16,0),MATCH(F_Interface!$E38,'Final allowances'!$F$5:$H$5,0))/5, 0 )</f>
        <v>869.19307301688821</v>
      </c>
      <c r="L38" s="9">
        <f>_xlfn.IFNA(INDEX('Final allowances'!$F$5:$H$16,MATCH(F_Interface!$A38,'Final allowances'!$B$5:$B$16,0),MATCH(F_Interface!$E38,'Final allowances'!$F$5:$H$5,0))/5, 0 )</f>
        <v>869.19307301688821</v>
      </c>
    </row>
    <row r="39" spans="1:12" x14ac:dyDescent="0.2">
      <c r="A39" s="10" t="s">
        <v>15</v>
      </c>
      <c r="B39" s="10" t="s">
        <v>275</v>
      </c>
      <c r="C39" s="10" t="str">
        <f t="shared" si="0"/>
        <v>WSHC_WWW_PR19CA008</v>
      </c>
      <c r="D39" s="9" t="s">
        <v>250</v>
      </c>
      <c r="E39" s="9" t="s">
        <v>124</v>
      </c>
      <c r="F39" s="135" t="s">
        <v>2</v>
      </c>
      <c r="G39" s="9" t="s">
        <v>50</v>
      </c>
      <c r="H39" s="9">
        <f>_xlfn.IFNA(INDEX('Final allowances'!$F$5:$H$16,MATCH(F_Interface!$A39,'Final allowances'!$B$5:$B$16,0),MATCH(F_Interface!$E39,'Final allowances'!$F$5:$H$5,0))/5, 0 )</f>
        <v>279.24593850350612</v>
      </c>
      <c r="I39" s="9">
        <f>_xlfn.IFNA(INDEX('Final allowances'!$F$5:$H$16,MATCH(F_Interface!$A39,'Final allowances'!$B$5:$B$16,0),MATCH(F_Interface!$E39,'Final allowances'!$F$5:$H$5,0))/5, 0 )</f>
        <v>279.24593850350612</v>
      </c>
      <c r="J39" s="9">
        <f>_xlfn.IFNA(INDEX('Final allowances'!$F$5:$H$16,MATCH(F_Interface!$A39,'Final allowances'!$B$5:$B$16,0),MATCH(F_Interface!$E39,'Final allowances'!$F$5:$H$5,0))/5, 0 )</f>
        <v>279.24593850350612</v>
      </c>
      <c r="K39" s="9">
        <f>_xlfn.IFNA(INDEX('Final allowances'!$F$5:$H$16,MATCH(F_Interface!$A39,'Final allowances'!$B$5:$B$16,0),MATCH(F_Interface!$E39,'Final allowances'!$F$5:$H$5,0))/5, 0 )</f>
        <v>279.24593850350612</v>
      </c>
      <c r="L39" s="9">
        <f>_xlfn.IFNA(INDEX('Final allowances'!$F$5:$H$16,MATCH(F_Interface!$A39,'Final allowances'!$B$5:$B$16,0),MATCH(F_Interface!$E39,'Final allowances'!$F$5:$H$5,0))/5, 0 )</f>
        <v>279.24593850350612</v>
      </c>
    </row>
    <row r="40" spans="1:12" x14ac:dyDescent="0.2">
      <c r="A40" s="10" t="s">
        <v>10</v>
      </c>
      <c r="B40" s="10" t="s">
        <v>275</v>
      </c>
      <c r="C40" s="10" t="str">
        <f t="shared" si="0"/>
        <v>WSXC_WWW_PR19CA008</v>
      </c>
      <c r="D40" s="9" t="s">
        <v>250</v>
      </c>
      <c r="E40" s="9" t="s">
        <v>124</v>
      </c>
      <c r="F40" s="135" t="s">
        <v>2</v>
      </c>
      <c r="G40" s="9" t="s">
        <v>50</v>
      </c>
      <c r="H40" s="9">
        <f>_xlfn.IFNA(INDEX('Final allowances'!$F$5:$H$16,MATCH(F_Interface!$A40,'Final allowances'!$B$5:$B$16,0),MATCH(F_Interface!$E40,'Final allowances'!$F$5:$H$5,0))/5, 0 )</f>
        <v>274.85139161214335</v>
      </c>
      <c r="I40" s="9">
        <f>_xlfn.IFNA(INDEX('Final allowances'!$F$5:$H$16,MATCH(F_Interface!$A40,'Final allowances'!$B$5:$B$16,0),MATCH(F_Interface!$E40,'Final allowances'!$F$5:$H$5,0))/5, 0 )</f>
        <v>274.85139161214335</v>
      </c>
      <c r="J40" s="9">
        <f>_xlfn.IFNA(INDEX('Final allowances'!$F$5:$H$16,MATCH(F_Interface!$A40,'Final allowances'!$B$5:$B$16,0),MATCH(F_Interface!$E40,'Final allowances'!$F$5:$H$5,0))/5, 0 )</f>
        <v>274.85139161214335</v>
      </c>
      <c r="K40" s="9">
        <f>_xlfn.IFNA(INDEX('Final allowances'!$F$5:$H$16,MATCH(F_Interface!$A40,'Final allowances'!$B$5:$B$16,0),MATCH(F_Interface!$E40,'Final allowances'!$F$5:$H$5,0))/5, 0 )</f>
        <v>274.85139161214335</v>
      </c>
      <c r="L40" s="9">
        <f>_xlfn.IFNA(INDEX('Final allowances'!$F$5:$H$16,MATCH(F_Interface!$A40,'Final allowances'!$B$5:$B$16,0),MATCH(F_Interface!$E40,'Final allowances'!$F$5:$H$5,0))/5, 0 )</f>
        <v>274.85139161214335</v>
      </c>
    </row>
    <row r="41" spans="1:12" x14ac:dyDescent="0.2">
      <c r="A41" s="10" t="s">
        <v>11</v>
      </c>
      <c r="B41" s="10" t="s">
        <v>275</v>
      </c>
      <c r="C41" s="10" t="str">
        <f t="shared" si="0"/>
        <v>YKYC_WWW_PR19CA008</v>
      </c>
      <c r="D41" s="9" t="s">
        <v>250</v>
      </c>
      <c r="E41" s="9" t="s">
        <v>124</v>
      </c>
      <c r="F41" s="135" t="s">
        <v>2</v>
      </c>
      <c r="G41" s="9" t="s">
        <v>50</v>
      </c>
      <c r="H41" s="9">
        <f>_xlfn.IFNA(INDEX('Final allowances'!$F$5:$H$16,MATCH(F_Interface!$A41,'Final allowances'!$B$5:$B$16,0),MATCH(F_Interface!$E41,'Final allowances'!$F$5:$H$5,0))/5, 0 )</f>
        <v>462.90742456412482</v>
      </c>
      <c r="I41" s="9">
        <f>_xlfn.IFNA(INDEX('Final allowances'!$F$5:$H$16,MATCH(F_Interface!$A41,'Final allowances'!$B$5:$B$16,0),MATCH(F_Interface!$E41,'Final allowances'!$F$5:$H$5,0))/5, 0 )</f>
        <v>462.90742456412482</v>
      </c>
      <c r="J41" s="9">
        <f>_xlfn.IFNA(INDEX('Final allowances'!$F$5:$H$16,MATCH(F_Interface!$A41,'Final allowances'!$B$5:$B$16,0),MATCH(F_Interface!$E41,'Final allowances'!$F$5:$H$5,0))/5, 0 )</f>
        <v>462.90742456412482</v>
      </c>
      <c r="K41" s="9">
        <f>_xlfn.IFNA(INDEX('Final allowances'!$F$5:$H$16,MATCH(F_Interface!$A41,'Final allowances'!$B$5:$B$16,0),MATCH(F_Interface!$E41,'Final allowances'!$F$5:$H$5,0))/5, 0 )</f>
        <v>462.90742456412482</v>
      </c>
      <c r="L41" s="9">
        <f>_xlfn.IFNA(INDEX('Final allowances'!$F$5:$H$16,MATCH(F_Interface!$A41,'Final allowances'!$B$5:$B$16,0),MATCH(F_Interface!$E41,'Final allowances'!$F$5:$H$5,0))/5, 0 )</f>
        <v>462.90742456412482</v>
      </c>
    </row>
    <row r="42" spans="1:12" x14ac:dyDescent="0.2">
      <c r="A42" s="10" t="s">
        <v>4</v>
      </c>
      <c r="B42" s="10" t="s">
        <v>133</v>
      </c>
      <c r="C42" s="10" t="str">
        <f t="shared" si="0"/>
        <v>ANHC_BN1178_PR19CA008</v>
      </c>
      <c r="D42" s="9" t="s">
        <v>53</v>
      </c>
      <c r="E42" s="9" t="s">
        <v>108</v>
      </c>
      <c r="F42" s="135" t="s">
        <v>3</v>
      </c>
      <c r="G42" s="9" t="s">
        <v>50</v>
      </c>
      <c r="H42" s="9">
        <f>_xlfn.IFNA(INDEX('Forecast drivers'!$O$5:$Y$57, MATCH(F_Interface!$A42&amp;RIGHT(F_Interface!H$2, 2),'Forecast drivers'!$A$5:$A$57, 0), MATCH(F_Interface!$D42,'Forecast drivers'!$O$5:$Y$5, 0)),0)</f>
        <v>2824823.8187854723</v>
      </c>
      <c r="I42" s="9">
        <f>_xlfn.IFNA(INDEX('Forecast drivers'!$O$5:$Y$57, MATCH(F_Interface!$A42&amp;RIGHT(F_Interface!I$2, 2),'Forecast drivers'!$A$5:$A$57, 0), MATCH(F_Interface!$D42,'Forecast drivers'!$O$5:$Y$5, 0)),0)</f>
        <v>2845915.4717195905</v>
      </c>
      <c r="J42" s="9">
        <f>_xlfn.IFNA(INDEX('Forecast drivers'!$O$5:$Y$57, MATCH(F_Interface!$A42&amp;RIGHT(F_Interface!J$2, 2),'Forecast drivers'!$A$5:$A$57, 0), MATCH(F_Interface!$D42,'Forecast drivers'!$O$5:$Y$5, 0)),0)</f>
        <v>2871408.4280689699</v>
      </c>
      <c r="K42" s="9">
        <f>_xlfn.IFNA(INDEX('Forecast drivers'!$O$5:$Y$57, MATCH(F_Interface!$A42&amp;RIGHT(F_Interface!K$2, 2),'Forecast drivers'!$A$5:$A$57, 0), MATCH(F_Interface!$D42,'Forecast drivers'!$O$5:$Y$5, 0)),0)</f>
        <v>2895916.781835102</v>
      </c>
      <c r="L42" s="9">
        <f>_xlfn.IFNA(INDEX('Forecast drivers'!$O$5:$Y$57, MATCH(F_Interface!$A42&amp;RIGHT(F_Interface!L$2, 2),'Forecast drivers'!$A$5:$A$57, 0), MATCH(F_Interface!$D42,'Forecast drivers'!$O$5:$Y$5, 0)),0)</f>
        <v>2920356.3155595921</v>
      </c>
    </row>
    <row r="43" spans="1:12" x14ac:dyDescent="0.2">
      <c r="A43" s="10" t="s">
        <v>87</v>
      </c>
      <c r="B43" s="10" t="s">
        <v>133</v>
      </c>
      <c r="C43" s="10" t="str">
        <f t="shared" si="0"/>
        <v>HDDC_BN1178_PR19CA008</v>
      </c>
      <c r="D43" s="9" t="s">
        <v>53</v>
      </c>
      <c r="E43" s="9" t="s">
        <v>108</v>
      </c>
      <c r="F43" s="135" t="s">
        <v>3</v>
      </c>
      <c r="G43" s="9" t="s">
        <v>50</v>
      </c>
      <c r="H43" s="9">
        <f>_xlfn.IFNA(INDEX('Forecast drivers'!$O$5:$Y$57, MATCH(F_Interface!$A43&amp;RIGHT(F_Interface!H$2, 2),'Forecast drivers'!$A$5:$A$57, 0), MATCH(F_Interface!$D43,'Forecast drivers'!$O$5:$Y$5, 0)),0)</f>
        <v>0</v>
      </c>
      <c r="I43" s="9">
        <f>_xlfn.IFNA(INDEX('Forecast drivers'!$O$5:$Y$57, MATCH(F_Interface!$A43&amp;RIGHT(F_Interface!I$2, 2),'Forecast drivers'!$A$5:$A$57, 0), MATCH(F_Interface!$D43,'Forecast drivers'!$O$5:$Y$5, 0)),0)</f>
        <v>0</v>
      </c>
      <c r="J43" s="9">
        <f>_xlfn.IFNA(INDEX('Forecast drivers'!$O$5:$Y$57, MATCH(F_Interface!$A43&amp;RIGHT(F_Interface!J$2, 2),'Forecast drivers'!$A$5:$A$57, 0), MATCH(F_Interface!$D43,'Forecast drivers'!$O$5:$Y$5, 0)),0)</f>
        <v>0</v>
      </c>
      <c r="K43" s="9">
        <f>_xlfn.IFNA(INDEX('Forecast drivers'!$O$5:$Y$57, MATCH(F_Interface!$A43&amp;RIGHT(F_Interface!K$2, 2),'Forecast drivers'!$A$5:$A$57, 0), MATCH(F_Interface!$D43,'Forecast drivers'!$O$5:$Y$5, 0)),0)</f>
        <v>0</v>
      </c>
      <c r="L43" s="9">
        <f>_xlfn.IFNA(INDEX('Forecast drivers'!$O$5:$Y$57, MATCH(F_Interface!$A43&amp;RIGHT(F_Interface!L$2, 2),'Forecast drivers'!$A$5:$A$57, 0), MATCH(F_Interface!$D43,'Forecast drivers'!$O$5:$Y$5, 0)),0)</f>
        <v>0</v>
      </c>
    </row>
    <row r="44" spans="1:12" x14ac:dyDescent="0.2">
      <c r="A44" s="10" t="s">
        <v>5</v>
      </c>
      <c r="B44" s="10" t="s">
        <v>133</v>
      </c>
      <c r="C44" s="10" t="str">
        <f t="shared" si="0"/>
        <v>NESC_BN1178_PR19CA008</v>
      </c>
      <c r="D44" s="9" t="s">
        <v>53</v>
      </c>
      <c r="E44" s="9" t="s">
        <v>108</v>
      </c>
      <c r="F44" s="135" t="s">
        <v>3</v>
      </c>
      <c r="G44" s="9" t="s">
        <v>50</v>
      </c>
      <c r="H44" s="9">
        <f>_xlfn.IFNA(INDEX('Forecast drivers'!$O$5:$Y$57, MATCH(F_Interface!$A44&amp;RIGHT(F_Interface!H$2, 2),'Forecast drivers'!$A$5:$A$57, 0), MATCH(F_Interface!$D44,'Forecast drivers'!$O$5:$Y$5, 0)),0)</f>
        <v>1279164.8458062401</v>
      </c>
      <c r="I44" s="9">
        <f>_xlfn.IFNA(INDEX('Forecast drivers'!$O$5:$Y$57, MATCH(F_Interface!$A44&amp;RIGHT(F_Interface!I$2, 2),'Forecast drivers'!$A$5:$A$57, 0), MATCH(F_Interface!$D44,'Forecast drivers'!$O$5:$Y$5, 0)),0)</f>
        <v>1283335.0893533998</v>
      </c>
      <c r="J44" s="9">
        <f>_xlfn.IFNA(INDEX('Forecast drivers'!$O$5:$Y$57, MATCH(F_Interface!$A44&amp;RIGHT(F_Interface!J$2, 2),'Forecast drivers'!$A$5:$A$57, 0), MATCH(F_Interface!$D44,'Forecast drivers'!$O$5:$Y$5, 0)),0)</f>
        <v>1287704.1743502081</v>
      </c>
      <c r="K44" s="9">
        <f>_xlfn.IFNA(INDEX('Forecast drivers'!$O$5:$Y$57, MATCH(F_Interface!$A44&amp;RIGHT(F_Interface!K$2, 2),'Forecast drivers'!$A$5:$A$57, 0), MATCH(F_Interface!$D44,'Forecast drivers'!$O$5:$Y$5, 0)),0)</f>
        <v>1291656.9079273373</v>
      </c>
      <c r="L44" s="9">
        <f>_xlfn.IFNA(INDEX('Forecast drivers'!$O$5:$Y$57, MATCH(F_Interface!$A44&amp;RIGHT(F_Interface!L$2, 2),'Forecast drivers'!$A$5:$A$57, 0), MATCH(F_Interface!$D44,'Forecast drivers'!$O$5:$Y$5, 0)),0)</f>
        <v>1295638.7296641313</v>
      </c>
    </row>
    <row r="45" spans="1:12" x14ac:dyDescent="0.2">
      <c r="A45" s="10" t="s">
        <v>6</v>
      </c>
      <c r="B45" s="10" t="s">
        <v>133</v>
      </c>
      <c r="C45" s="10" t="str">
        <f t="shared" si="0"/>
        <v>NWTC_BN1178_PR19CA008</v>
      </c>
      <c r="D45" s="9" t="s">
        <v>53</v>
      </c>
      <c r="E45" s="9" t="s">
        <v>108</v>
      </c>
      <c r="F45" s="135" t="s">
        <v>3</v>
      </c>
      <c r="G45" s="137"/>
      <c r="H45" s="9">
        <f>_xlfn.IFNA(INDEX('Forecast drivers'!$O$5:$Y$57, MATCH(F_Interface!$A45&amp;RIGHT(F_Interface!H$2, 2),'Forecast drivers'!$A$5:$A$57, 0), MATCH(F_Interface!$D45,'Forecast drivers'!$O$5:$Y$5, 0)),0)</f>
        <v>3366928.5898701944</v>
      </c>
      <c r="I45" s="9">
        <f>_xlfn.IFNA(INDEX('Forecast drivers'!$O$5:$Y$57, MATCH(F_Interface!$A45&amp;RIGHT(F_Interface!I$2, 2),'Forecast drivers'!$A$5:$A$57, 0), MATCH(F_Interface!$D45,'Forecast drivers'!$O$5:$Y$5, 0)),0)</f>
        <v>3381890.6157322037</v>
      </c>
      <c r="J45" s="9">
        <f>_xlfn.IFNA(INDEX('Forecast drivers'!$O$5:$Y$57, MATCH(F_Interface!$A45&amp;RIGHT(F_Interface!J$2, 2),'Forecast drivers'!$A$5:$A$57, 0), MATCH(F_Interface!$D45,'Forecast drivers'!$O$5:$Y$5, 0)),0)</f>
        <v>3398252.275455635</v>
      </c>
      <c r="K45" s="9">
        <f>_xlfn.IFNA(INDEX('Forecast drivers'!$O$5:$Y$57, MATCH(F_Interface!$A45&amp;RIGHT(F_Interface!K$2, 2),'Forecast drivers'!$A$5:$A$57, 0), MATCH(F_Interface!$D45,'Forecast drivers'!$O$5:$Y$5, 0)),0)</f>
        <v>3413223.0961790946</v>
      </c>
      <c r="L45" s="9">
        <f>_xlfn.IFNA(INDEX('Forecast drivers'!$O$5:$Y$57, MATCH(F_Interface!$A45&amp;RIGHT(F_Interface!L$2, 2),'Forecast drivers'!$A$5:$A$57, 0), MATCH(F_Interface!$D45,'Forecast drivers'!$O$5:$Y$5, 0)),0)</f>
        <v>3427882.0185167985</v>
      </c>
    </row>
    <row r="46" spans="1:12" x14ac:dyDescent="0.2">
      <c r="A46" s="10" t="s">
        <v>7</v>
      </c>
      <c r="B46" s="10" t="s">
        <v>133</v>
      </c>
      <c r="C46" s="10" t="str">
        <f t="shared" si="0"/>
        <v>SRNC_BN1178_PR19CA008</v>
      </c>
      <c r="D46" s="9" t="s">
        <v>53</v>
      </c>
      <c r="E46" s="9" t="s">
        <v>108</v>
      </c>
      <c r="F46" s="135" t="s">
        <v>3</v>
      </c>
      <c r="G46" s="9" t="s">
        <v>50</v>
      </c>
      <c r="H46" s="9">
        <f>_xlfn.IFNA(INDEX('Forecast drivers'!$O$5:$Y$57, MATCH(F_Interface!$A46&amp;RIGHT(F_Interface!H$2, 2),'Forecast drivers'!$A$5:$A$57, 0), MATCH(F_Interface!$D46,'Forecast drivers'!$O$5:$Y$5, 0)),0)</f>
        <v>2024415.0134960737</v>
      </c>
      <c r="I46" s="9">
        <f>_xlfn.IFNA(INDEX('Forecast drivers'!$O$5:$Y$57, MATCH(F_Interface!$A46&amp;RIGHT(F_Interface!I$2, 2),'Forecast drivers'!$A$5:$A$57, 0), MATCH(F_Interface!$D46,'Forecast drivers'!$O$5:$Y$5, 0)),0)</f>
        <v>2040041.8751808601</v>
      </c>
      <c r="J46" s="9">
        <f>_xlfn.IFNA(INDEX('Forecast drivers'!$O$5:$Y$57, MATCH(F_Interface!$A46&amp;RIGHT(F_Interface!J$2, 2),'Forecast drivers'!$A$5:$A$57, 0), MATCH(F_Interface!$D46,'Forecast drivers'!$O$5:$Y$5, 0)),0)</f>
        <v>2058648.1450500558</v>
      </c>
      <c r="K46" s="9">
        <f>_xlfn.IFNA(INDEX('Forecast drivers'!$O$5:$Y$57, MATCH(F_Interface!$A46&amp;RIGHT(F_Interface!K$2, 2),'Forecast drivers'!$A$5:$A$57, 0), MATCH(F_Interface!$D46,'Forecast drivers'!$O$5:$Y$5, 0)),0)</f>
        <v>2076822.6995332502</v>
      </c>
      <c r="L46" s="9">
        <f>_xlfn.IFNA(INDEX('Forecast drivers'!$O$5:$Y$57, MATCH(F_Interface!$A46&amp;RIGHT(F_Interface!L$2, 2),'Forecast drivers'!$A$5:$A$57, 0), MATCH(F_Interface!$D46,'Forecast drivers'!$O$5:$Y$5, 0)),0)</f>
        <v>2095120.3150287243</v>
      </c>
    </row>
    <row r="47" spans="1:12" x14ac:dyDescent="0.2">
      <c r="A47" s="10" t="s">
        <v>116</v>
      </c>
      <c r="B47" s="10" t="s">
        <v>133</v>
      </c>
      <c r="C47" s="10" t="str">
        <f t="shared" si="0"/>
        <v>SVEC_BN1178_PR19CA008</v>
      </c>
      <c r="D47" s="9" t="s">
        <v>53</v>
      </c>
      <c r="E47" s="9" t="s">
        <v>108</v>
      </c>
      <c r="F47" s="135" t="s">
        <v>3</v>
      </c>
      <c r="G47" s="9" t="s">
        <v>50</v>
      </c>
      <c r="H47" s="9">
        <f>_xlfn.IFNA(INDEX('Forecast drivers'!$O$5:$Y$57, MATCH(F_Interface!$A47&amp;RIGHT(F_Interface!H$2, 2),'Forecast drivers'!$A$5:$A$57, 0), MATCH(F_Interface!$D47,'Forecast drivers'!$O$5:$Y$5, 0)),0)</f>
        <v>0</v>
      </c>
      <c r="I47" s="9">
        <f>_xlfn.IFNA(INDEX('Forecast drivers'!$O$5:$Y$57, MATCH(F_Interface!$A47&amp;RIGHT(F_Interface!I$2, 2),'Forecast drivers'!$A$5:$A$57, 0), MATCH(F_Interface!$D47,'Forecast drivers'!$O$5:$Y$5, 0)),0)</f>
        <v>0</v>
      </c>
      <c r="J47" s="9">
        <f>_xlfn.IFNA(INDEX('Forecast drivers'!$O$5:$Y$57, MATCH(F_Interface!$A47&amp;RIGHT(F_Interface!J$2, 2),'Forecast drivers'!$A$5:$A$57, 0), MATCH(F_Interface!$D47,'Forecast drivers'!$O$5:$Y$5, 0)),0)</f>
        <v>0</v>
      </c>
      <c r="K47" s="9">
        <f>_xlfn.IFNA(INDEX('Forecast drivers'!$O$5:$Y$57, MATCH(F_Interface!$A47&amp;RIGHT(F_Interface!K$2, 2),'Forecast drivers'!$A$5:$A$57, 0), MATCH(F_Interface!$D47,'Forecast drivers'!$O$5:$Y$5, 0)),0)</f>
        <v>0</v>
      </c>
      <c r="L47" s="9">
        <f>_xlfn.IFNA(INDEX('Forecast drivers'!$O$5:$Y$57, MATCH(F_Interface!$A47&amp;RIGHT(F_Interface!L$2, 2),'Forecast drivers'!$A$5:$A$57, 0), MATCH(F_Interface!$D47,'Forecast drivers'!$O$5:$Y$5, 0)),0)</f>
        <v>0</v>
      </c>
    </row>
    <row r="48" spans="1:12" x14ac:dyDescent="0.2">
      <c r="A48" s="10" t="s">
        <v>101</v>
      </c>
      <c r="B48" s="10" t="s">
        <v>133</v>
      </c>
      <c r="C48" s="10" t="str">
        <f t="shared" si="0"/>
        <v>SVHC_BN1178_PR19CA008</v>
      </c>
      <c r="D48" s="9" t="s">
        <v>53</v>
      </c>
      <c r="E48" s="9" t="s">
        <v>108</v>
      </c>
      <c r="F48" s="135" t="s">
        <v>3</v>
      </c>
      <c r="G48" s="9" t="s">
        <v>50</v>
      </c>
      <c r="H48" s="9">
        <f>_xlfn.IFNA(INDEX('Forecast drivers'!$O$5:$Y$57, MATCH(F_Interface!$A48&amp;RIGHT(F_Interface!H$2, 2),'Forecast drivers'!$A$5:$A$57, 0), MATCH(F_Interface!$D48,'Forecast drivers'!$O$5:$Y$5, 0)),0)</f>
        <v>4211445.0856710766</v>
      </c>
      <c r="I48" s="9">
        <f>_xlfn.IFNA(INDEX('Forecast drivers'!$O$5:$Y$57, MATCH(F_Interface!$A48&amp;RIGHT(F_Interface!I$2, 2),'Forecast drivers'!$A$5:$A$57, 0), MATCH(F_Interface!$D48,'Forecast drivers'!$O$5:$Y$5, 0)),0)</f>
        <v>4235279.8996635843</v>
      </c>
      <c r="J48" s="9">
        <f>_xlfn.IFNA(INDEX('Forecast drivers'!$O$5:$Y$57, MATCH(F_Interface!$A48&amp;RIGHT(F_Interface!J$2, 2),'Forecast drivers'!$A$5:$A$57, 0), MATCH(F_Interface!$D48,'Forecast drivers'!$O$5:$Y$5, 0)),0)</f>
        <v>4264524.4990053354</v>
      </c>
      <c r="K48" s="9">
        <f>_xlfn.IFNA(INDEX('Forecast drivers'!$O$5:$Y$57, MATCH(F_Interface!$A48&amp;RIGHT(F_Interface!K$2, 2),'Forecast drivers'!$A$5:$A$57, 0), MATCH(F_Interface!$D48,'Forecast drivers'!$O$5:$Y$5, 0)),0)</f>
        <v>4292906.8502070792</v>
      </c>
      <c r="L48" s="9">
        <f>_xlfn.IFNA(INDEX('Forecast drivers'!$O$5:$Y$57, MATCH(F_Interface!$A48&amp;RIGHT(F_Interface!L$2, 2),'Forecast drivers'!$A$5:$A$57, 0), MATCH(F_Interface!$D48,'Forecast drivers'!$O$5:$Y$5, 0)),0)</f>
        <v>4321620.1150825452</v>
      </c>
    </row>
    <row r="49" spans="1:12" x14ac:dyDescent="0.2">
      <c r="A49" s="10" t="s">
        <v>8</v>
      </c>
      <c r="B49" s="10" t="s">
        <v>133</v>
      </c>
      <c r="C49" s="10" t="str">
        <f t="shared" si="0"/>
        <v>SVTC_BN1178_PR19CA008</v>
      </c>
      <c r="D49" s="9" t="s">
        <v>53</v>
      </c>
      <c r="E49" s="9" t="s">
        <v>108</v>
      </c>
      <c r="F49" s="135" t="s">
        <v>3</v>
      </c>
      <c r="G49" s="9" t="s">
        <v>50</v>
      </c>
      <c r="H49" s="9">
        <f>_xlfn.IFNA(INDEX('Forecast drivers'!$O$5:$Y$57, MATCH(F_Interface!$A49&amp;RIGHT(F_Interface!H$2, 2),'Forecast drivers'!$A$5:$A$57, 0), MATCH(F_Interface!$D49,'Forecast drivers'!$O$5:$Y$5, 0)),0)</f>
        <v>0</v>
      </c>
      <c r="I49" s="9">
        <f>_xlfn.IFNA(INDEX('Forecast drivers'!$O$5:$Y$57, MATCH(F_Interface!$A49&amp;RIGHT(F_Interface!I$2, 2),'Forecast drivers'!$A$5:$A$57, 0), MATCH(F_Interface!$D49,'Forecast drivers'!$O$5:$Y$5, 0)),0)</f>
        <v>0</v>
      </c>
      <c r="J49" s="9">
        <f>_xlfn.IFNA(INDEX('Forecast drivers'!$O$5:$Y$57, MATCH(F_Interface!$A49&amp;RIGHT(F_Interface!J$2, 2),'Forecast drivers'!$A$5:$A$57, 0), MATCH(F_Interface!$D49,'Forecast drivers'!$O$5:$Y$5, 0)),0)</f>
        <v>0</v>
      </c>
      <c r="K49" s="9">
        <f>_xlfn.IFNA(INDEX('Forecast drivers'!$O$5:$Y$57, MATCH(F_Interface!$A49&amp;RIGHT(F_Interface!K$2, 2),'Forecast drivers'!$A$5:$A$57, 0), MATCH(F_Interface!$D49,'Forecast drivers'!$O$5:$Y$5, 0)),0)</f>
        <v>0</v>
      </c>
      <c r="L49" s="9">
        <f>_xlfn.IFNA(INDEX('Forecast drivers'!$O$5:$Y$57, MATCH(F_Interface!$A49&amp;RIGHT(F_Interface!L$2, 2),'Forecast drivers'!$A$5:$A$57, 0), MATCH(F_Interface!$D49,'Forecast drivers'!$O$5:$Y$5, 0)),0)</f>
        <v>0</v>
      </c>
    </row>
    <row r="50" spans="1:12" x14ac:dyDescent="0.2">
      <c r="A50" s="10" t="s">
        <v>12</v>
      </c>
      <c r="B50" s="10" t="s">
        <v>133</v>
      </c>
      <c r="C50" s="10" t="str">
        <f t="shared" si="0"/>
        <v>SWBC_BN1178_PR19CA008</v>
      </c>
      <c r="D50" s="9" t="s">
        <v>53</v>
      </c>
      <c r="E50" s="9" t="s">
        <v>108</v>
      </c>
      <c r="F50" s="135" t="s">
        <v>3</v>
      </c>
      <c r="G50" s="9" t="s">
        <v>50</v>
      </c>
      <c r="H50" s="9">
        <f>_xlfn.IFNA(INDEX('Forecast drivers'!$O$5:$Y$57, MATCH(F_Interface!$A50&amp;RIGHT(F_Interface!H$2, 2),'Forecast drivers'!$A$5:$A$57, 0), MATCH(F_Interface!$D50,'Forecast drivers'!$O$5:$Y$5, 0)),0)</f>
        <v>761718.91068937129</v>
      </c>
      <c r="I50" s="9">
        <f>_xlfn.IFNA(INDEX('Forecast drivers'!$O$5:$Y$57, MATCH(F_Interface!$A50&amp;RIGHT(F_Interface!I$2, 2),'Forecast drivers'!$A$5:$A$57, 0), MATCH(F_Interface!$D50,'Forecast drivers'!$O$5:$Y$5, 0)),0)</f>
        <v>766423.87035902846</v>
      </c>
      <c r="J50" s="9">
        <f>_xlfn.IFNA(INDEX('Forecast drivers'!$O$5:$Y$57, MATCH(F_Interface!$A50&amp;RIGHT(F_Interface!J$2, 2),'Forecast drivers'!$A$5:$A$57, 0), MATCH(F_Interface!$D50,'Forecast drivers'!$O$5:$Y$5, 0)),0)</f>
        <v>772219.78036698489</v>
      </c>
      <c r="K50" s="9">
        <f>_xlfn.IFNA(INDEX('Forecast drivers'!$O$5:$Y$57, MATCH(F_Interface!$A50&amp;RIGHT(F_Interface!K$2, 2),'Forecast drivers'!$A$5:$A$57, 0), MATCH(F_Interface!$D50,'Forecast drivers'!$O$5:$Y$5, 0)),0)</f>
        <v>777968.59510713012</v>
      </c>
      <c r="L50" s="9">
        <f>_xlfn.IFNA(INDEX('Forecast drivers'!$O$5:$Y$57, MATCH(F_Interface!$A50&amp;RIGHT(F_Interface!L$2, 2),'Forecast drivers'!$A$5:$A$57, 0), MATCH(F_Interface!$D50,'Forecast drivers'!$O$5:$Y$5, 0)),0)</f>
        <v>783716.72232511721</v>
      </c>
    </row>
    <row r="51" spans="1:12" x14ac:dyDescent="0.2">
      <c r="A51" s="10" t="s">
        <v>9</v>
      </c>
      <c r="B51" s="10" t="s">
        <v>133</v>
      </c>
      <c r="C51" s="10" t="str">
        <f t="shared" si="0"/>
        <v>TMSC_BN1178_PR19CA008</v>
      </c>
      <c r="D51" s="9" t="s">
        <v>53</v>
      </c>
      <c r="E51" s="9" t="s">
        <v>108</v>
      </c>
      <c r="F51" s="135" t="s">
        <v>3</v>
      </c>
      <c r="G51" s="9" t="s">
        <v>50</v>
      </c>
      <c r="H51" s="9">
        <f>_xlfn.IFNA(INDEX('Forecast drivers'!$O$5:$Y$57, MATCH(F_Interface!$A51&amp;RIGHT(F_Interface!H$2, 2),'Forecast drivers'!$A$5:$A$57, 0), MATCH(F_Interface!$D51,'Forecast drivers'!$O$5:$Y$5, 0)),0)</f>
        <v>5983399.6942650778</v>
      </c>
      <c r="I51" s="9">
        <f>_xlfn.IFNA(INDEX('Forecast drivers'!$O$5:$Y$57, MATCH(F_Interface!$A51&amp;RIGHT(F_Interface!I$2, 2),'Forecast drivers'!$A$5:$A$57, 0), MATCH(F_Interface!$D51,'Forecast drivers'!$O$5:$Y$5, 0)),0)</f>
        <v>6025664.2908583209</v>
      </c>
      <c r="J51" s="9">
        <f>_xlfn.IFNA(INDEX('Forecast drivers'!$O$5:$Y$57, MATCH(F_Interface!$A51&amp;RIGHT(F_Interface!J$2, 2),'Forecast drivers'!$A$5:$A$57, 0), MATCH(F_Interface!$D51,'Forecast drivers'!$O$5:$Y$5, 0)),0)</f>
        <v>6084918.5889128782</v>
      </c>
      <c r="K51" s="9">
        <f>_xlfn.IFNA(INDEX('Forecast drivers'!$O$5:$Y$57, MATCH(F_Interface!$A51&amp;RIGHT(F_Interface!K$2, 2),'Forecast drivers'!$A$5:$A$57, 0), MATCH(F_Interface!$D51,'Forecast drivers'!$O$5:$Y$5, 0)),0)</f>
        <v>6142068.6851170631</v>
      </c>
      <c r="L51" s="9">
        <f>_xlfn.IFNA(INDEX('Forecast drivers'!$O$5:$Y$57, MATCH(F_Interface!$A51&amp;RIGHT(F_Interface!L$2, 2),'Forecast drivers'!$A$5:$A$57, 0), MATCH(F_Interface!$D51,'Forecast drivers'!$O$5:$Y$5, 0)),0)</f>
        <v>6198151.8664709246</v>
      </c>
    </row>
    <row r="52" spans="1:12" x14ac:dyDescent="0.2">
      <c r="A52" s="10" t="s">
        <v>15</v>
      </c>
      <c r="B52" s="10" t="s">
        <v>133</v>
      </c>
      <c r="C52" s="10" t="str">
        <f t="shared" si="0"/>
        <v>WSHC_BN1178_PR19CA008</v>
      </c>
      <c r="D52" s="9" t="s">
        <v>53</v>
      </c>
      <c r="E52" s="9" t="s">
        <v>108</v>
      </c>
      <c r="F52" s="135" t="s">
        <v>3</v>
      </c>
      <c r="G52" s="9" t="s">
        <v>50</v>
      </c>
      <c r="H52" s="9">
        <f>_xlfn.IFNA(INDEX('Forecast drivers'!$O$5:$Y$57, MATCH(F_Interface!$A52&amp;RIGHT(F_Interface!H$2, 2),'Forecast drivers'!$A$5:$A$57, 0), MATCH(F_Interface!$D52,'Forecast drivers'!$O$5:$Y$5, 0)),0)</f>
        <v>1473668.9623608035</v>
      </c>
      <c r="I52" s="9">
        <f>_xlfn.IFNA(INDEX('Forecast drivers'!$O$5:$Y$57, MATCH(F_Interface!$A52&amp;RIGHT(F_Interface!I$2, 2),'Forecast drivers'!$A$5:$A$57, 0), MATCH(F_Interface!$D52,'Forecast drivers'!$O$5:$Y$5, 0)),0)</f>
        <v>1481443.1221189813</v>
      </c>
      <c r="J52" s="9">
        <f>_xlfn.IFNA(INDEX('Forecast drivers'!$O$5:$Y$57, MATCH(F_Interface!$A52&amp;RIGHT(F_Interface!J$2, 2),'Forecast drivers'!$A$5:$A$57, 0), MATCH(F_Interface!$D52,'Forecast drivers'!$O$5:$Y$5, 0)),0)</f>
        <v>1489846.503633694</v>
      </c>
      <c r="K52" s="9">
        <f>_xlfn.IFNA(INDEX('Forecast drivers'!$O$5:$Y$57, MATCH(F_Interface!$A52&amp;RIGHT(F_Interface!K$2, 2),'Forecast drivers'!$A$5:$A$57, 0), MATCH(F_Interface!$D52,'Forecast drivers'!$O$5:$Y$5, 0)),0)</f>
        <v>1497873.3964130871</v>
      </c>
      <c r="L52" s="9">
        <f>_xlfn.IFNA(INDEX('Forecast drivers'!$O$5:$Y$57, MATCH(F_Interface!$A52&amp;RIGHT(F_Interface!L$2, 2),'Forecast drivers'!$A$5:$A$57, 0), MATCH(F_Interface!$D52,'Forecast drivers'!$O$5:$Y$5, 0)),0)</f>
        <v>1505699.0978012239</v>
      </c>
    </row>
    <row r="53" spans="1:12" x14ac:dyDescent="0.2">
      <c r="A53" s="10" t="s">
        <v>10</v>
      </c>
      <c r="B53" s="10" t="s">
        <v>133</v>
      </c>
      <c r="C53" s="10" t="str">
        <f t="shared" si="0"/>
        <v>WSXC_BN1178_PR19CA008</v>
      </c>
      <c r="D53" s="9" t="s">
        <v>53</v>
      </c>
      <c r="E53" s="9" t="s">
        <v>108</v>
      </c>
      <c r="F53" s="135" t="s">
        <v>3</v>
      </c>
      <c r="G53" s="9" t="s">
        <v>50</v>
      </c>
      <c r="H53" s="9">
        <f>_xlfn.IFNA(INDEX('Forecast drivers'!$O$5:$Y$57, MATCH(F_Interface!$A53&amp;RIGHT(F_Interface!H$2, 2),'Forecast drivers'!$A$5:$A$57, 0), MATCH(F_Interface!$D53,'Forecast drivers'!$O$5:$Y$5, 0)),0)</f>
        <v>1270314.4460379907</v>
      </c>
      <c r="I53" s="9">
        <f>_xlfn.IFNA(INDEX('Forecast drivers'!$O$5:$Y$57, MATCH(F_Interface!$A53&amp;RIGHT(F_Interface!I$2, 2),'Forecast drivers'!$A$5:$A$57, 0), MATCH(F_Interface!$D53,'Forecast drivers'!$O$5:$Y$5, 0)),0)</f>
        <v>1279395.0981172377</v>
      </c>
      <c r="J53" s="9">
        <f>_xlfn.IFNA(INDEX('Forecast drivers'!$O$5:$Y$57, MATCH(F_Interface!$A53&amp;RIGHT(F_Interface!J$2, 2),'Forecast drivers'!$A$5:$A$57, 0), MATCH(F_Interface!$D53,'Forecast drivers'!$O$5:$Y$5, 0)),0)</f>
        <v>1289826.4251744749</v>
      </c>
      <c r="K53" s="9">
        <f>_xlfn.IFNA(INDEX('Forecast drivers'!$O$5:$Y$57, MATCH(F_Interface!$A53&amp;RIGHT(F_Interface!K$2, 2),'Forecast drivers'!$A$5:$A$57, 0), MATCH(F_Interface!$D53,'Forecast drivers'!$O$5:$Y$5, 0)),0)</f>
        <v>1300102.3717398071</v>
      </c>
      <c r="L53" s="9">
        <f>_xlfn.IFNA(INDEX('Forecast drivers'!$O$5:$Y$57, MATCH(F_Interface!$A53&amp;RIGHT(F_Interface!L$2, 2),'Forecast drivers'!$A$5:$A$57, 0), MATCH(F_Interface!$D53,'Forecast drivers'!$O$5:$Y$5, 0)),0)</f>
        <v>1310470.265591538</v>
      </c>
    </row>
    <row r="54" spans="1:12" x14ac:dyDescent="0.2">
      <c r="A54" s="10" t="s">
        <v>11</v>
      </c>
      <c r="B54" s="10" t="s">
        <v>133</v>
      </c>
      <c r="C54" s="10" t="str">
        <f t="shared" si="0"/>
        <v>YKYC_BN1178_PR19CA008</v>
      </c>
      <c r="D54" s="9" t="s">
        <v>53</v>
      </c>
      <c r="E54" s="9" t="s">
        <v>108</v>
      </c>
      <c r="F54" s="135" t="s">
        <v>3</v>
      </c>
      <c r="G54" s="9" t="s">
        <v>50</v>
      </c>
      <c r="H54" s="9">
        <f>_xlfn.IFNA(INDEX('Forecast drivers'!$O$5:$Y$57, MATCH(F_Interface!$A54&amp;RIGHT(F_Interface!H$2, 2),'Forecast drivers'!$A$5:$A$57, 0), MATCH(F_Interface!$D54,'Forecast drivers'!$O$5:$Y$5, 0)),0)</f>
        <v>2318195.4873845028</v>
      </c>
      <c r="I54" s="9">
        <f>_xlfn.IFNA(INDEX('Forecast drivers'!$O$5:$Y$57, MATCH(F_Interface!$A54&amp;RIGHT(F_Interface!I$2, 2),'Forecast drivers'!$A$5:$A$57, 0), MATCH(F_Interface!$D54,'Forecast drivers'!$O$5:$Y$5, 0)),0)</f>
        <v>2328107.3258245662</v>
      </c>
      <c r="J54" s="9">
        <f>_xlfn.IFNA(INDEX('Forecast drivers'!$O$5:$Y$57, MATCH(F_Interface!$A54&amp;RIGHT(F_Interface!J$2, 2),'Forecast drivers'!$A$5:$A$57, 0), MATCH(F_Interface!$D54,'Forecast drivers'!$O$5:$Y$5, 0)),0)</f>
        <v>2339924.6600689571</v>
      </c>
      <c r="K54" s="9">
        <f>_xlfn.IFNA(INDEX('Forecast drivers'!$O$5:$Y$57, MATCH(F_Interface!$A54&amp;RIGHT(F_Interface!K$2, 2),'Forecast drivers'!$A$5:$A$57, 0), MATCH(F_Interface!$D54,'Forecast drivers'!$O$5:$Y$5, 0)),0)</f>
        <v>2351296.8169254381</v>
      </c>
      <c r="L54" s="9">
        <f>_xlfn.IFNA(INDEX('Forecast drivers'!$O$5:$Y$57, MATCH(F_Interface!$A54&amp;RIGHT(F_Interface!L$2, 2),'Forecast drivers'!$A$5:$A$57, 0), MATCH(F_Interface!$D54,'Forecast drivers'!$O$5:$Y$5, 0)),0)</f>
        <v>2362679.3338740598</v>
      </c>
    </row>
    <row r="55" spans="1:12" x14ac:dyDescent="0.2">
      <c r="A55" s="10" t="s">
        <v>4</v>
      </c>
      <c r="B55" s="10" t="s">
        <v>134</v>
      </c>
      <c r="C55" s="10" t="str">
        <f t="shared" si="0"/>
        <v>ANHC_BN13535_BN13528_PR19CA008</v>
      </c>
      <c r="D55" s="9" t="s">
        <v>62</v>
      </c>
      <c r="E55" s="9" t="s">
        <v>74</v>
      </c>
      <c r="F55" s="135" t="s">
        <v>43</v>
      </c>
      <c r="G55" s="9" t="s">
        <v>50</v>
      </c>
      <c r="H55" s="9">
        <f>_xlfn.IFNA(INDEX('Forecast drivers'!$O$5:$Y$57, MATCH(F_Interface!$A55&amp;RIGHT(F_Interface!H$2, 2),'Forecast drivers'!$A$5:$A$57, 0), MATCH(F_Interface!$D55,'Forecast drivers'!$O$5:$Y$5, 0)),0)</f>
        <v>76875.54195585713</v>
      </c>
      <c r="I55" s="9">
        <f>_xlfn.IFNA(INDEX('Forecast drivers'!$O$5:$Y$57, MATCH(F_Interface!$A55&amp;RIGHT(F_Interface!I$2, 2),'Forecast drivers'!$A$5:$A$57, 0), MATCH(F_Interface!$D55,'Forecast drivers'!$O$5:$Y$5, 0)),0)</f>
        <v>76982.849143321393</v>
      </c>
      <c r="J55" s="9">
        <f>_xlfn.IFNA(INDEX('Forecast drivers'!$O$5:$Y$57, MATCH(F_Interface!$A55&amp;RIGHT(F_Interface!J$2, 2),'Forecast drivers'!$A$5:$A$57, 0), MATCH(F_Interface!$D55,'Forecast drivers'!$O$5:$Y$5, 0)),0)</f>
        <v>77101.156330785685</v>
      </c>
      <c r="K55" s="9">
        <f>_xlfn.IFNA(INDEX('Forecast drivers'!$O$5:$Y$57, MATCH(F_Interface!$A55&amp;RIGHT(F_Interface!K$2, 2),'Forecast drivers'!$A$5:$A$57, 0), MATCH(F_Interface!$D55,'Forecast drivers'!$O$5:$Y$5, 0)),0)</f>
        <v>77226.963518249948</v>
      </c>
      <c r="L55" s="9">
        <f>_xlfn.IFNA(INDEX('Forecast drivers'!$O$5:$Y$57, MATCH(F_Interface!$A55&amp;RIGHT(F_Interface!L$2, 2),'Forecast drivers'!$A$5:$A$57, 0), MATCH(F_Interface!$D55,'Forecast drivers'!$O$5:$Y$5, 0)),0)</f>
        <v>77365.27070571424</v>
      </c>
    </row>
    <row r="56" spans="1:12" x14ac:dyDescent="0.2">
      <c r="A56" s="10" t="s">
        <v>87</v>
      </c>
      <c r="B56" s="10" t="s">
        <v>134</v>
      </c>
      <c r="C56" s="10" t="str">
        <f t="shared" si="0"/>
        <v>HDDC_BN13535_BN13528_PR19CA008</v>
      </c>
      <c r="D56" s="9" t="s">
        <v>62</v>
      </c>
      <c r="E56" s="9" t="s">
        <v>74</v>
      </c>
      <c r="F56" s="135" t="s">
        <v>43</v>
      </c>
      <c r="G56" s="9" t="s">
        <v>50</v>
      </c>
      <c r="H56" s="9">
        <f>_xlfn.IFNA(INDEX('Forecast drivers'!$O$5:$Y$57, MATCH(F_Interface!$A56&amp;RIGHT(F_Interface!H$2, 2),'Forecast drivers'!$A$5:$A$57, 0), MATCH(F_Interface!$D56,'Forecast drivers'!$O$5:$Y$5, 0)),0)</f>
        <v>0</v>
      </c>
      <c r="I56" s="9">
        <f>_xlfn.IFNA(INDEX('Forecast drivers'!$O$5:$Y$57, MATCH(F_Interface!$A56&amp;RIGHT(F_Interface!I$2, 2),'Forecast drivers'!$A$5:$A$57, 0), MATCH(F_Interface!$D56,'Forecast drivers'!$O$5:$Y$5, 0)),0)</f>
        <v>0</v>
      </c>
      <c r="J56" s="9">
        <f>_xlfn.IFNA(INDEX('Forecast drivers'!$O$5:$Y$57, MATCH(F_Interface!$A56&amp;RIGHT(F_Interface!J$2, 2),'Forecast drivers'!$A$5:$A$57, 0), MATCH(F_Interface!$D56,'Forecast drivers'!$O$5:$Y$5, 0)),0)</f>
        <v>0</v>
      </c>
      <c r="K56" s="9">
        <f>_xlfn.IFNA(INDEX('Forecast drivers'!$O$5:$Y$57, MATCH(F_Interface!$A56&amp;RIGHT(F_Interface!K$2, 2),'Forecast drivers'!$A$5:$A$57, 0), MATCH(F_Interface!$D56,'Forecast drivers'!$O$5:$Y$5, 0)),0)</f>
        <v>0</v>
      </c>
      <c r="L56" s="9">
        <f>_xlfn.IFNA(INDEX('Forecast drivers'!$O$5:$Y$57, MATCH(F_Interface!$A56&amp;RIGHT(F_Interface!L$2, 2),'Forecast drivers'!$A$5:$A$57, 0), MATCH(F_Interface!$D56,'Forecast drivers'!$O$5:$Y$5, 0)),0)</f>
        <v>0</v>
      </c>
    </row>
    <row r="57" spans="1:12" x14ac:dyDescent="0.2">
      <c r="A57" s="10" t="s">
        <v>5</v>
      </c>
      <c r="B57" s="10" t="s">
        <v>134</v>
      </c>
      <c r="C57" s="10" t="str">
        <f t="shared" si="0"/>
        <v>NESC_BN13535_BN13528_PR19CA008</v>
      </c>
      <c r="D57" s="9" t="s">
        <v>62</v>
      </c>
      <c r="E57" s="9" t="s">
        <v>74</v>
      </c>
      <c r="F57" s="135" t="s">
        <v>43</v>
      </c>
      <c r="G57" s="137"/>
      <c r="H57" s="9">
        <f>_xlfn.IFNA(INDEX('Forecast drivers'!$O$5:$Y$57, MATCH(F_Interface!$A57&amp;RIGHT(F_Interface!H$2, 2),'Forecast drivers'!$A$5:$A$57, 0), MATCH(F_Interface!$D57,'Forecast drivers'!$O$5:$Y$5, 0)),0)</f>
        <v>30123.964285714283</v>
      </c>
      <c r="I57" s="9">
        <f>_xlfn.IFNA(INDEX('Forecast drivers'!$O$5:$Y$57, MATCH(F_Interface!$A57&amp;RIGHT(F_Interface!I$2, 2),'Forecast drivers'!$A$5:$A$57, 0), MATCH(F_Interface!$D57,'Forecast drivers'!$O$5:$Y$5, 0)),0)</f>
        <v>30157.553571428572</v>
      </c>
      <c r="J57" s="9">
        <f>_xlfn.IFNA(INDEX('Forecast drivers'!$O$5:$Y$57, MATCH(F_Interface!$A57&amp;RIGHT(F_Interface!J$2, 2),'Forecast drivers'!$A$5:$A$57, 0), MATCH(F_Interface!$D57,'Forecast drivers'!$O$5:$Y$5, 0)),0)</f>
        <v>30190.642857142855</v>
      </c>
      <c r="K57" s="9">
        <f>_xlfn.IFNA(INDEX('Forecast drivers'!$O$5:$Y$57, MATCH(F_Interface!$A57&amp;RIGHT(F_Interface!K$2, 2),'Forecast drivers'!$A$5:$A$57, 0), MATCH(F_Interface!$D57,'Forecast drivers'!$O$5:$Y$5, 0)),0)</f>
        <v>30225.232142857141</v>
      </c>
      <c r="L57" s="9">
        <f>_xlfn.IFNA(INDEX('Forecast drivers'!$O$5:$Y$57, MATCH(F_Interface!$A57&amp;RIGHT(F_Interface!L$2, 2),'Forecast drivers'!$A$5:$A$57, 0), MATCH(F_Interface!$D57,'Forecast drivers'!$O$5:$Y$5, 0)),0)</f>
        <v>30258.821428571428</v>
      </c>
    </row>
    <row r="58" spans="1:12" x14ac:dyDescent="0.2">
      <c r="A58" s="10" t="s">
        <v>6</v>
      </c>
      <c r="B58" s="10" t="s">
        <v>134</v>
      </c>
      <c r="C58" s="10" t="str">
        <f t="shared" si="0"/>
        <v>NWTC_BN13535_BN13528_PR19CA008</v>
      </c>
      <c r="D58" s="9" t="s">
        <v>62</v>
      </c>
      <c r="E58" s="9" t="s">
        <v>74</v>
      </c>
      <c r="F58" s="135" t="s">
        <v>43</v>
      </c>
      <c r="G58" s="9" t="s">
        <v>50</v>
      </c>
      <c r="H58" s="9">
        <f>_xlfn.IFNA(INDEX('Forecast drivers'!$O$5:$Y$57, MATCH(F_Interface!$A58&amp;RIGHT(F_Interface!H$2, 2),'Forecast drivers'!$A$5:$A$57, 0), MATCH(F_Interface!$D58,'Forecast drivers'!$O$5:$Y$5, 0)),0)</f>
        <v>77735.796006552278</v>
      </c>
      <c r="I58" s="9">
        <f>_xlfn.IFNA(INDEX('Forecast drivers'!$O$5:$Y$57, MATCH(F_Interface!$A58&amp;RIGHT(F_Interface!I$2, 2),'Forecast drivers'!$A$5:$A$57, 0), MATCH(F_Interface!$D58,'Forecast drivers'!$O$5:$Y$5, 0)),0)</f>
        <v>77854.417268792109</v>
      </c>
      <c r="J58" s="9">
        <f>_xlfn.IFNA(INDEX('Forecast drivers'!$O$5:$Y$57, MATCH(F_Interface!$A58&amp;RIGHT(F_Interface!J$2, 2),'Forecast drivers'!$A$5:$A$57, 0), MATCH(F_Interface!$D58,'Forecast drivers'!$O$5:$Y$5, 0)),0)</f>
        <v>77973.038531032013</v>
      </c>
      <c r="K58" s="9">
        <f>_xlfn.IFNA(INDEX('Forecast drivers'!$O$5:$Y$57, MATCH(F_Interface!$A58&amp;RIGHT(F_Interface!K$2, 2),'Forecast drivers'!$A$5:$A$57, 0), MATCH(F_Interface!$D58,'Forecast drivers'!$O$5:$Y$5, 0)),0)</f>
        <v>78091.659793271858</v>
      </c>
      <c r="L58" s="9">
        <f>_xlfn.IFNA(INDEX('Forecast drivers'!$O$5:$Y$57, MATCH(F_Interface!$A58&amp;RIGHT(F_Interface!L$2, 2),'Forecast drivers'!$A$5:$A$57, 0), MATCH(F_Interface!$D58,'Forecast drivers'!$O$5:$Y$5, 0)),0)</f>
        <v>78210.281055511703</v>
      </c>
    </row>
    <row r="59" spans="1:12" x14ac:dyDescent="0.2">
      <c r="A59" s="10" t="s">
        <v>7</v>
      </c>
      <c r="B59" s="10" t="s">
        <v>134</v>
      </c>
      <c r="C59" s="10" t="str">
        <f t="shared" si="0"/>
        <v>SRNC_BN13535_BN13528_PR19CA008</v>
      </c>
      <c r="D59" s="9" t="s">
        <v>62</v>
      </c>
      <c r="E59" s="9" t="s">
        <v>74</v>
      </c>
      <c r="F59" s="135" t="s">
        <v>43</v>
      </c>
      <c r="G59" s="9" t="s">
        <v>50</v>
      </c>
      <c r="H59" s="9">
        <f>_xlfn.IFNA(INDEX('Forecast drivers'!$O$5:$Y$57, MATCH(F_Interface!$A59&amp;RIGHT(F_Interface!H$2, 2),'Forecast drivers'!$A$5:$A$57, 0), MATCH(F_Interface!$D59,'Forecast drivers'!$O$5:$Y$5, 0)),0)</f>
        <v>39875.077857142867</v>
      </c>
      <c r="I59" s="9">
        <f>_xlfn.IFNA(INDEX('Forecast drivers'!$O$5:$Y$57, MATCH(F_Interface!$A59&amp;RIGHT(F_Interface!I$2, 2),'Forecast drivers'!$A$5:$A$57, 0), MATCH(F_Interface!$D59,'Forecast drivers'!$O$5:$Y$5, 0)),0)</f>
        <v>39996.721428571444</v>
      </c>
      <c r="J59" s="9">
        <f>_xlfn.IFNA(INDEX('Forecast drivers'!$O$5:$Y$57, MATCH(F_Interface!$A59&amp;RIGHT(F_Interface!J$2, 2),'Forecast drivers'!$A$5:$A$57, 0), MATCH(F_Interface!$D59,'Forecast drivers'!$O$5:$Y$5, 0)),0)</f>
        <v>40108.36500000002</v>
      </c>
      <c r="K59" s="9">
        <f>_xlfn.IFNA(INDEX('Forecast drivers'!$O$5:$Y$57, MATCH(F_Interface!$A59&amp;RIGHT(F_Interface!K$2, 2),'Forecast drivers'!$A$5:$A$57, 0), MATCH(F_Interface!$D59,'Forecast drivers'!$O$5:$Y$5, 0)),0)</f>
        <v>40226.008571428596</v>
      </c>
      <c r="L59" s="9">
        <f>_xlfn.IFNA(INDEX('Forecast drivers'!$O$5:$Y$57, MATCH(F_Interface!$A59&amp;RIGHT(F_Interface!L$2, 2),'Forecast drivers'!$A$5:$A$57, 0), MATCH(F_Interface!$D59,'Forecast drivers'!$O$5:$Y$5, 0)),0)</f>
        <v>40342.652142857172</v>
      </c>
    </row>
    <row r="60" spans="1:12" x14ac:dyDescent="0.2">
      <c r="A60" s="10" t="s">
        <v>116</v>
      </c>
      <c r="B60" s="10" t="s">
        <v>134</v>
      </c>
      <c r="C60" s="10" t="str">
        <f t="shared" si="0"/>
        <v>SVEC_BN13535_BN13528_PR19CA008</v>
      </c>
      <c r="D60" s="9" t="s">
        <v>62</v>
      </c>
      <c r="E60" s="9" t="s">
        <v>74</v>
      </c>
      <c r="F60" s="135" t="s">
        <v>43</v>
      </c>
      <c r="G60" s="9" t="s">
        <v>50</v>
      </c>
      <c r="H60" s="9">
        <f>_xlfn.IFNA(INDEX('Forecast drivers'!$O$5:$Y$57, MATCH(F_Interface!$A60&amp;RIGHT(F_Interface!H$2, 2),'Forecast drivers'!$A$5:$A$57, 0), MATCH(F_Interface!$D60,'Forecast drivers'!$O$5:$Y$5, 0)),0)</f>
        <v>0</v>
      </c>
      <c r="I60" s="9">
        <f>_xlfn.IFNA(INDEX('Forecast drivers'!$O$5:$Y$57, MATCH(F_Interface!$A60&amp;RIGHT(F_Interface!I$2, 2),'Forecast drivers'!$A$5:$A$57, 0), MATCH(F_Interface!$D60,'Forecast drivers'!$O$5:$Y$5, 0)),0)</f>
        <v>0</v>
      </c>
      <c r="J60" s="9">
        <f>_xlfn.IFNA(INDEX('Forecast drivers'!$O$5:$Y$57, MATCH(F_Interface!$A60&amp;RIGHT(F_Interface!J$2, 2),'Forecast drivers'!$A$5:$A$57, 0), MATCH(F_Interface!$D60,'Forecast drivers'!$O$5:$Y$5, 0)),0)</f>
        <v>0</v>
      </c>
      <c r="K60" s="9">
        <f>_xlfn.IFNA(INDEX('Forecast drivers'!$O$5:$Y$57, MATCH(F_Interface!$A60&amp;RIGHT(F_Interface!K$2, 2),'Forecast drivers'!$A$5:$A$57, 0), MATCH(F_Interface!$D60,'Forecast drivers'!$O$5:$Y$5, 0)),0)</f>
        <v>0</v>
      </c>
      <c r="L60" s="9">
        <f>_xlfn.IFNA(INDEX('Forecast drivers'!$O$5:$Y$57, MATCH(F_Interface!$A60&amp;RIGHT(F_Interface!L$2, 2),'Forecast drivers'!$A$5:$A$57, 0), MATCH(F_Interface!$D60,'Forecast drivers'!$O$5:$Y$5, 0)),0)</f>
        <v>0</v>
      </c>
    </row>
    <row r="61" spans="1:12" x14ac:dyDescent="0.2">
      <c r="A61" s="10" t="s">
        <v>101</v>
      </c>
      <c r="B61" s="10" t="s">
        <v>134</v>
      </c>
      <c r="C61" s="10" t="str">
        <f t="shared" si="0"/>
        <v>SVHC_BN13535_BN13528_PR19CA008</v>
      </c>
      <c r="D61" s="9" t="s">
        <v>62</v>
      </c>
      <c r="E61" s="9" t="s">
        <v>74</v>
      </c>
      <c r="F61" s="135" t="s">
        <v>43</v>
      </c>
      <c r="G61" s="9" t="s">
        <v>50</v>
      </c>
      <c r="H61" s="9">
        <f>_xlfn.IFNA(INDEX('Forecast drivers'!$O$5:$Y$57, MATCH(F_Interface!$A61&amp;RIGHT(F_Interface!H$2, 2),'Forecast drivers'!$A$5:$A$57, 0), MATCH(F_Interface!$D61,'Forecast drivers'!$O$5:$Y$5, 0)),0)</f>
        <v>94828.319065082062</v>
      </c>
      <c r="I61" s="9">
        <f>_xlfn.IFNA(INDEX('Forecast drivers'!$O$5:$Y$57, MATCH(F_Interface!$A61&amp;RIGHT(F_Interface!I$2, 2),'Forecast drivers'!$A$5:$A$57, 0), MATCH(F_Interface!$D61,'Forecast drivers'!$O$5:$Y$5, 0)),0)</f>
        <v>95102.05104208969</v>
      </c>
      <c r="J61" s="9">
        <f>_xlfn.IFNA(INDEX('Forecast drivers'!$O$5:$Y$57, MATCH(F_Interface!$A61&amp;RIGHT(F_Interface!J$2, 2),'Forecast drivers'!$A$5:$A$57, 0), MATCH(F_Interface!$D61,'Forecast drivers'!$O$5:$Y$5, 0)),0)</f>
        <v>95375.783019097333</v>
      </c>
      <c r="K61" s="9">
        <f>_xlfn.IFNA(INDEX('Forecast drivers'!$O$5:$Y$57, MATCH(F_Interface!$A61&amp;RIGHT(F_Interface!K$2, 2),'Forecast drivers'!$A$5:$A$57, 0), MATCH(F_Interface!$D61,'Forecast drivers'!$O$5:$Y$5, 0)),0)</f>
        <v>95649.514996104903</v>
      </c>
      <c r="L61" s="9">
        <f>_xlfn.IFNA(INDEX('Forecast drivers'!$O$5:$Y$57, MATCH(F_Interface!$A61&amp;RIGHT(F_Interface!L$2, 2),'Forecast drivers'!$A$5:$A$57, 0), MATCH(F_Interface!$D61,'Forecast drivers'!$O$5:$Y$5, 0)),0)</f>
        <v>95923.246973112546</v>
      </c>
    </row>
    <row r="62" spans="1:12" x14ac:dyDescent="0.2">
      <c r="A62" s="10" t="s">
        <v>8</v>
      </c>
      <c r="B62" s="10" t="s">
        <v>134</v>
      </c>
      <c r="C62" s="10" t="str">
        <f t="shared" si="0"/>
        <v>SVTC_BN13535_BN13528_PR19CA008</v>
      </c>
      <c r="D62" s="9" t="s">
        <v>62</v>
      </c>
      <c r="E62" s="9" t="s">
        <v>74</v>
      </c>
      <c r="F62" s="135" t="s">
        <v>43</v>
      </c>
      <c r="G62" s="9" t="s">
        <v>50</v>
      </c>
      <c r="H62" s="9">
        <f>_xlfn.IFNA(INDEX('Forecast drivers'!$O$5:$Y$57, MATCH(F_Interface!$A62&amp;RIGHT(F_Interface!H$2, 2),'Forecast drivers'!$A$5:$A$57, 0), MATCH(F_Interface!$D62,'Forecast drivers'!$O$5:$Y$5, 0)),0)</f>
        <v>0</v>
      </c>
      <c r="I62" s="9">
        <f>_xlfn.IFNA(INDEX('Forecast drivers'!$O$5:$Y$57, MATCH(F_Interface!$A62&amp;RIGHT(F_Interface!I$2, 2),'Forecast drivers'!$A$5:$A$57, 0), MATCH(F_Interface!$D62,'Forecast drivers'!$O$5:$Y$5, 0)),0)</f>
        <v>0</v>
      </c>
      <c r="J62" s="9">
        <f>_xlfn.IFNA(INDEX('Forecast drivers'!$O$5:$Y$57, MATCH(F_Interface!$A62&amp;RIGHT(F_Interface!J$2, 2),'Forecast drivers'!$A$5:$A$57, 0), MATCH(F_Interface!$D62,'Forecast drivers'!$O$5:$Y$5, 0)),0)</f>
        <v>0</v>
      </c>
      <c r="K62" s="9">
        <f>_xlfn.IFNA(INDEX('Forecast drivers'!$O$5:$Y$57, MATCH(F_Interface!$A62&amp;RIGHT(F_Interface!K$2, 2),'Forecast drivers'!$A$5:$A$57, 0), MATCH(F_Interface!$D62,'Forecast drivers'!$O$5:$Y$5, 0)),0)</f>
        <v>0</v>
      </c>
      <c r="L62" s="9">
        <f>_xlfn.IFNA(INDEX('Forecast drivers'!$O$5:$Y$57, MATCH(F_Interface!$A62&amp;RIGHT(F_Interface!L$2, 2),'Forecast drivers'!$A$5:$A$57, 0), MATCH(F_Interface!$D62,'Forecast drivers'!$O$5:$Y$5, 0)),0)</f>
        <v>0</v>
      </c>
    </row>
    <row r="63" spans="1:12" x14ac:dyDescent="0.2">
      <c r="A63" s="10" t="s">
        <v>12</v>
      </c>
      <c r="B63" s="10" t="s">
        <v>134</v>
      </c>
      <c r="C63" s="10" t="str">
        <f t="shared" si="0"/>
        <v>SWBC_BN13535_BN13528_PR19CA008</v>
      </c>
      <c r="D63" s="9" t="s">
        <v>62</v>
      </c>
      <c r="E63" s="9" t="s">
        <v>74</v>
      </c>
      <c r="F63" s="135" t="s">
        <v>43</v>
      </c>
      <c r="G63" s="9" t="s">
        <v>50</v>
      </c>
      <c r="H63" s="9">
        <f>_xlfn.IFNA(INDEX('Forecast drivers'!$O$5:$Y$57, MATCH(F_Interface!$A63&amp;RIGHT(F_Interface!H$2, 2),'Forecast drivers'!$A$5:$A$57, 0), MATCH(F_Interface!$D63,'Forecast drivers'!$O$5:$Y$5, 0)),0)</f>
        <v>17555.196428571428</v>
      </c>
      <c r="I63" s="9">
        <f>_xlfn.IFNA(INDEX('Forecast drivers'!$O$5:$Y$57, MATCH(F_Interface!$A63&amp;RIGHT(F_Interface!I$2, 2),'Forecast drivers'!$A$5:$A$57, 0), MATCH(F_Interface!$D63,'Forecast drivers'!$O$5:$Y$5, 0)),0)</f>
        <v>17601.480357142857</v>
      </c>
      <c r="J63" s="9">
        <f>_xlfn.IFNA(INDEX('Forecast drivers'!$O$5:$Y$57, MATCH(F_Interface!$A63&amp;RIGHT(F_Interface!J$2, 2),'Forecast drivers'!$A$5:$A$57, 0), MATCH(F_Interface!$D63,'Forecast drivers'!$O$5:$Y$5, 0)),0)</f>
        <v>17647.764285714286</v>
      </c>
      <c r="K63" s="9">
        <f>_xlfn.IFNA(INDEX('Forecast drivers'!$O$5:$Y$57, MATCH(F_Interface!$A63&amp;RIGHT(F_Interface!K$2, 2),'Forecast drivers'!$A$5:$A$57, 0), MATCH(F_Interface!$D63,'Forecast drivers'!$O$5:$Y$5, 0)),0)</f>
        <v>17694.548214285714</v>
      </c>
      <c r="L63" s="9">
        <f>_xlfn.IFNA(INDEX('Forecast drivers'!$O$5:$Y$57, MATCH(F_Interface!$A63&amp;RIGHT(F_Interface!L$2, 2),'Forecast drivers'!$A$5:$A$57, 0), MATCH(F_Interface!$D63,'Forecast drivers'!$O$5:$Y$5, 0)),0)</f>
        <v>17739.832142857143</v>
      </c>
    </row>
    <row r="64" spans="1:12" x14ac:dyDescent="0.2">
      <c r="A64" s="10" t="s">
        <v>9</v>
      </c>
      <c r="B64" s="10" t="s">
        <v>134</v>
      </c>
      <c r="C64" s="10" t="str">
        <f t="shared" si="0"/>
        <v>TMSC_BN13535_BN13528_PR19CA008</v>
      </c>
      <c r="D64" s="9" t="s">
        <v>62</v>
      </c>
      <c r="E64" s="9" t="s">
        <v>74</v>
      </c>
      <c r="F64" s="135" t="s">
        <v>43</v>
      </c>
      <c r="G64" s="9" t="s">
        <v>50</v>
      </c>
      <c r="H64" s="9">
        <f>_xlfn.IFNA(INDEX('Forecast drivers'!$O$5:$Y$57, MATCH(F_Interface!$A64&amp;RIGHT(F_Interface!H$2, 2),'Forecast drivers'!$A$5:$A$57, 0), MATCH(F_Interface!$D64,'Forecast drivers'!$O$5:$Y$5, 0)),0)</f>
        <v>109216.70338561048</v>
      </c>
      <c r="I64" s="9">
        <f>_xlfn.IFNA(INDEX('Forecast drivers'!$O$5:$Y$57, MATCH(F_Interface!$A64&amp;RIGHT(F_Interface!I$2, 2),'Forecast drivers'!$A$5:$A$57, 0), MATCH(F_Interface!$D64,'Forecast drivers'!$O$5:$Y$5, 0)),0)</f>
        <v>109278.7343461969</v>
      </c>
      <c r="J64" s="9">
        <f>_xlfn.IFNA(INDEX('Forecast drivers'!$O$5:$Y$57, MATCH(F_Interface!$A64&amp;RIGHT(F_Interface!J$2, 2),'Forecast drivers'!$A$5:$A$57, 0), MATCH(F_Interface!$D64,'Forecast drivers'!$O$5:$Y$5, 0)),0)</f>
        <v>109337.41274165653</v>
      </c>
      <c r="K64" s="9">
        <f>_xlfn.IFNA(INDEX('Forecast drivers'!$O$5:$Y$57, MATCH(F_Interface!$A64&amp;RIGHT(F_Interface!K$2, 2),'Forecast drivers'!$A$5:$A$57, 0), MATCH(F_Interface!$D64,'Forecast drivers'!$O$5:$Y$5, 0)),0)</f>
        <v>109395.91900408061</v>
      </c>
      <c r="L64" s="9">
        <f>_xlfn.IFNA(INDEX('Forecast drivers'!$O$5:$Y$57, MATCH(F_Interface!$A64&amp;RIGHT(F_Interface!L$2, 2),'Forecast drivers'!$A$5:$A$57, 0), MATCH(F_Interface!$D64,'Forecast drivers'!$O$5:$Y$5, 0)),0)</f>
        <v>109453.34954918953</v>
      </c>
    </row>
    <row r="65" spans="1:12" x14ac:dyDescent="0.2">
      <c r="A65" s="10" t="s">
        <v>15</v>
      </c>
      <c r="B65" s="10" t="s">
        <v>134</v>
      </c>
      <c r="C65" s="10" t="str">
        <f t="shared" si="0"/>
        <v>WSHC_BN13535_BN13528_PR19CA008</v>
      </c>
      <c r="D65" s="9" t="s">
        <v>62</v>
      </c>
      <c r="E65" s="9" t="s">
        <v>74</v>
      </c>
      <c r="F65" s="135" t="s">
        <v>43</v>
      </c>
      <c r="G65" s="9" t="s">
        <v>50</v>
      </c>
      <c r="H65" s="9">
        <f>_xlfn.IFNA(INDEX('Forecast drivers'!$O$5:$Y$57, MATCH(F_Interface!$A65&amp;RIGHT(F_Interface!H$2, 2),'Forecast drivers'!$A$5:$A$57, 0), MATCH(F_Interface!$D65,'Forecast drivers'!$O$5:$Y$5, 0)),0)</f>
        <v>36486.346071428576</v>
      </c>
      <c r="I65" s="9">
        <f>_xlfn.IFNA(INDEX('Forecast drivers'!$O$5:$Y$57, MATCH(F_Interface!$A65&amp;RIGHT(F_Interface!I$2, 2),'Forecast drivers'!$A$5:$A$57, 0), MATCH(F_Interface!$D65,'Forecast drivers'!$O$5:$Y$5, 0)),0)</f>
        <v>36570.322678571436</v>
      </c>
      <c r="J65" s="9">
        <f>_xlfn.IFNA(INDEX('Forecast drivers'!$O$5:$Y$57, MATCH(F_Interface!$A65&amp;RIGHT(F_Interface!J$2, 2),'Forecast drivers'!$A$5:$A$57, 0), MATCH(F_Interface!$D65,'Forecast drivers'!$O$5:$Y$5, 0)),0)</f>
        <v>36649.299285714296</v>
      </c>
      <c r="K65" s="9">
        <f>_xlfn.IFNA(INDEX('Forecast drivers'!$O$5:$Y$57, MATCH(F_Interface!$A65&amp;RIGHT(F_Interface!K$2, 2),'Forecast drivers'!$A$5:$A$57, 0), MATCH(F_Interface!$D65,'Forecast drivers'!$O$5:$Y$5, 0)),0)</f>
        <v>36729.275892857157</v>
      </c>
      <c r="L65" s="9">
        <f>_xlfn.IFNA(INDEX('Forecast drivers'!$O$5:$Y$57, MATCH(F_Interface!$A65&amp;RIGHT(F_Interface!L$2, 2),'Forecast drivers'!$A$5:$A$57, 0), MATCH(F_Interface!$D65,'Forecast drivers'!$O$5:$Y$5, 0)),0)</f>
        <v>36808.75250000001</v>
      </c>
    </row>
    <row r="66" spans="1:12" x14ac:dyDescent="0.2">
      <c r="A66" s="10" t="s">
        <v>10</v>
      </c>
      <c r="B66" s="10" t="s">
        <v>134</v>
      </c>
      <c r="C66" s="10" t="str">
        <f t="shared" si="0"/>
        <v>WSXC_BN13535_BN13528_PR19CA008</v>
      </c>
      <c r="D66" s="9" t="s">
        <v>62</v>
      </c>
      <c r="E66" s="9" t="s">
        <v>74</v>
      </c>
      <c r="F66" s="135" t="s">
        <v>43</v>
      </c>
      <c r="G66" s="9" t="s">
        <v>50</v>
      </c>
      <c r="H66" s="9">
        <f>_xlfn.IFNA(INDEX('Forecast drivers'!$O$5:$Y$57, MATCH(F_Interface!$A66&amp;RIGHT(F_Interface!H$2, 2),'Forecast drivers'!$A$5:$A$57, 0), MATCH(F_Interface!$D66,'Forecast drivers'!$O$5:$Y$5, 0)),0)</f>
        <v>35318.493587222118</v>
      </c>
      <c r="I66" s="9">
        <f>_xlfn.IFNA(INDEX('Forecast drivers'!$O$5:$Y$57, MATCH(F_Interface!$A66&amp;RIGHT(F_Interface!I$2, 2),'Forecast drivers'!$A$5:$A$57, 0), MATCH(F_Interface!$D66,'Forecast drivers'!$O$5:$Y$5, 0)),0)</f>
        <v>35449.845908334129</v>
      </c>
      <c r="J66" s="9">
        <f>_xlfn.IFNA(INDEX('Forecast drivers'!$O$5:$Y$57, MATCH(F_Interface!$A66&amp;RIGHT(F_Interface!J$2, 2),'Forecast drivers'!$A$5:$A$57, 0), MATCH(F_Interface!$D66,'Forecast drivers'!$O$5:$Y$5, 0)),0)</f>
        <v>35582.249026194899</v>
      </c>
      <c r="K66" s="9">
        <f>_xlfn.IFNA(INDEX('Forecast drivers'!$O$5:$Y$57, MATCH(F_Interface!$A66&amp;RIGHT(F_Interface!K$2, 2),'Forecast drivers'!$A$5:$A$57, 0), MATCH(F_Interface!$D66,'Forecast drivers'!$O$5:$Y$5, 0)),0)</f>
        <v>35715.71687867921</v>
      </c>
      <c r="L66" s="9">
        <f>_xlfn.IFNA(INDEX('Forecast drivers'!$O$5:$Y$57, MATCH(F_Interface!$A66&amp;RIGHT(F_Interface!L$2, 2),'Forecast drivers'!$A$5:$A$57, 0), MATCH(F_Interface!$D66,'Forecast drivers'!$O$5:$Y$5, 0)),0)</f>
        <v>35850.263593648779</v>
      </c>
    </row>
    <row r="67" spans="1:12" x14ac:dyDescent="0.2">
      <c r="A67" s="10" t="s">
        <v>11</v>
      </c>
      <c r="B67" s="10" t="s">
        <v>134</v>
      </c>
      <c r="C67" s="10" t="str">
        <f t="shared" si="0"/>
        <v>YKYC_BN13535_BN13528_PR19CA008</v>
      </c>
      <c r="D67" s="9" t="s">
        <v>62</v>
      </c>
      <c r="E67" s="9" t="s">
        <v>74</v>
      </c>
      <c r="F67" s="135" t="s">
        <v>43</v>
      </c>
      <c r="G67" s="9" t="s">
        <v>50</v>
      </c>
      <c r="H67" s="9">
        <f>_xlfn.IFNA(INDEX('Forecast drivers'!$O$5:$Y$57, MATCH(F_Interface!$A67&amp;RIGHT(F_Interface!H$2, 2),'Forecast drivers'!$A$5:$A$57, 0), MATCH(F_Interface!$D67,'Forecast drivers'!$O$5:$Y$5, 0)),0)</f>
        <v>52401.140494565348</v>
      </c>
      <c r="I67" s="9">
        <f>_xlfn.IFNA(INDEX('Forecast drivers'!$O$5:$Y$57, MATCH(F_Interface!$A67&amp;RIGHT(F_Interface!I$2, 2),'Forecast drivers'!$A$5:$A$57, 0), MATCH(F_Interface!$D67,'Forecast drivers'!$O$5:$Y$5, 0)),0)</f>
        <v>52445.446502306469</v>
      </c>
      <c r="J67" s="9">
        <f>_xlfn.IFNA(INDEX('Forecast drivers'!$O$5:$Y$57, MATCH(F_Interface!$A67&amp;RIGHT(F_Interface!J$2, 2),'Forecast drivers'!$A$5:$A$57, 0), MATCH(F_Interface!$D67,'Forecast drivers'!$O$5:$Y$5, 0)),0)</f>
        <v>52488.75251004759</v>
      </c>
      <c r="K67" s="9">
        <f>_xlfn.IFNA(INDEX('Forecast drivers'!$O$5:$Y$57, MATCH(F_Interface!$A67&amp;RIGHT(F_Interface!K$2, 2),'Forecast drivers'!$A$5:$A$57, 0), MATCH(F_Interface!$D67,'Forecast drivers'!$O$5:$Y$5, 0)),0)</f>
        <v>52533.558517788719</v>
      </c>
      <c r="L67" s="9">
        <f>_xlfn.IFNA(INDEX('Forecast drivers'!$O$5:$Y$57, MATCH(F_Interface!$A67&amp;RIGHT(F_Interface!L$2, 2),'Forecast drivers'!$A$5:$A$57, 0), MATCH(F_Interface!$D67,'Forecast drivers'!$O$5:$Y$5, 0)),0)</f>
        <v>52577.36452552984</v>
      </c>
    </row>
    <row r="68" spans="1:12" x14ac:dyDescent="0.2">
      <c r="A68" s="10" t="s">
        <v>4</v>
      </c>
      <c r="B68" s="10" t="s">
        <v>135</v>
      </c>
      <c r="C68" s="10" t="str">
        <f t="shared" ref="C68:C118" si="1">A68&amp;B68</f>
        <v>ANHC_STWDA126_PR19CA008</v>
      </c>
      <c r="D68" s="9" t="s">
        <v>41</v>
      </c>
      <c r="E68" s="9" t="s">
        <v>75</v>
      </c>
      <c r="F68" s="135" t="s">
        <v>113</v>
      </c>
      <c r="G68" s="9" t="s">
        <v>50</v>
      </c>
      <c r="H68" s="9">
        <f>_xlfn.IFNA(INDEX('Forecast drivers'!$O$5:$Y$57, MATCH(F_Interface!$A68&amp;RIGHT(F_Interface!H$2, 2),'Forecast drivers'!$A$5:$A$57, 0), MATCH(F_Interface!$D68,'Forecast drivers'!$O$5:$Y$5, 0)),0)</f>
        <v>428562.21044348716</v>
      </c>
      <c r="I68" s="9">
        <f>_xlfn.IFNA(INDEX('Forecast drivers'!$O$5:$Y$57, MATCH(F_Interface!$A68&amp;RIGHT(F_Interface!I$2, 2),'Forecast drivers'!$A$5:$A$57, 0), MATCH(F_Interface!$D68,'Forecast drivers'!$O$5:$Y$5, 0)),0)</f>
        <v>432333.88731578167</v>
      </c>
      <c r="J68" s="9">
        <f>_xlfn.IFNA(INDEX('Forecast drivers'!$O$5:$Y$57, MATCH(F_Interface!$A68&amp;RIGHT(F_Interface!J$2, 2),'Forecast drivers'!$A$5:$A$57, 0), MATCH(F_Interface!$D68,'Forecast drivers'!$O$5:$Y$5, 0)),0)</f>
        <v>436180.20578026609</v>
      </c>
      <c r="K68" s="9">
        <f>_xlfn.IFNA(INDEX('Forecast drivers'!$O$5:$Y$57, MATCH(F_Interface!$A68&amp;RIGHT(F_Interface!K$2, 2),'Forecast drivers'!$A$5:$A$57, 0), MATCH(F_Interface!$D68,'Forecast drivers'!$O$5:$Y$5, 0)),0)</f>
        <v>439962.33486941503</v>
      </c>
      <c r="L68" s="9">
        <f>_xlfn.IFNA(INDEX('Forecast drivers'!$O$5:$Y$57, MATCH(F_Interface!$A68&amp;RIGHT(F_Interface!L$2, 2),'Forecast drivers'!$A$5:$A$57, 0), MATCH(F_Interface!$D68,'Forecast drivers'!$O$5:$Y$5, 0)),0)</f>
        <v>443574.53864427598</v>
      </c>
    </row>
    <row r="69" spans="1:12" x14ac:dyDescent="0.2">
      <c r="A69" s="10" t="s">
        <v>87</v>
      </c>
      <c r="B69" s="10" t="s">
        <v>135</v>
      </c>
      <c r="C69" s="10" t="str">
        <f t="shared" si="1"/>
        <v>HDDC_STWDA126_PR19CA008</v>
      </c>
      <c r="D69" s="9" t="s">
        <v>41</v>
      </c>
      <c r="E69" s="9" t="s">
        <v>75</v>
      </c>
      <c r="F69" s="135" t="s">
        <v>113</v>
      </c>
      <c r="G69" s="137"/>
      <c r="H69" s="9">
        <f>_xlfn.IFNA(INDEX('Forecast drivers'!$O$5:$Y$57, MATCH(F_Interface!$A69&amp;RIGHT(F_Interface!H$2, 2),'Forecast drivers'!$A$5:$A$57, 0), MATCH(F_Interface!$D69,'Forecast drivers'!$O$5:$Y$5, 0)),0)</f>
        <v>0</v>
      </c>
      <c r="I69" s="9">
        <f>_xlfn.IFNA(INDEX('Forecast drivers'!$O$5:$Y$57, MATCH(F_Interface!$A69&amp;RIGHT(F_Interface!I$2, 2),'Forecast drivers'!$A$5:$A$57, 0), MATCH(F_Interface!$D69,'Forecast drivers'!$O$5:$Y$5, 0)),0)</f>
        <v>0</v>
      </c>
      <c r="J69" s="9">
        <f>_xlfn.IFNA(INDEX('Forecast drivers'!$O$5:$Y$57, MATCH(F_Interface!$A69&amp;RIGHT(F_Interface!J$2, 2),'Forecast drivers'!$A$5:$A$57, 0), MATCH(F_Interface!$D69,'Forecast drivers'!$O$5:$Y$5, 0)),0)</f>
        <v>0</v>
      </c>
      <c r="K69" s="9">
        <f>_xlfn.IFNA(INDEX('Forecast drivers'!$O$5:$Y$57, MATCH(F_Interface!$A69&amp;RIGHT(F_Interface!K$2, 2),'Forecast drivers'!$A$5:$A$57, 0), MATCH(F_Interface!$D69,'Forecast drivers'!$O$5:$Y$5, 0)),0)</f>
        <v>0</v>
      </c>
      <c r="L69" s="9">
        <f>_xlfn.IFNA(INDEX('Forecast drivers'!$O$5:$Y$57, MATCH(F_Interface!$A69&amp;RIGHT(F_Interface!L$2, 2),'Forecast drivers'!$A$5:$A$57, 0), MATCH(F_Interface!$D69,'Forecast drivers'!$O$5:$Y$5, 0)),0)</f>
        <v>0</v>
      </c>
    </row>
    <row r="70" spans="1:12" x14ac:dyDescent="0.2">
      <c r="A70" s="10" t="s">
        <v>5</v>
      </c>
      <c r="B70" s="10" t="s">
        <v>135</v>
      </c>
      <c r="C70" s="10" t="str">
        <f t="shared" si="1"/>
        <v>NESC_STWDA126_PR19CA008</v>
      </c>
      <c r="D70" s="9" t="s">
        <v>41</v>
      </c>
      <c r="E70" s="9" t="s">
        <v>75</v>
      </c>
      <c r="F70" s="135" t="s">
        <v>113</v>
      </c>
      <c r="G70" s="9" t="s">
        <v>50</v>
      </c>
      <c r="H70" s="9">
        <f>_xlfn.IFNA(INDEX('Forecast drivers'!$O$5:$Y$57, MATCH(F_Interface!$A70&amp;RIGHT(F_Interface!H$2, 2),'Forecast drivers'!$A$5:$A$57, 0), MATCH(F_Interface!$D70,'Forecast drivers'!$O$5:$Y$5, 0)),0)</f>
        <v>179566.16666666669</v>
      </c>
      <c r="I70" s="9">
        <f>_xlfn.IFNA(INDEX('Forecast drivers'!$O$5:$Y$57, MATCH(F_Interface!$A70&amp;RIGHT(F_Interface!I$2, 2),'Forecast drivers'!$A$5:$A$57, 0), MATCH(F_Interface!$D70,'Forecast drivers'!$O$5:$Y$5, 0)),0)</f>
        <v>180096.16666666669</v>
      </c>
      <c r="J70" s="9">
        <f>_xlfn.IFNA(INDEX('Forecast drivers'!$O$5:$Y$57, MATCH(F_Interface!$A70&amp;RIGHT(F_Interface!J$2, 2),'Forecast drivers'!$A$5:$A$57, 0), MATCH(F_Interface!$D70,'Forecast drivers'!$O$5:$Y$5, 0)),0)</f>
        <v>180633.16666666669</v>
      </c>
      <c r="K70" s="9">
        <f>_xlfn.IFNA(INDEX('Forecast drivers'!$O$5:$Y$57, MATCH(F_Interface!$A70&amp;RIGHT(F_Interface!K$2, 2),'Forecast drivers'!$A$5:$A$57, 0), MATCH(F_Interface!$D70,'Forecast drivers'!$O$5:$Y$5, 0)),0)</f>
        <v>181153.16666666669</v>
      </c>
      <c r="L70" s="9">
        <f>_xlfn.IFNA(INDEX('Forecast drivers'!$O$5:$Y$57, MATCH(F_Interface!$A70&amp;RIGHT(F_Interface!L$2, 2),'Forecast drivers'!$A$5:$A$57, 0), MATCH(F_Interface!$D70,'Forecast drivers'!$O$5:$Y$5, 0)),0)</f>
        <v>181662.66666666669</v>
      </c>
    </row>
    <row r="71" spans="1:12" x14ac:dyDescent="0.2">
      <c r="A71" s="10" t="s">
        <v>6</v>
      </c>
      <c r="B71" s="10" t="s">
        <v>135</v>
      </c>
      <c r="C71" s="10" t="str">
        <f t="shared" si="1"/>
        <v>NWTC_STWDA126_PR19CA008</v>
      </c>
      <c r="D71" s="9" t="s">
        <v>41</v>
      </c>
      <c r="E71" s="9" t="s">
        <v>75</v>
      </c>
      <c r="F71" s="135" t="s">
        <v>113</v>
      </c>
      <c r="G71" s="9" t="s">
        <v>50</v>
      </c>
      <c r="H71" s="9">
        <f>_xlfn.IFNA(INDEX('Forecast drivers'!$O$5:$Y$57, MATCH(F_Interface!$A71&amp;RIGHT(F_Interface!H$2, 2),'Forecast drivers'!$A$5:$A$57, 0), MATCH(F_Interface!$D71,'Forecast drivers'!$O$5:$Y$5, 0)),0)</f>
        <v>551503.17766065802</v>
      </c>
      <c r="I71" s="9">
        <f>_xlfn.IFNA(INDEX('Forecast drivers'!$O$5:$Y$57, MATCH(F_Interface!$A71&amp;RIGHT(F_Interface!I$2, 2),'Forecast drivers'!$A$5:$A$57, 0), MATCH(F_Interface!$D71,'Forecast drivers'!$O$5:$Y$5, 0)),0)</f>
        <v>553055.23227713699</v>
      </c>
      <c r="J71" s="9">
        <f>_xlfn.IFNA(INDEX('Forecast drivers'!$O$5:$Y$57, MATCH(F_Interface!$A71&amp;RIGHT(F_Interface!J$2, 2),'Forecast drivers'!$A$5:$A$57, 0), MATCH(F_Interface!$D71,'Forecast drivers'!$O$5:$Y$5, 0)),0)</f>
        <v>554988.97589978401</v>
      </c>
      <c r="K71" s="9">
        <f>_xlfn.IFNA(INDEX('Forecast drivers'!$O$5:$Y$57, MATCH(F_Interface!$A71&amp;RIGHT(F_Interface!K$2, 2),'Forecast drivers'!$A$5:$A$57, 0), MATCH(F_Interface!$D71,'Forecast drivers'!$O$5:$Y$5, 0)),0)</f>
        <v>556166.51190411695</v>
      </c>
      <c r="L71" s="9">
        <f>_xlfn.IFNA(INDEX('Forecast drivers'!$O$5:$Y$57, MATCH(F_Interface!$A71&amp;RIGHT(F_Interface!L$2, 2),'Forecast drivers'!$A$5:$A$57, 0), MATCH(F_Interface!$D71,'Forecast drivers'!$O$5:$Y$5, 0)),0)</f>
        <v>557450.77872097702</v>
      </c>
    </row>
    <row r="72" spans="1:12" x14ac:dyDescent="0.2">
      <c r="A72" s="10" t="s">
        <v>7</v>
      </c>
      <c r="B72" s="10" t="s">
        <v>135</v>
      </c>
      <c r="C72" s="10" t="str">
        <f t="shared" si="1"/>
        <v>SRNC_STWDA126_PR19CA008</v>
      </c>
      <c r="D72" s="9" t="s">
        <v>41</v>
      </c>
      <c r="E72" s="9" t="s">
        <v>75</v>
      </c>
      <c r="F72" s="135" t="s">
        <v>113</v>
      </c>
      <c r="G72" s="9" t="s">
        <v>50</v>
      </c>
      <c r="H72" s="9">
        <f>_xlfn.IFNA(INDEX('Forecast drivers'!$O$5:$Y$57, MATCH(F_Interface!$A72&amp;RIGHT(F_Interface!H$2, 2),'Forecast drivers'!$A$5:$A$57, 0), MATCH(F_Interface!$D72,'Forecast drivers'!$O$5:$Y$5, 0)),0)</f>
        <v>307828.44257788302</v>
      </c>
      <c r="I72" s="9">
        <f>_xlfn.IFNA(INDEX('Forecast drivers'!$O$5:$Y$57, MATCH(F_Interface!$A72&amp;RIGHT(F_Interface!I$2, 2),'Forecast drivers'!$A$5:$A$57, 0), MATCH(F_Interface!$D72,'Forecast drivers'!$O$5:$Y$5, 0)),0)</f>
        <v>310380.72120291</v>
      </c>
      <c r="J72" s="9">
        <f>_xlfn.IFNA(INDEX('Forecast drivers'!$O$5:$Y$57, MATCH(F_Interface!$A72&amp;RIGHT(F_Interface!J$2, 2),'Forecast drivers'!$A$5:$A$57, 0), MATCH(F_Interface!$D72,'Forecast drivers'!$O$5:$Y$5, 0)),0)</f>
        <v>312948.60868736001</v>
      </c>
      <c r="K72" s="9">
        <f>_xlfn.IFNA(INDEX('Forecast drivers'!$O$5:$Y$57, MATCH(F_Interface!$A72&amp;RIGHT(F_Interface!K$2, 2),'Forecast drivers'!$A$5:$A$57, 0), MATCH(F_Interface!$D72,'Forecast drivers'!$O$5:$Y$5, 0)),0)</f>
        <v>315489.91022840602</v>
      </c>
      <c r="L72" s="9">
        <f>_xlfn.IFNA(INDEX('Forecast drivers'!$O$5:$Y$57, MATCH(F_Interface!$A72&amp;RIGHT(F_Interface!L$2, 2),'Forecast drivers'!$A$5:$A$57, 0), MATCH(F_Interface!$D72,'Forecast drivers'!$O$5:$Y$5, 0)),0)</f>
        <v>317910.93722522102</v>
      </c>
    </row>
    <row r="73" spans="1:12" x14ac:dyDescent="0.2">
      <c r="A73" s="10" t="s">
        <v>116</v>
      </c>
      <c r="B73" s="10" t="s">
        <v>135</v>
      </c>
      <c r="C73" s="10" t="str">
        <f t="shared" si="1"/>
        <v>SVEC_STWDA126_PR19CA008</v>
      </c>
      <c r="D73" s="9" t="s">
        <v>41</v>
      </c>
      <c r="E73" s="9" t="s">
        <v>75</v>
      </c>
      <c r="F73" s="135" t="s">
        <v>113</v>
      </c>
      <c r="G73" s="9" t="s">
        <v>50</v>
      </c>
      <c r="H73" s="9">
        <f>_xlfn.IFNA(INDEX('Forecast drivers'!$O$5:$Y$57, MATCH(F_Interface!$A73&amp;RIGHT(F_Interface!H$2, 2),'Forecast drivers'!$A$5:$A$57, 0), MATCH(F_Interface!$D73,'Forecast drivers'!$O$5:$Y$5, 0)),0)</f>
        <v>0</v>
      </c>
      <c r="I73" s="9">
        <f>_xlfn.IFNA(INDEX('Forecast drivers'!$O$5:$Y$57, MATCH(F_Interface!$A73&amp;RIGHT(F_Interface!I$2, 2),'Forecast drivers'!$A$5:$A$57, 0), MATCH(F_Interface!$D73,'Forecast drivers'!$O$5:$Y$5, 0)),0)</f>
        <v>0</v>
      </c>
      <c r="J73" s="9">
        <f>_xlfn.IFNA(INDEX('Forecast drivers'!$O$5:$Y$57, MATCH(F_Interface!$A73&amp;RIGHT(F_Interface!J$2, 2),'Forecast drivers'!$A$5:$A$57, 0), MATCH(F_Interface!$D73,'Forecast drivers'!$O$5:$Y$5, 0)),0)</f>
        <v>0</v>
      </c>
      <c r="K73" s="9">
        <f>_xlfn.IFNA(INDEX('Forecast drivers'!$O$5:$Y$57, MATCH(F_Interface!$A73&amp;RIGHT(F_Interface!K$2, 2),'Forecast drivers'!$A$5:$A$57, 0), MATCH(F_Interface!$D73,'Forecast drivers'!$O$5:$Y$5, 0)),0)</f>
        <v>0</v>
      </c>
      <c r="L73" s="9">
        <f>_xlfn.IFNA(INDEX('Forecast drivers'!$O$5:$Y$57, MATCH(F_Interface!$A73&amp;RIGHT(F_Interface!L$2, 2),'Forecast drivers'!$A$5:$A$57, 0), MATCH(F_Interface!$D73,'Forecast drivers'!$O$5:$Y$5, 0)),0)</f>
        <v>0</v>
      </c>
    </row>
    <row r="74" spans="1:12" x14ac:dyDescent="0.2">
      <c r="A74" s="10" t="s">
        <v>101</v>
      </c>
      <c r="B74" s="10" t="s">
        <v>135</v>
      </c>
      <c r="C74" s="10" t="str">
        <f t="shared" si="1"/>
        <v>SVHC_STWDA126_PR19CA008</v>
      </c>
      <c r="D74" s="9" t="s">
        <v>41</v>
      </c>
      <c r="E74" s="9" t="s">
        <v>75</v>
      </c>
      <c r="F74" s="135" t="s">
        <v>113</v>
      </c>
      <c r="G74" s="9" t="s">
        <v>50</v>
      </c>
      <c r="H74" s="9">
        <f>_xlfn.IFNA(INDEX('Forecast drivers'!$O$5:$Y$57, MATCH(F_Interface!$A74&amp;RIGHT(F_Interface!H$2, 2),'Forecast drivers'!$A$5:$A$57, 0), MATCH(F_Interface!$D74,'Forecast drivers'!$O$5:$Y$5, 0)),0)</f>
        <v>620579</v>
      </c>
      <c r="I74" s="9">
        <f>_xlfn.IFNA(INDEX('Forecast drivers'!$O$5:$Y$57, MATCH(F_Interface!$A74&amp;RIGHT(F_Interface!I$2, 2),'Forecast drivers'!$A$5:$A$57, 0), MATCH(F_Interface!$D74,'Forecast drivers'!$O$5:$Y$5, 0)),0)</f>
        <v>623218</v>
      </c>
      <c r="J74" s="9">
        <f>_xlfn.IFNA(INDEX('Forecast drivers'!$O$5:$Y$57, MATCH(F_Interface!$A74&amp;RIGHT(F_Interface!J$2, 2),'Forecast drivers'!$A$5:$A$57, 0), MATCH(F_Interface!$D74,'Forecast drivers'!$O$5:$Y$5, 0)),0)</f>
        <v>625928</v>
      </c>
      <c r="K74" s="9">
        <f>_xlfn.IFNA(INDEX('Forecast drivers'!$O$5:$Y$57, MATCH(F_Interface!$A74&amp;RIGHT(F_Interface!K$2, 2),'Forecast drivers'!$A$5:$A$57, 0), MATCH(F_Interface!$D74,'Forecast drivers'!$O$5:$Y$5, 0)),0)</f>
        <v>628638</v>
      </c>
      <c r="L74" s="9">
        <f>_xlfn.IFNA(INDEX('Forecast drivers'!$O$5:$Y$57, MATCH(F_Interface!$A74&amp;RIGHT(F_Interface!L$2, 2),'Forecast drivers'!$A$5:$A$57, 0), MATCH(F_Interface!$D74,'Forecast drivers'!$O$5:$Y$5, 0)),0)</f>
        <v>631344</v>
      </c>
    </row>
    <row r="75" spans="1:12" x14ac:dyDescent="0.2">
      <c r="A75" s="10" t="s">
        <v>8</v>
      </c>
      <c r="B75" s="10" t="s">
        <v>135</v>
      </c>
      <c r="C75" s="10" t="str">
        <f t="shared" si="1"/>
        <v>SVTC_STWDA126_PR19CA008</v>
      </c>
      <c r="D75" s="9" t="s">
        <v>41</v>
      </c>
      <c r="E75" s="9" t="s">
        <v>75</v>
      </c>
      <c r="F75" s="135" t="s">
        <v>113</v>
      </c>
      <c r="G75" s="9" t="s">
        <v>50</v>
      </c>
      <c r="H75" s="9">
        <f>_xlfn.IFNA(INDEX('Forecast drivers'!$O$5:$Y$57, MATCH(F_Interface!$A75&amp;RIGHT(F_Interface!H$2, 2),'Forecast drivers'!$A$5:$A$57, 0), MATCH(F_Interface!$D75,'Forecast drivers'!$O$5:$Y$5, 0)),0)</f>
        <v>0</v>
      </c>
      <c r="I75" s="9">
        <f>_xlfn.IFNA(INDEX('Forecast drivers'!$O$5:$Y$57, MATCH(F_Interface!$A75&amp;RIGHT(F_Interface!I$2, 2),'Forecast drivers'!$A$5:$A$57, 0), MATCH(F_Interface!$D75,'Forecast drivers'!$O$5:$Y$5, 0)),0)</f>
        <v>0</v>
      </c>
      <c r="J75" s="9">
        <f>_xlfn.IFNA(INDEX('Forecast drivers'!$O$5:$Y$57, MATCH(F_Interface!$A75&amp;RIGHT(F_Interface!J$2, 2),'Forecast drivers'!$A$5:$A$57, 0), MATCH(F_Interface!$D75,'Forecast drivers'!$O$5:$Y$5, 0)),0)</f>
        <v>0</v>
      </c>
      <c r="K75" s="9">
        <f>_xlfn.IFNA(INDEX('Forecast drivers'!$O$5:$Y$57, MATCH(F_Interface!$A75&amp;RIGHT(F_Interface!K$2, 2),'Forecast drivers'!$A$5:$A$57, 0), MATCH(F_Interface!$D75,'Forecast drivers'!$O$5:$Y$5, 0)),0)</f>
        <v>0</v>
      </c>
      <c r="L75" s="9">
        <f>_xlfn.IFNA(INDEX('Forecast drivers'!$O$5:$Y$57, MATCH(F_Interface!$A75&amp;RIGHT(F_Interface!L$2, 2),'Forecast drivers'!$A$5:$A$57, 0), MATCH(F_Interface!$D75,'Forecast drivers'!$O$5:$Y$5, 0)),0)</f>
        <v>0</v>
      </c>
    </row>
    <row r="76" spans="1:12" x14ac:dyDescent="0.2">
      <c r="A76" s="10" t="s">
        <v>12</v>
      </c>
      <c r="B76" s="10" t="s">
        <v>135</v>
      </c>
      <c r="C76" s="10" t="str">
        <f t="shared" si="1"/>
        <v>SWBC_STWDA126_PR19CA008</v>
      </c>
      <c r="D76" s="9" t="s">
        <v>41</v>
      </c>
      <c r="E76" s="9" t="s">
        <v>75</v>
      </c>
      <c r="F76" s="135" t="s">
        <v>113</v>
      </c>
      <c r="G76" s="9" t="s">
        <v>50</v>
      </c>
      <c r="H76" s="9">
        <f>_xlfn.IFNA(INDEX('Forecast drivers'!$O$5:$Y$57, MATCH(F_Interface!$A76&amp;RIGHT(F_Interface!H$2, 2),'Forecast drivers'!$A$5:$A$57, 0), MATCH(F_Interface!$D76,'Forecast drivers'!$O$5:$Y$5, 0)),0)</f>
        <v>108375</v>
      </c>
      <c r="I76" s="9">
        <f>_xlfn.IFNA(INDEX('Forecast drivers'!$O$5:$Y$57, MATCH(F_Interface!$A76&amp;RIGHT(F_Interface!I$2, 2),'Forecast drivers'!$A$5:$A$57, 0), MATCH(F_Interface!$D76,'Forecast drivers'!$O$5:$Y$5, 0)),0)</f>
        <v>109045</v>
      </c>
      <c r="J76" s="9">
        <f>_xlfn.IFNA(INDEX('Forecast drivers'!$O$5:$Y$57, MATCH(F_Interface!$A76&amp;RIGHT(F_Interface!J$2, 2),'Forecast drivers'!$A$5:$A$57, 0), MATCH(F_Interface!$D76,'Forecast drivers'!$O$5:$Y$5, 0)),0)</f>
        <v>109734</v>
      </c>
      <c r="K76" s="9">
        <f>_xlfn.IFNA(INDEX('Forecast drivers'!$O$5:$Y$57, MATCH(F_Interface!$A76&amp;RIGHT(F_Interface!K$2, 2),'Forecast drivers'!$A$5:$A$57, 0), MATCH(F_Interface!$D76,'Forecast drivers'!$O$5:$Y$5, 0)),0)</f>
        <v>110366</v>
      </c>
      <c r="L76" s="9">
        <f>_xlfn.IFNA(INDEX('Forecast drivers'!$O$5:$Y$57, MATCH(F_Interface!$A76&amp;RIGHT(F_Interface!L$2, 2),'Forecast drivers'!$A$5:$A$57, 0), MATCH(F_Interface!$D76,'Forecast drivers'!$O$5:$Y$5, 0)),0)</f>
        <v>111067</v>
      </c>
    </row>
    <row r="77" spans="1:12" x14ac:dyDescent="0.2">
      <c r="A77" s="10" t="s">
        <v>9</v>
      </c>
      <c r="B77" s="10" t="s">
        <v>135</v>
      </c>
      <c r="C77" s="10" t="str">
        <f t="shared" si="1"/>
        <v>TMSC_STWDA126_PR19CA008</v>
      </c>
      <c r="D77" s="9" t="s">
        <v>41</v>
      </c>
      <c r="E77" s="9" t="s">
        <v>75</v>
      </c>
      <c r="F77" s="135" t="s">
        <v>113</v>
      </c>
      <c r="G77" s="9" t="s">
        <v>50</v>
      </c>
      <c r="H77" s="9">
        <f>_xlfn.IFNA(INDEX('Forecast drivers'!$O$5:$Y$57, MATCH(F_Interface!$A77&amp;RIGHT(F_Interface!H$2, 2),'Forecast drivers'!$A$5:$A$57, 0), MATCH(F_Interface!$D77,'Forecast drivers'!$O$5:$Y$5, 0)),0)</f>
        <v>992645.94</v>
      </c>
      <c r="I77" s="9">
        <f>_xlfn.IFNA(INDEX('Forecast drivers'!$O$5:$Y$57, MATCH(F_Interface!$A77&amp;RIGHT(F_Interface!I$2, 2),'Forecast drivers'!$A$5:$A$57, 0), MATCH(F_Interface!$D77,'Forecast drivers'!$O$5:$Y$5, 0)),0)</f>
        <v>999357.96</v>
      </c>
      <c r="J77" s="9">
        <f>_xlfn.IFNA(INDEX('Forecast drivers'!$O$5:$Y$57, MATCH(F_Interface!$A77&amp;RIGHT(F_Interface!J$2, 2),'Forecast drivers'!$A$5:$A$57, 0), MATCH(F_Interface!$D77,'Forecast drivers'!$O$5:$Y$5, 0)),0)</f>
        <v>1005515.1</v>
      </c>
      <c r="K77" s="9">
        <f>_xlfn.IFNA(INDEX('Forecast drivers'!$O$5:$Y$57, MATCH(F_Interface!$A77&amp;RIGHT(F_Interface!K$2, 2),'Forecast drivers'!$A$5:$A$57, 0), MATCH(F_Interface!$D77,'Forecast drivers'!$O$5:$Y$5, 0)),0)</f>
        <v>1011118.38</v>
      </c>
      <c r="L77" s="9">
        <f>_xlfn.IFNA(INDEX('Forecast drivers'!$O$5:$Y$57, MATCH(F_Interface!$A77&amp;RIGHT(F_Interface!L$2, 2),'Forecast drivers'!$A$5:$A$57, 0), MATCH(F_Interface!$D77,'Forecast drivers'!$O$5:$Y$5, 0)),0)</f>
        <v>1016542.5</v>
      </c>
    </row>
    <row r="78" spans="1:12" x14ac:dyDescent="0.2">
      <c r="A78" s="10" t="s">
        <v>15</v>
      </c>
      <c r="B78" s="10" t="s">
        <v>135</v>
      </c>
      <c r="C78" s="10" t="str">
        <f t="shared" si="1"/>
        <v>WSHC_STWDA126_PR19CA008</v>
      </c>
      <c r="D78" s="9" t="s">
        <v>41</v>
      </c>
      <c r="E78" s="9" t="s">
        <v>75</v>
      </c>
      <c r="F78" s="135" t="s">
        <v>113</v>
      </c>
      <c r="G78" s="9" t="s">
        <v>50</v>
      </c>
      <c r="H78" s="9">
        <f>_xlfn.IFNA(INDEX('Forecast drivers'!$O$5:$Y$57, MATCH(F_Interface!$A78&amp;RIGHT(F_Interface!H$2, 2),'Forecast drivers'!$A$5:$A$57, 0), MATCH(F_Interface!$D78,'Forecast drivers'!$O$5:$Y$5, 0)),0)</f>
        <v>249531.219161791</v>
      </c>
      <c r="I78" s="9">
        <f>_xlfn.IFNA(INDEX('Forecast drivers'!$O$5:$Y$57, MATCH(F_Interface!$A78&amp;RIGHT(F_Interface!I$2, 2),'Forecast drivers'!$A$5:$A$57, 0), MATCH(F_Interface!$D78,'Forecast drivers'!$O$5:$Y$5, 0)),0)</f>
        <v>250892.506371314</v>
      </c>
      <c r="J78" s="9">
        <f>_xlfn.IFNA(INDEX('Forecast drivers'!$O$5:$Y$57, MATCH(F_Interface!$A78&amp;RIGHT(F_Interface!J$2, 2),'Forecast drivers'!$A$5:$A$57, 0), MATCH(F_Interface!$D78,'Forecast drivers'!$O$5:$Y$5, 0)),0)</f>
        <v>252737.89214154999</v>
      </c>
      <c r="K78" s="9">
        <f>_xlfn.IFNA(INDEX('Forecast drivers'!$O$5:$Y$57, MATCH(F_Interface!$A78&amp;RIGHT(F_Interface!K$2, 2),'Forecast drivers'!$A$5:$A$57, 0), MATCH(F_Interface!$D78,'Forecast drivers'!$O$5:$Y$5, 0)),0)</f>
        <v>254157.35074691099</v>
      </c>
      <c r="L78" s="9">
        <f>_xlfn.IFNA(INDEX('Forecast drivers'!$O$5:$Y$57, MATCH(F_Interface!$A78&amp;RIGHT(F_Interface!L$2, 2),'Forecast drivers'!$A$5:$A$57, 0), MATCH(F_Interface!$D78,'Forecast drivers'!$O$5:$Y$5, 0)),0)</f>
        <v>255588.733667241</v>
      </c>
    </row>
    <row r="79" spans="1:12" x14ac:dyDescent="0.2">
      <c r="A79" s="10" t="s">
        <v>10</v>
      </c>
      <c r="B79" s="10" t="s">
        <v>135</v>
      </c>
      <c r="C79" s="10" t="str">
        <f t="shared" si="1"/>
        <v>WSXC_STWDA126_PR19CA008</v>
      </c>
      <c r="D79" s="9" t="s">
        <v>41</v>
      </c>
      <c r="E79" s="9" t="s">
        <v>75</v>
      </c>
      <c r="F79" s="135" t="s">
        <v>113</v>
      </c>
      <c r="G79" s="9" t="s">
        <v>50</v>
      </c>
      <c r="H79" s="9">
        <f>_xlfn.IFNA(INDEX('Forecast drivers'!$O$5:$Y$57, MATCH(F_Interface!$A79&amp;RIGHT(F_Interface!H$2, 2),'Forecast drivers'!$A$5:$A$57, 0), MATCH(F_Interface!$D79,'Forecast drivers'!$O$5:$Y$5, 0)),0)</f>
        <v>186437.81486047001</v>
      </c>
      <c r="I79" s="9">
        <f>_xlfn.IFNA(INDEX('Forecast drivers'!$O$5:$Y$57, MATCH(F_Interface!$A79&amp;RIGHT(F_Interface!I$2, 2),'Forecast drivers'!$A$5:$A$57, 0), MATCH(F_Interface!$D79,'Forecast drivers'!$O$5:$Y$5, 0)),0)</f>
        <v>187642.228601282</v>
      </c>
      <c r="J79" s="9">
        <f>_xlfn.IFNA(INDEX('Forecast drivers'!$O$5:$Y$57, MATCH(F_Interface!$A79&amp;RIGHT(F_Interface!J$2, 2),'Forecast drivers'!$A$5:$A$57, 0), MATCH(F_Interface!$D79,'Forecast drivers'!$O$5:$Y$5, 0)),0)</f>
        <v>188656.413376012</v>
      </c>
      <c r="K79" s="9">
        <f>_xlfn.IFNA(INDEX('Forecast drivers'!$O$5:$Y$57, MATCH(F_Interface!$A79&amp;RIGHT(F_Interface!K$2, 2),'Forecast drivers'!$A$5:$A$57, 0), MATCH(F_Interface!$D79,'Forecast drivers'!$O$5:$Y$5, 0)),0)</f>
        <v>189408.08281807901</v>
      </c>
      <c r="L79" s="9">
        <f>_xlfn.IFNA(INDEX('Forecast drivers'!$O$5:$Y$57, MATCH(F_Interface!$A79&amp;RIGHT(F_Interface!L$2, 2),'Forecast drivers'!$A$5:$A$57, 0), MATCH(F_Interface!$D79,'Forecast drivers'!$O$5:$Y$5, 0)),0)</f>
        <v>190160.956337507</v>
      </c>
    </row>
    <row r="80" spans="1:12" x14ac:dyDescent="0.2">
      <c r="A80" s="10" t="s">
        <v>11</v>
      </c>
      <c r="B80" s="10" t="s">
        <v>135</v>
      </c>
      <c r="C80" s="10" t="str">
        <f t="shared" si="1"/>
        <v>YKYC_STWDA126_PR19CA008</v>
      </c>
      <c r="D80" s="9" t="s">
        <v>41</v>
      </c>
      <c r="E80" s="9" t="s">
        <v>75</v>
      </c>
      <c r="F80" s="135" t="s">
        <v>113</v>
      </c>
      <c r="G80" s="9" t="s">
        <v>50</v>
      </c>
      <c r="H80" s="9">
        <f>_xlfn.IFNA(INDEX('Forecast drivers'!$O$5:$Y$57, MATCH(F_Interface!$A80&amp;RIGHT(F_Interface!H$2, 2),'Forecast drivers'!$A$5:$A$57, 0), MATCH(F_Interface!$D80,'Forecast drivers'!$O$5:$Y$5, 0)),0)</f>
        <v>352236</v>
      </c>
      <c r="I80" s="9">
        <f>_xlfn.IFNA(INDEX('Forecast drivers'!$O$5:$Y$57, MATCH(F_Interface!$A80&amp;RIGHT(F_Interface!I$2, 2),'Forecast drivers'!$A$5:$A$57, 0), MATCH(F_Interface!$D80,'Forecast drivers'!$O$5:$Y$5, 0)),0)</f>
        <v>354659</v>
      </c>
      <c r="J80" s="9">
        <f>_xlfn.IFNA(INDEX('Forecast drivers'!$O$5:$Y$57, MATCH(F_Interface!$A80&amp;RIGHT(F_Interface!J$2, 2),'Forecast drivers'!$A$5:$A$57, 0), MATCH(F_Interface!$D80,'Forecast drivers'!$O$5:$Y$5, 0)),0)</f>
        <v>357144</v>
      </c>
      <c r="K80" s="9">
        <f>_xlfn.IFNA(INDEX('Forecast drivers'!$O$5:$Y$57, MATCH(F_Interface!$A80&amp;RIGHT(F_Interface!K$2, 2),'Forecast drivers'!$A$5:$A$57, 0), MATCH(F_Interface!$D80,'Forecast drivers'!$O$5:$Y$5, 0)),0)</f>
        <v>359583</v>
      </c>
      <c r="L80" s="9">
        <f>_xlfn.IFNA(INDEX('Forecast drivers'!$O$5:$Y$57, MATCH(F_Interface!$A80&amp;RIGHT(F_Interface!L$2, 2),'Forecast drivers'!$A$5:$A$57, 0), MATCH(F_Interface!$D80,'Forecast drivers'!$O$5:$Y$5, 0)),0)</f>
        <v>362091</v>
      </c>
    </row>
    <row r="81" spans="1:12" x14ac:dyDescent="0.2">
      <c r="A81" s="10" t="s">
        <v>4</v>
      </c>
      <c r="B81" s="10" t="s">
        <v>136</v>
      </c>
      <c r="C81" s="10" t="str">
        <f t="shared" si="1"/>
        <v>ANHC_MP05611_PR19CA008</v>
      </c>
      <c r="D81" s="9" t="s">
        <v>63</v>
      </c>
      <c r="E81" s="9" t="s">
        <v>76</v>
      </c>
      <c r="F81" s="135" t="s">
        <v>77</v>
      </c>
      <c r="G81" s="137"/>
      <c r="H81" s="9">
        <f>_xlfn.IFNA(INDEX('Forecast drivers'!$O$5:$Y$57, MATCH(F_Interface!$A81&amp;RIGHT(F_Interface!H$2, 2),'Forecast drivers'!$A$5:$A$57, 0), MATCH(F_Interface!$D81,'Forecast drivers'!$O$5:$Y$5, 0)),0)</f>
        <v>156.44129000000001</v>
      </c>
      <c r="I81" s="9">
        <f>_xlfn.IFNA(INDEX('Forecast drivers'!$O$5:$Y$57, MATCH(F_Interface!$A81&amp;RIGHT(F_Interface!I$2, 2),'Forecast drivers'!$A$5:$A$57, 0), MATCH(F_Interface!$D81,'Forecast drivers'!$O$5:$Y$5, 0)),0)</f>
        <v>157.91130999999999</v>
      </c>
      <c r="J81" s="9">
        <f>_xlfn.IFNA(INDEX('Forecast drivers'!$O$5:$Y$57, MATCH(F_Interface!$A81&amp;RIGHT(F_Interface!J$2, 2),'Forecast drivers'!$A$5:$A$57, 0), MATCH(F_Interface!$D81,'Forecast drivers'!$O$5:$Y$5, 0)),0)</f>
        <v>159.32920999999999</v>
      </c>
      <c r="K81" s="9">
        <f>_xlfn.IFNA(INDEX('Forecast drivers'!$O$5:$Y$57, MATCH(F_Interface!$A81&amp;RIGHT(F_Interface!K$2, 2),'Forecast drivers'!$A$5:$A$57, 0), MATCH(F_Interface!$D81,'Forecast drivers'!$O$5:$Y$5, 0)),0)</f>
        <v>160.71587</v>
      </c>
      <c r="L81" s="9">
        <f>_xlfn.IFNA(INDEX('Forecast drivers'!$O$5:$Y$57, MATCH(F_Interface!$A81&amp;RIGHT(F_Interface!L$2, 2),'Forecast drivers'!$A$5:$A$57, 0), MATCH(F_Interface!$D81,'Forecast drivers'!$O$5:$Y$5, 0)),0)</f>
        <v>166.13853</v>
      </c>
    </row>
    <row r="82" spans="1:12" x14ac:dyDescent="0.2">
      <c r="A82" s="10" t="s">
        <v>87</v>
      </c>
      <c r="B82" s="10" t="s">
        <v>136</v>
      </c>
      <c r="C82" s="10" t="str">
        <f t="shared" si="1"/>
        <v>HDDC_MP05611_PR19CA008</v>
      </c>
      <c r="D82" s="9" t="s">
        <v>63</v>
      </c>
      <c r="E82" s="9" t="s">
        <v>76</v>
      </c>
      <c r="F82" s="135" t="s">
        <v>77</v>
      </c>
      <c r="G82" s="9" t="s">
        <v>50</v>
      </c>
      <c r="H82" s="9">
        <f>_xlfn.IFNA(INDEX('Forecast drivers'!$O$5:$Y$57, MATCH(F_Interface!$A82&amp;RIGHT(F_Interface!H$2, 2),'Forecast drivers'!$A$5:$A$57, 0), MATCH(F_Interface!$D82,'Forecast drivers'!$O$5:$Y$5, 0)),0)</f>
        <v>0</v>
      </c>
      <c r="I82" s="9">
        <f>_xlfn.IFNA(INDEX('Forecast drivers'!$O$5:$Y$57, MATCH(F_Interface!$A82&amp;RIGHT(F_Interface!I$2, 2),'Forecast drivers'!$A$5:$A$57, 0), MATCH(F_Interface!$D82,'Forecast drivers'!$O$5:$Y$5, 0)),0)</f>
        <v>0</v>
      </c>
      <c r="J82" s="9">
        <f>_xlfn.IFNA(INDEX('Forecast drivers'!$O$5:$Y$57, MATCH(F_Interface!$A82&amp;RIGHT(F_Interface!J$2, 2),'Forecast drivers'!$A$5:$A$57, 0), MATCH(F_Interface!$D82,'Forecast drivers'!$O$5:$Y$5, 0)),0)</f>
        <v>0</v>
      </c>
      <c r="K82" s="9">
        <f>_xlfn.IFNA(INDEX('Forecast drivers'!$O$5:$Y$57, MATCH(F_Interface!$A82&amp;RIGHT(F_Interface!K$2, 2),'Forecast drivers'!$A$5:$A$57, 0), MATCH(F_Interface!$D82,'Forecast drivers'!$O$5:$Y$5, 0)),0)</f>
        <v>0</v>
      </c>
      <c r="L82" s="9">
        <f>_xlfn.IFNA(INDEX('Forecast drivers'!$O$5:$Y$57, MATCH(F_Interface!$A82&amp;RIGHT(F_Interface!L$2, 2),'Forecast drivers'!$A$5:$A$57, 0), MATCH(F_Interface!$D82,'Forecast drivers'!$O$5:$Y$5, 0)),0)</f>
        <v>0</v>
      </c>
    </row>
    <row r="83" spans="1:12" x14ac:dyDescent="0.2">
      <c r="A83" s="10" t="s">
        <v>5</v>
      </c>
      <c r="B83" s="10" t="s">
        <v>136</v>
      </c>
      <c r="C83" s="10" t="str">
        <f t="shared" si="1"/>
        <v>NESC_MP05611_PR19CA008</v>
      </c>
      <c r="D83" s="9" t="s">
        <v>63</v>
      </c>
      <c r="E83" s="9" t="s">
        <v>76</v>
      </c>
      <c r="F83" s="135" t="s">
        <v>77</v>
      </c>
      <c r="G83" s="9" t="s">
        <v>50</v>
      </c>
      <c r="H83" s="9">
        <f>_xlfn.IFNA(INDEX('Forecast drivers'!$O$5:$Y$57, MATCH(F_Interface!$A83&amp;RIGHT(F_Interface!H$2, 2),'Forecast drivers'!$A$5:$A$57, 0), MATCH(F_Interface!$D83,'Forecast drivers'!$O$5:$Y$5, 0)),0)</f>
        <v>72.7</v>
      </c>
      <c r="I83" s="9">
        <f>_xlfn.IFNA(INDEX('Forecast drivers'!$O$5:$Y$57, MATCH(F_Interface!$A83&amp;RIGHT(F_Interface!I$2, 2),'Forecast drivers'!$A$5:$A$57, 0), MATCH(F_Interface!$D83,'Forecast drivers'!$O$5:$Y$5, 0)),0)</f>
        <v>73.5</v>
      </c>
      <c r="J83" s="9">
        <f>_xlfn.IFNA(INDEX('Forecast drivers'!$O$5:$Y$57, MATCH(F_Interface!$A83&amp;RIGHT(F_Interface!J$2, 2),'Forecast drivers'!$A$5:$A$57, 0), MATCH(F_Interface!$D83,'Forecast drivers'!$O$5:$Y$5, 0)),0)</f>
        <v>74.2</v>
      </c>
      <c r="K83" s="9">
        <f>_xlfn.IFNA(INDEX('Forecast drivers'!$O$5:$Y$57, MATCH(F_Interface!$A83&amp;RIGHT(F_Interface!K$2, 2),'Forecast drivers'!$A$5:$A$57, 0), MATCH(F_Interface!$D83,'Forecast drivers'!$O$5:$Y$5, 0)),0)</f>
        <v>75</v>
      </c>
      <c r="L83" s="9">
        <f>_xlfn.IFNA(INDEX('Forecast drivers'!$O$5:$Y$57, MATCH(F_Interface!$A83&amp;RIGHT(F_Interface!L$2, 2),'Forecast drivers'!$A$5:$A$57, 0), MATCH(F_Interface!$D83,'Forecast drivers'!$O$5:$Y$5, 0)),0)</f>
        <v>75.7</v>
      </c>
    </row>
    <row r="84" spans="1:12" x14ac:dyDescent="0.2">
      <c r="A84" s="10" t="s">
        <v>6</v>
      </c>
      <c r="B84" s="10" t="s">
        <v>136</v>
      </c>
      <c r="C84" s="10" t="str">
        <f t="shared" si="1"/>
        <v>NWTC_MP05611_PR19CA008</v>
      </c>
      <c r="D84" s="9" t="s">
        <v>63</v>
      </c>
      <c r="E84" s="9" t="s">
        <v>76</v>
      </c>
      <c r="F84" s="135" t="s">
        <v>77</v>
      </c>
      <c r="G84" s="9" t="s">
        <v>50</v>
      </c>
      <c r="H84" s="9">
        <f>_xlfn.IFNA(INDEX('Forecast drivers'!$O$5:$Y$57, MATCH(F_Interface!$A84&amp;RIGHT(F_Interface!H$2, 2),'Forecast drivers'!$A$5:$A$57, 0), MATCH(F_Interface!$D84,'Forecast drivers'!$O$5:$Y$5, 0)),0)</f>
        <v>195.962014535984</v>
      </c>
      <c r="I84" s="9">
        <f>_xlfn.IFNA(INDEX('Forecast drivers'!$O$5:$Y$57, MATCH(F_Interface!$A84&amp;RIGHT(F_Interface!I$2, 2),'Forecast drivers'!$A$5:$A$57, 0), MATCH(F_Interface!$D84,'Forecast drivers'!$O$5:$Y$5, 0)),0)</f>
        <v>197.39397487372301</v>
      </c>
      <c r="J84" s="9">
        <f>_xlfn.IFNA(INDEX('Forecast drivers'!$O$5:$Y$57, MATCH(F_Interface!$A84&amp;RIGHT(F_Interface!J$2, 2),'Forecast drivers'!$A$5:$A$57, 0), MATCH(F_Interface!$D84,'Forecast drivers'!$O$5:$Y$5, 0)),0)</f>
        <v>199.215599845935</v>
      </c>
      <c r="K84" s="9">
        <f>_xlfn.IFNA(INDEX('Forecast drivers'!$O$5:$Y$57, MATCH(F_Interface!$A84&amp;RIGHT(F_Interface!K$2, 2),'Forecast drivers'!$A$5:$A$57, 0), MATCH(F_Interface!$D84,'Forecast drivers'!$O$5:$Y$5, 0)),0)</f>
        <v>201.74614203635201</v>
      </c>
      <c r="L84" s="9">
        <f>_xlfn.IFNA(INDEX('Forecast drivers'!$O$5:$Y$57, MATCH(F_Interface!$A84&amp;RIGHT(F_Interface!L$2, 2),'Forecast drivers'!$A$5:$A$57, 0), MATCH(F_Interface!$D84,'Forecast drivers'!$O$5:$Y$5, 0)),0)</f>
        <v>205.07856012146701</v>
      </c>
    </row>
    <row r="85" spans="1:12" x14ac:dyDescent="0.2">
      <c r="A85" s="10" t="s">
        <v>7</v>
      </c>
      <c r="B85" s="10" t="s">
        <v>136</v>
      </c>
      <c r="C85" s="10" t="str">
        <f t="shared" si="1"/>
        <v>SRNC_MP05611_PR19CA008</v>
      </c>
      <c r="D85" s="9" t="s">
        <v>63</v>
      </c>
      <c r="E85" s="9" t="s">
        <v>76</v>
      </c>
      <c r="F85" s="135" t="s">
        <v>77</v>
      </c>
      <c r="G85" s="9" t="s">
        <v>50</v>
      </c>
      <c r="H85" s="9">
        <f>_xlfn.IFNA(INDEX('Forecast drivers'!$O$5:$Y$57, MATCH(F_Interface!$A85&amp;RIGHT(F_Interface!H$2, 2),'Forecast drivers'!$A$5:$A$57, 0), MATCH(F_Interface!$D85,'Forecast drivers'!$O$5:$Y$5, 0)),0)</f>
        <v>124.5</v>
      </c>
      <c r="I85" s="9">
        <f>_xlfn.IFNA(INDEX('Forecast drivers'!$O$5:$Y$57, MATCH(F_Interface!$A85&amp;RIGHT(F_Interface!I$2, 2),'Forecast drivers'!$A$5:$A$57, 0), MATCH(F_Interface!$D85,'Forecast drivers'!$O$5:$Y$5, 0)),0)</f>
        <v>125.6</v>
      </c>
      <c r="J85" s="9">
        <f>_xlfn.IFNA(INDEX('Forecast drivers'!$O$5:$Y$57, MATCH(F_Interface!$A85&amp;RIGHT(F_Interface!J$2, 2),'Forecast drivers'!$A$5:$A$57, 0), MATCH(F_Interface!$D85,'Forecast drivers'!$O$5:$Y$5, 0)),0)</f>
        <v>126.5</v>
      </c>
      <c r="K85" s="9">
        <f>_xlfn.IFNA(INDEX('Forecast drivers'!$O$5:$Y$57, MATCH(F_Interface!$A85&amp;RIGHT(F_Interface!K$2, 2),'Forecast drivers'!$A$5:$A$57, 0), MATCH(F_Interface!$D85,'Forecast drivers'!$O$5:$Y$5, 0)),0)</f>
        <v>127.7</v>
      </c>
      <c r="L85" s="9">
        <f>_xlfn.IFNA(INDEX('Forecast drivers'!$O$5:$Y$57, MATCH(F_Interface!$A85&amp;RIGHT(F_Interface!L$2, 2),'Forecast drivers'!$A$5:$A$57, 0), MATCH(F_Interface!$D85,'Forecast drivers'!$O$5:$Y$5, 0)),0)</f>
        <v>129.1</v>
      </c>
    </row>
    <row r="86" spans="1:12" x14ac:dyDescent="0.2">
      <c r="A86" s="10" t="s">
        <v>116</v>
      </c>
      <c r="B86" s="10" t="s">
        <v>136</v>
      </c>
      <c r="C86" s="10" t="str">
        <f t="shared" si="1"/>
        <v>SVEC_MP05611_PR19CA008</v>
      </c>
      <c r="D86" s="9" t="s">
        <v>63</v>
      </c>
      <c r="E86" s="9" t="s">
        <v>76</v>
      </c>
      <c r="F86" s="135" t="s">
        <v>77</v>
      </c>
      <c r="G86" s="9" t="s">
        <v>50</v>
      </c>
      <c r="H86" s="9">
        <f>_xlfn.IFNA(INDEX('Forecast drivers'!$O$5:$Y$57, MATCH(F_Interface!$A86&amp;RIGHT(F_Interface!H$2, 2),'Forecast drivers'!$A$5:$A$57, 0), MATCH(F_Interface!$D86,'Forecast drivers'!$O$5:$Y$5, 0)),0)</f>
        <v>0</v>
      </c>
      <c r="I86" s="9">
        <f>_xlfn.IFNA(INDEX('Forecast drivers'!$O$5:$Y$57, MATCH(F_Interface!$A86&amp;RIGHT(F_Interface!I$2, 2),'Forecast drivers'!$A$5:$A$57, 0), MATCH(F_Interface!$D86,'Forecast drivers'!$O$5:$Y$5, 0)),0)</f>
        <v>0</v>
      </c>
      <c r="J86" s="9">
        <f>_xlfn.IFNA(INDEX('Forecast drivers'!$O$5:$Y$57, MATCH(F_Interface!$A86&amp;RIGHT(F_Interface!J$2, 2),'Forecast drivers'!$A$5:$A$57, 0), MATCH(F_Interface!$D86,'Forecast drivers'!$O$5:$Y$5, 0)),0)</f>
        <v>0</v>
      </c>
      <c r="K86" s="9">
        <f>_xlfn.IFNA(INDEX('Forecast drivers'!$O$5:$Y$57, MATCH(F_Interface!$A86&amp;RIGHT(F_Interface!K$2, 2),'Forecast drivers'!$A$5:$A$57, 0), MATCH(F_Interface!$D86,'Forecast drivers'!$O$5:$Y$5, 0)),0)</f>
        <v>0</v>
      </c>
      <c r="L86" s="9">
        <f>_xlfn.IFNA(INDEX('Forecast drivers'!$O$5:$Y$57, MATCH(F_Interface!$A86&amp;RIGHT(F_Interface!L$2, 2),'Forecast drivers'!$A$5:$A$57, 0), MATCH(F_Interface!$D86,'Forecast drivers'!$O$5:$Y$5, 0)),0)</f>
        <v>0</v>
      </c>
    </row>
    <row r="87" spans="1:12" x14ac:dyDescent="0.2">
      <c r="A87" s="10" t="s">
        <v>101</v>
      </c>
      <c r="B87" s="10" t="s">
        <v>136</v>
      </c>
      <c r="C87" s="10" t="str">
        <f t="shared" si="1"/>
        <v>SVHC_MP05611_PR19CA008</v>
      </c>
      <c r="D87" s="9" t="s">
        <v>63</v>
      </c>
      <c r="E87" s="9" t="s">
        <v>76</v>
      </c>
      <c r="F87" s="135" t="s">
        <v>77</v>
      </c>
      <c r="G87" s="9" t="s">
        <v>50</v>
      </c>
      <c r="H87" s="9">
        <f>_xlfn.IFNA(INDEX('Forecast drivers'!$O$5:$Y$57, MATCH(F_Interface!$A87&amp;RIGHT(F_Interface!H$2, 2),'Forecast drivers'!$A$5:$A$57, 0), MATCH(F_Interface!$D87,'Forecast drivers'!$O$5:$Y$5, 0)),0)</f>
        <v>238.14250322381685</v>
      </c>
      <c r="I87" s="9">
        <f>_xlfn.IFNA(INDEX('Forecast drivers'!$O$5:$Y$57, MATCH(F_Interface!$A87&amp;RIGHT(F_Interface!I$2, 2),'Forecast drivers'!$A$5:$A$57, 0), MATCH(F_Interface!$D87,'Forecast drivers'!$O$5:$Y$5, 0)),0)</f>
        <v>238.91176129610227</v>
      </c>
      <c r="J87" s="9">
        <f>_xlfn.IFNA(INDEX('Forecast drivers'!$O$5:$Y$57, MATCH(F_Interface!$A87&amp;RIGHT(F_Interface!J$2, 2),'Forecast drivers'!$A$5:$A$57, 0), MATCH(F_Interface!$D87,'Forecast drivers'!$O$5:$Y$5, 0)),0)</f>
        <v>239.95180506336101</v>
      </c>
      <c r="K87" s="9">
        <f>_xlfn.IFNA(INDEX('Forecast drivers'!$O$5:$Y$57, MATCH(F_Interface!$A87&amp;RIGHT(F_Interface!K$2, 2),'Forecast drivers'!$A$5:$A$57, 0), MATCH(F_Interface!$D87,'Forecast drivers'!$O$5:$Y$5, 0)),0)</f>
        <v>240.6098490123382</v>
      </c>
      <c r="L87" s="9">
        <f>_xlfn.IFNA(INDEX('Forecast drivers'!$O$5:$Y$57, MATCH(F_Interface!$A87&amp;RIGHT(F_Interface!L$2, 2),'Forecast drivers'!$A$5:$A$57, 0), MATCH(F_Interface!$D87,'Forecast drivers'!$O$5:$Y$5, 0)),0)</f>
        <v>241.67043933362919</v>
      </c>
    </row>
    <row r="88" spans="1:12" x14ac:dyDescent="0.2">
      <c r="A88" s="10" t="s">
        <v>8</v>
      </c>
      <c r="B88" s="10" t="s">
        <v>136</v>
      </c>
      <c r="C88" s="10" t="str">
        <f t="shared" si="1"/>
        <v>SVTC_MP05611_PR19CA008</v>
      </c>
      <c r="D88" s="9" t="s">
        <v>63</v>
      </c>
      <c r="E88" s="9" t="s">
        <v>76</v>
      </c>
      <c r="F88" s="135" t="s">
        <v>77</v>
      </c>
      <c r="G88" s="9" t="s">
        <v>50</v>
      </c>
      <c r="H88" s="9">
        <f>_xlfn.IFNA(INDEX('Forecast drivers'!$O$5:$Y$57, MATCH(F_Interface!$A88&amp;RIGHT(F_Interface!H$2, 2),'Forecast drivers'!$A$5:$A$57, 0), MATCH(F_Interface!$D88,'Forecast drivers'!$O$5:$Y$5, 0)),0)</f>
        <v>0</v>
      </c>
      <c r="I88" s="9">
        <f>_xlfn.IFNA(INDEX('Forecast drivers'!$O$5:$Y$57, MATCH(F_Interface!$A88&amp;RIGHT(F_Interface!I$2, 2),'Forecast drivers'!$A$5:$A$57, 0), MATCH(F_Interface!$D88,'Forecast drivers'!$O$5:$Y$5, 0)),0)</f>
        <v>0</v>
      </c>
      <c r="J88" s="9">
        <f>_xlfn.IFNA(INDEX('Forecast drivers'!$O$5:$Y$57, MATCH(F_Interface!$A88&amp;RIGHT(F_Interface!J$2, 2),'Forecast drivers'!$A$5:$A$57, 0), MATCH(F_Interface!$D88,'Forecast drivers'!$O$5:$Y$5, 0)),0)</f>
        <v>0</v>
      </c>
      <c r="K88" s="9">
        <f>_xlfn.IFNA(INDEX('Forecast drivers'!$O$5:$Y$57, MATCH(F_Interface!$A88&amp;RIGHT(F_Interface!K$2, 2),'Forecast drivers'!$A$5:$A$57, 0), MATCH(F_Interface!$D88,'Forecast drivers'!$O$5:$Y$5, 0)),0)</f>
        <v>0</v>
      </c>
      <c r="L88" s="9">
        <f>_xlfn.IFNA(INDEX('Forecast drivers'!$O$5:$Y$57, MATCH(F_Interface!$A88&amp;RIGHT(F_Interface!L$2, 2),'Forecast drivers'!$A$5:$A$57, 0), MATCH(F_Interface!$D88,'Forecast drivers'!$O$5:$Y$5, 0)),0)</f>
        <v>0</v>
      </c>
    </row>
    <row r="89" spans="1:12" x14ac:dyDescent="0.2">
      <c r="A89" s="10" t="s">
        <v>12</v>
      </c>
      <c r="B89" s="10" t="s">
        <v>136</v>
      </c>
      <c r="C89" s="10" t="str">
        <f t="shared" si="1"/>
        <v>SWBC_MP05611_PR19CA008</v>
      </c>
      <c r="D89" s="9" t="s">
        <v>63</v>
      </c>
      <c r="E89" s="9" t="s">
        <v>76</v>
      </c>
      <c r="F89" s="135" t="s">
        <v>77</v>
      </c>
      <c r="G89" s="9" t="s">
        <v>50</v>
      </c>
      <c r="H89" s="9">
        <f>_xlfn.IFNA(INDEX('Forecast drivers'!$O$5:$Y$57, MATCH(F_Interface!$A89&amp;RIGHT(F_Interface!H$2, 2),'Forecast drivers'!$A$5:$A$57, 0), MATCH(F_Interface!$D89,'Forecast drivers'!$O$5:$Y$5, 0)),0)</f>
        <v>42.1</v>
      </c>
      <c r="I89" s="9">
        <f>_xlfn.IFNA(INDEX('Forecast drivers'!$O$5:$Y$57, MATCH(F_Interface!$A89&amp;RIGHT(F_Interface!I$2, 2),'Forecast drivers'!$A$5:$A$57, 0), MATCH(F_Interface!$D89,'Forecast drivers'!$O$5:$Y$5, 0)),0)</f>
        <v>42.4</v>
      </c>
      <c r="J89" s="9">
        <f>_xlfn.IFNA(INDEX('Forecast drivers'!$O$5:$Y$57, MATCH(F_Interface!$A89&amp;RIGHT(F_Interface!J$2, 2),'Forecast drivers'!$A$5:$A$57, 0), MATCH(F_Interface!$D89,'Forecast drivers'!$O$5:$Y$5, 0)),0)</f>
        <v>42.7</v>
      </c>
      <c r="K89" s="9">
        <f>_xlfn.IFNA(INDEX('Forecast drivers'!$O$5:$Y$57, MATCH(F_Interface!$A89&amp;RIGHT(F_Interface!K$2, 2),'Forecast drivers'!$A$5:$A$57, 0), MATCH(F_Interface!$D89,'Forecast drivers'!$O$5:$Y$5, 0)),0)</f>
        <v>43</v>
      </c>
      <c r="L89" s="9">
        <f>_xlfn.IFNA(INDEX('Forecast drivers'!$O$5:$Y$57, MATCH(F_Interface!$A89&amp;RIGHT(F_Interface!L$2, 2),'Forecast drivers'!$A$5:$A$57, 0), MATCH(F_Interface!$D89,'Forecast drivers'!$O$5:$Y$5, 0)),0)</f>
        <v>43.4</v>
      </c>
    </row>
    <row r="90" spans="1:12" x14ac:dyDescent="0.2">
      <c r="A90" s="10" t="s">
        <v>9</v>
      </c>
      <c r="B90" s="10" t="s">
        <v>136</v>
      </c>
      <c r="C90" s="10" t="str">
        <f t="shared" si="1"/>
        <v>TMSC_MP05611_PR19CA008</v>
      </c>
      <c r="D90" s="9" t="s">
        <v>63</v>
      </c>
      <c r="E90" s="9" t="s">
        <v>76</v>
      </c>
      <c r="F90" s="135" t="s">
        <v>77</v>
      </c>
      <c r="G90" s="9" t="s">
        <v>88</v>
      </c>
      <c r="H90" s="9">
        <f>_xlfn.IFNA(INDEX('Forecast drivers'!$O$5:$Y$57, MATCH(F_Interface!$A90&amp;RIGHT(F_Interface!H$2, 2),'Forecast drivers'!$A$5:$A$57, 0), MATCH(F_Interface!$D90,'Forecast drivers'!$O$5:$Y$5, 0)),0)</f>
        <v>396.33</v>
      </c>
      <c r="I90" s="9">
        <f>_xlfn.IFNA(INDEX('Forecast drivers'!$O$5:$Y$57, MATCH(F_Interface!$A90&amp;RIGHT(F_Interface!I$2, 2),'Forecast drivers'!$A$5:$A$57, 0), MATCH(F_Interface!$D90,'Forecast drivers'!$O$5:$Y$5, 0)),0)</f>
        <v>401.02</v>
      </c>
      <c r="J90" s="9">
        <f>_xlfn.IFNA(INDEX('Forecast drivers'!$O$5:$Y$57, MATCH(F_Interface!$A90&amp;RIGHT(F_Interface!J$2, 2),'Forecast drivers'!$A$5:$A$57, 0), MATCH(F_Interface!$D90,'Forecast drivers'!$O$5:$Y$5, 0)),0)</f>
        <v>403.15</v>
      </c>
      <c r="K90" s="9">
        <f>_xlfn.IFNA(INDEX('Forecast drivers'!$O$5:$Y$57, MATCH(F_Interface!$A90&amp;RIGHT(F_Interface!K$2, 2),'Forecast drivers'!$A$5:$A$57, 0), MATCH(F_Interface!$D90,'Forecast drivers'!$O$5:$Y$5, 0)),0)</f>
        <v>405.29</v>
      </c>
      <c r="L90" s="9">
        <f>_xlfn.IFNA(INDEX('Forecast drivers'!$O$5:$Y$57, MATCH(F_Interface!$A90&amp;RIGHT(F_Interface!L$2, 2),'Forecast drivers'!$A$5:$A$57, 0), MATCH(F_Interface!$D90,'Forecast drivers'!$O$5:$Y$5, 0)),0)</f>
        <v>407.42</v>
      </c>
    </row>
    <row r="91" spans="1:12" x14ac:dyDescent="0.2">
      <c r="A91" s="10" t="s">
        <v>15</v>
      </c>
      <c r="B91" s="10" t="s">
        <v>136</v>
      </c>
      <c r="C91" s="10" t="str">
        <f t="shared" si="1"/>
        <v>WSHC_MP05611_PR19CA008</v>
      </c>
      <c r="D91" s="9" t="s">
        <v>63</v>
      </c>
      <c r="E91" s="9" t="s">
        <v>76</v>
      </c>
      <c r="F91" s="135" t="s">
        <v>77</v>
      </c>
      <c r="G91" s="9" t="s">
        <v>89</v>
      </c>
      <c r="H91" s="9">
        <f>_xlfn.IFNA(INDEX('Forecast drivers'!$O$5:$Y$57, MATCH(F_Interface!$A91&amp;RIGHT(F_Interface!H$2, 2),'Forecast drivers'!$A$5:$A$57, 0), MATCH(F_Interface!$D91,'Forecast drivers'!$O$5:$Y$5, 0)),0)</f>
        <v>73.400000000000006</v>
      </c>
      <c r="I91" s="9">
        <f>_xlfn.IFNA(INDEX('Forecast drivers'!$O$5:$Y$57, MATCH(F_Interface!$A91&amp;RIGHT(F_Interface!I$2, 2),'Forecast drivers'!$A$5:$A$57, 0), MATCH(F_Interface!$D91,'Forecast drivers'!$O$5:$Y$5, 0)),0)</f>
        <v>74.2</v>
      </c>
      <c r="J91" s="9">
        <f>_xlfn.IFNA(INDEX('Forecast drivers'!$O$5:$Y$57, MATCH(F_Interface!$A91&amp;RIGHT(F_Interface!J$2, 2),'Forecast drivers'!$A$5:$A$57, 0), MATCH(F_Interface!$D91,'Forecast drivers'!$O$5:$Y$5, 0)),0)</f>
        <v>75.099999999999994</v>
      </c>
      <c r="K91" s="9">
        <f>_xlfn.IFNA(INDEX('Forecast drivers'!$O$5:$Y$57, MATCH(F_Interface!$A91&amp;RIGHT(F_Interface!K$2, 2),'Forecast drivers'!$A$5:$A$57, 0), MATCH(F_Interface!$D91,'Forecast drivers'!$O$5:$Y$5, 0)),0)</f>
        <v>75.900000000000006</v>
      </c>
      <c r="L91" s="9">
        <f>_xlfn.IFNA(INDEX('Forecast drivers'!$O$5:$Y$57, MATCH(F_Interface!$A91&amp;RIGHT(F_Interface!L$2, 2),'Forecast drivers'!$A$5:$A$57, 0), MATCH(F_Interface!$D91,'Forecast drivers'!$O$5:$Y$5, 0)),0)</f>
        <v>76.8</v>
      </c>
    </row>
    <row r="92" spans="1:12" x14ac:dyDescent="0.2">
      <c r="A92" s="10" t="s">
        <v>10</v>
      </c>
      <c r="B92" s="10" t="s">
        <v>136</v>
      </c>
      <c r="C92" s="10" t="str">
        <f t="shared" si="1"/>
        <v>WSXC_MP05611_PR19CA008</v>
      </c>
      <c r="D92" s="9" t="s">
        <v>63</v>
      </c>
      <c r="E92" s="9" t="s">
        <v>76</v>
      </c>
      <c r="F92" s="135" t="s">
        <v>77</v>
      </c>
      <c r="G92" s="9" t="s">
        <v>90</v>
      </c>
      <c r="H92" s="9">
        <f>_xlfn.IFNA(INDEX('Forecast drivers'!$O$5:$Y$57, MATCH(F_Interface!$A92&amp;RIGHT(F_Interface!H$2, 2),'Forecast drivers'!$A$5:$A$57, 0), MATCH(F_Interface!$D92,'Forecast drivers'!$O$5:$Y$5, 0)),0)</f>
        <v>74.436007921814294</v>
      </c>
      <c r="I92" s="9">
        <f>_xlfn.IFNA(INDEX('Forecast drivers'!$O$5:$Y$57, MATCH(F_Interface!$A92&amp;RIGHT(F_Interface!I$2, 2),'Forecast drivers'!$A$5:$A$57, 0), MATCH(F_Interface!$D92,'Forecast drivers'!$O$5:$Y$5, 0)),0)</f>
        <v>75.050654329605806</v>
      </c>
      <c r="J92" s="9">
        <f>_xlfn.IFNA(INDEX('Forecast drivers'!$O$5:$Y$57, MATCH(F_Interface!$A92&amp;RIGHT(F_Interface!J$2, 2),'Forecast drivers'!$A$5:$A$57, 0), MATCH(F_Interface!$D92,'Forecast drivers'!$O$5:$Y$5, 0)),0)</f>
        <v>75.533418320889993</v>
      </c>
      <c r="K92" s="9">
        <f>_xlfn.IFNA(INDEX('Forecast drivers'!$O$5:$Y$57, MATCH(F_Interface!$A92&amp;RIGHT(F_Interface!K$2, 2),'Forecast drivers'!$A$5:$A$57, 0), MATCH(F_Interface!$D92,'Forecast drivers'!$O$5:$Y$5, 0)),0)</f>
        <v>76.365948502318105</v>
      </c>
      <c r="L92" s="9">
        <f>_xlfn.IFNA(INDEX('Forecast drivers'!$O$5:$Y$57, MATCH(F_Interface!$A92&amp;RIGHT(F_Interface!L$2, 2),'Forecast drivers'!$A$5:$A$57, 0), MATCH(F_Interface!$D92,'Forecast drivers'!$O$5:$Y$5, 0)),0)</f>
        <v>77.833413320770802</v>
      </c>
    </row>
    <row r="93" spans="1:12" x14ac:dyDescent="0.2">
      <c r="A93" s="10" t="s">
        <v>11</v>
      </c>
      <c r="B93" s="10" t="s">
        <v>136</v>
      </c>
      <c r="C93" s="10" t="str">
        <f t="shared" si="1"/>
        <v>YKYC_MP05611_PR19CA008</v>
      </c>
      <c r="D93" s="9" t="s">
        <v>63</v>
      </c>
      <c r="E93" s="9" t="s">
        <v>76</v>
      </c>
      <c r="F93" s="135" t="s">
        <v>77</v>
      </c>
      <c r="G93" s="137"/>
      <c r="H93" s="9">
        <f>_xlfn.IFNA(INDEX('Forecast drivers'!$O$5:$Y$57, MATCH(F_Interface!$A93&amp;RIGHT(F_Interface!H$2, 2),'Forecast drivers'!$A$5:$A$57, 0), MATCH(F_Interface!$D93,'Forecast drivers'!$O$5:$Y$5, 0)),0)</f>
        <v>152.80000000000001</v>
      </c>
      <c r="I93" s="9">
        <f>_xlfn.IFNA(INDEX('Forecast drivers'!$O$5:$Y$57, MATCH(F_Interface!$A93&amp;RIGHT(F_Interface!I$2, 2),'Forecast drivers'!$A$5:$A$57, 0), MATCH(F_Interface!$D93,'Forecast drivers'!$O$5:$Y$5, 0)),0)</f>
        <v>153.69999999999999</v>
      </c>
      <c r="J93" s="9">
        <f>_xlfn.IFNA(INDEX('Forecast drivers'!$O$5:$Y$57, MATCH(F_Interface!$A93&amp;RIGHT(F_Interface!J$2, 2),'Forecast drivers'!$A$5:$A$57, 0), MATCH(F_Interface!$D93,'Forecast drivers'!$O$5:$Y$5, 0)),0)</f>
        <v>154.6</v>
      </c>
      <c r="K93" s="9">
        <f>_xlfn.IFNA(INDEX('Forecast drivers'!$O$5:$Y$57, MATCH(F_Interface!$A93&amp;RIGHT(F_Interface!K$2, 2),'Forecast drivers'!$A$5:$A$57, 0), MATCH(F_Interface!$D93,'Forecast drivers'!$O$5:$Y$5, 0)),0)</f>
        <v>155.5</v>
      </c>
      <c r="L93" s="9">
        <f>_xlfn.IFNA(INDEX('Forecast drivers'!$O$5:$Y$57, MATCH(F_Interface!$A93&amp;RIGHT(F_Interface!L$2, 2),'Forecast drivers'!$A$5:$A$57, 0), MATCH(F_Interface!$D93,'Forecast drivers'!$O$5:$Y$5, 0)),0)</f>
        <v>156.4</v>
      </c>
    </row>
    <row r="94" spans="1:12" x14ac:dyDescent="0.2">
      <c r="A94" s="10" t="s">
        <v>4</v>
      </c>
      <c r="B94" s="10" t="s">
        <v>137</v>
      </c>
      <c r="C94" s="10" t="str">
        <f t="shared" si="1"/>
        <v>ANHC_PROP_DENS_PR19CA008</v>
      </c>
      <c r="D94" s="9" t="s">
        <v>64</v>
      </c>
      <c r="E94" s="9" t="s">
        <v>78</v>
      </c>
      <c r="F94" s="135" t="s">
        <v>3</v>
      </c>
      <c r="G94" s="9" t="s">
        <v>91</v>
      </c>
      <c r="H94" s="9">
        <f>_xlfn.IFNA(INDEX('Forecast drivers'!$O$5:$Y$57, MATCH(F_Interface!$A94&amp;RIGHT(F_Interface!H$2, 2),'Forecast drivers'!$A$5:$A$57, 0), MATCH(F_Interface!$D94,'Forecast drivers'!$O$5:$Y$5, 0)),0)</f>
        <v>36.636500629719606</v>
      </c>
      <c r="I94" s="9">
        <f>_xlfn.IFNA(INDEX('Forecast drivers'!$O$5:$Y$57, MATCH(F_Interface!$A94&amp;RIGHT(F_Interface!I$2, 2),'Forecast drivers'!$A$5:$A$57, 0), MATCH(F_Interface!$D94,'Forecast drivers'!$O$5:$Y$5, 0)),0)</f>
        <v>36.847628525167316</v>
      </c>
      <c r="J94" s="9">
        <f>_xlfn.IFNA(INDEX('Forecast drivers'!$O$5:$Y$57, MATCH(F_Interface!$A94&amp;RIGHT(F_Interface!J$2, 2),'Forecast drivers'!$A$5:$A$57, 0), MATCH(F_Interface!$D94,'Forecast drivers'!$O$5:$Y$5, 0)),0)</f>
        <v>37.114933415052903</v>
      </c>
      <c r="K94" s="9">
        <f>_xlfn.IFNA(INDEX('Forecast drivers'!$O$5:$Y$57, MATCH(F_Interface!$A94&amp;RIGHT(F_Interface!K$2, 2),'Forecast drivers'!$A$5:$A$57, 0), MATCH(F_Interface!$D94,'Forecast drivers'!$O$5:$Y$5, 0)),0)</f>
        <v>37.368632037541154</v>
      </c>
      <c r="L94" s="9">
        <f>_xlfn.IFNA(INDEX('Forecast drivers'!$O$5:$Y$57, MATCH(F_Interface!$A94&amp;RIGHT(F_Interface!L$2, 2),'Forecast drivers'!$A$5:$A$57, 0), MATCH(F_Interface!$D94,'Forecast drivers'!$O$5:$Y$5, 0)),0)</f>
        <v>37.620590360729977</v>
      </c>
    </row>
    <row r="95" spans="1:12" x14ac:dyDescent="0.2">
      <c r="A95" s="10" t="s">
        <v>87</v>
      </c>
      <c r="B95" s="10" t="s">
        <v>137</v>
      </c>
      <c r="C95" s="10" t="str">
        <f t="shared" si="1"/>
        <v>HDDC_PROP_DENS_PR19CA008</v>
      </c>
      <c r="D95" s="9" t="s">
        <v>64</v>
      </c>
      <c r="E95" s="9" t="s">
        <v>78</v>
      </c>
      <c r="F95" s="135" t="s">
        <v>3</v>
      </c>
      <c r="G95" s="9" t="s">
        <v>92</v>
      </c>
      <c r="H95" s="9">
        <f>_xlfn.IFNA(INDEX('Forecast drivers'!$O$5:$Y$57, MATCH(F_Interface!$A95&amp;RIGHT(F_Interface!H$2, 2),'Forecast drivers'!$A$5:$A$57, 0), MATCH(F_Interface!$D95,'Forecast drivers'!$O$5:$Y$5, 0)),0)</f>
        <v>0</v>
      </c>
      <c r="I95" s="9">
        <f>_xlfn.IFNA(INDEX('Forecast drivers'!$O$5:$Y$57, MATCH(F_Interface!$A95&amp;RIGHT(F_Interface!I$2, 2),'Forecast drivers'!$A$5:$A$57, 0), MATCH(F_Interface!$D95,'Forecast drivers'!$O$5:$Y$5, 0)),0)</f>
        <v>0</v>
      </c>
      <c r="J95" s="9">
        <f>_xlfn.IFNA(INDEX('Forecast drivers'!$O$5:$Y$57, MATCH(F_Interface!$A95&amp;RIGHT(F_Interface!J$2, 2),'Forecast drivers'!$A$5:$A$57, 0), MATCH(F_Interface!$D95,'Forecast drivers'!$O$5:$Y$5, 0)),0)</f>
        <v>0</v>
      </c>
      <c r="K95" s="9">
        <f>_xlfn.IFNA(INDEX('Forecast drivers'!$O$5:$Y$57, MATCH(F_Interface!$A95&amp;RIGHT(F_Interface!K$2, 2),'Forecast drivers'!$A$5:$A$57, 0), MATCH(F_Interface!$D95,'Forecast drivers'!$O$5:$Y$5, 0)),0)</f>
        <v>0</v>
      </c>
      <c r="L95" s="9">
        <f>_xlfn.IFNA(INDEX('Forecast drivers'!$O$5:$Y$57, MATCH(F_Interface!$A95&amp;RIGHT(F_Interface!L$2, 2),'Forecast drivers'!$A$5:$A$57, 0), MATCH(F_Interface!$D95,'Forecast drivers'!$O$5:$Y$5, 0)),0)</f>
        <v>0</v>
      </c>
    </row>
    <row r="96" spans="1:12" x14ac:dyDescent="0.2">
      <c r="A96" s="10" t="s">
        <v>5</v>
      </c>
      <c r="B96" s="10" t="s">
        <v>137</v>
      </c>
      <c r="C96" s="10" t="str">
        <f t="shared" si="1"/>
        <v>NESC_PROP_DENS_PR19CA008</v>
      </c>
      <c r="D96" s="9" t="s">
        <v>64</v>
      </c>
      <c r="E96" s="9" t="s">
        <v>78</v>
      </c>
      <c r="F96" s="135" t="s">
        <v>3</v>
      </c>
      <c r="G96" s="9" t="s">
        <v>93</v>
      </c>
      <c r="H96" s="9">
        <f>_xlfn.IFNA(INDEX('Forecast drivers'!$O$5:$Y$57, MATCH(F_Interface!$A96&amp;RIGHT(F_Interface!H$2, 2),'Forecast drivers'!$A$5:$A$57, 0), MATCH(F_Interface!$D96,'Forecast drivers'!$O$5:$Y$5, 0)),0)</f>
        <v>42.471873282139406</v>
      </c>
      <c r="I96" s="9">
        <f>_xlfn.IFNA(INDEX('Forecast drivers'!$O$5:$Y$57, MATCH(F_Interface!$A96&amp;RIGHT(F_Interface!I$2, 2),'Forecast drivers'!$A$5:$A$57, 0), MATCH(F_Interface!$D96,'Forecast drivers'!$O$5:$Y$5, 0)),0)</f>
        <v>42.564859994450622</v>
      </c>
      <c r="J96" s="9">
        <f>_xlfn.IFNA(INDEX('Forecast drivers'!$O$5:$Y$57, MATCH(F_Interface!$A96&amp;RIGHT(F_Interface!J$2, 2),'Forecast drivers'!$A$5:$A$57, 0), MATCH(F_Interface!$D96,'Forecast drivers'!$O$5:$Y$5, 0)),0)</f>
        <v>42.664236451141903</v>
      </c>
      <c r="K96" s="9">
        <f>_xlfn.IFNA(INDEX('Forecast drivers'!$O$5:$Y$57, MATCH(F_Interface!$A96&amp;RIGHT(F_Interface!K$2, 2),'Forecast drivers'!$A$5:$A$57, 0), MATCH(F_Interface!$D96,'Forecast drivers'!$O$5:$Y$5, 0)),0)</f>
        <v>42.749621363899088</v>
      </c>
      <c r="L96" s="9">
        <f>_xlfn.IFNA(INDEX('Forecast drivers'!$O$5:$Y$57, MATCH(F_Interface!$A96&amp;RIGHT(F_Interface!L$2, 2),'Forecast drivers'!$A$5:$A$57, 0), MATCH(F_Interface!$D96,'Forecast drivers'!$O$5:$Y$5, 0)),0)</f>
        <v>42.835786298120077</v>
      </c>
    </row>
    <row r="97" spans="1:12" x14ac:dyDescent="0.2">
      <c r="A97" s="10" t="s">
        <v>6</v>
      </c>
      <c r="B97" s="10" t="s">
        <v>137</v>
      </c>
      <c r="C97" s="10" t="str">
        <f t="shared" si="1"/>
        <v>NWTC_PROP_DENS_PR19CA008</v>
      </c>
      <c r="D97" s="9" t="s">
        <v>64</v>
      </c>
      <c r="E97" s="9" t="s">
        <v>78</v>
      </c>
      <c r="F97" s="135" t="s">
        <v>3</v>
      </c>
      <c r="G97" s="9" t="s">
        <v>94</v>
      </c>
      <c r="H97" s="9">
        <f>_xlfn.IFNA(INDEX('Forecast drivers'!$O$5:$Y$57, MATCH(F_Interface!$A97&amp;RIGHT(F_Interface!H$2, 2),'Forecast drivers'!$A$5:$A$57, 0), MATCH(F_Interface!$D97,'Forecast drivers'!$O$5:$Y$5, 0)),0)</f>
        <v>43.280838223040803</v>
      </c>
      <c r="I97" s="9">
        <f>_xlfn.IFNA(INDEX('Forecast drivers'!$O$5:$Y$57, MATCH(F_Interface!$A97&amp;RIGHT(F_Interface!I$2, 2),'Forecast drivers'!$A$5:$A$57, 0), MATCH(F_Interface!$D97,'Forecast drivers'!$O$5:$Y$5, 0)),0)</f>
        <v>43.404035903343363</v>
      </c>
      <c r="J97" s="9">
        <f>_xlfn.IFNA(INDEX('Forecast drivers'!$O$5:$Y$57, MATCH(F_Interface!$A97&amp;RIGHT(F_Interface!J$2, 2),'Forecast drivers'!$A$5:$A$57, 0), MATCH(F_Interface!$D97,'Forecast drivers'!$O$5:$Y$5, 0)),0)</f>
        <v>43.544777099942792</v>
      </c>
      <c r="K97" s="9">
        <f>_xlfn.IFNA(INDEX('Forecast drivers'!$O$5:$Y$57, MATCH(F_Interface!$A97&amp;RIGHT(F_Interface!K$2, 2),'Forecast drivers'!$A$5:$A$57, 0), MATCH(F_Interface!$D97,'Forecast drivers'!$O$5:$Y$5, 0)),0)</f>
        <v>43.667278295693038</v>
      </c>
      <c r="L97" s="9">
        <f>_xlfn.IFNA(INDEX('Forecast drivers'!$O$5:$Y$57, MATCH(F_Interface!$A97&amp;RIGHT(F_Interface!L$2, 2),'Forecast drivers'!$A$5:$A$57, 0), MATCH(F_Interface!$D97,'Forecast drivers'!$O$5:$Y$5, 0)),0)</f>
        <v>43.785407743106923</v>
      </c>
    </row>
    <row r="98" spans="1:12" x14ac:dyDescent="0.2">
      <c r="A98" s="10" t="s">
        <v>7</v>
      </c>
      <c r="B98" s="10" t="s">
        <v>137</v>
      </c>
      <c r="C98" s="10" t="str">
        <f t="shared" si="1"/>
        <v>SRNC_PROP_DENS_PR19CA008</v>
      </c>
      <c r="D98" s="9" t="s">
        <v>64</v>
      </c>
      <c r="E98" s="9" t="s">
        <v>78</v>
      </c>
      <c r="F98" s="135" t="s">
        <v>3</v>
      </c>
      <c r="G98" s="9" t="s">
        <v>95</v>
      </c>
      <c r="H98" s="9">
        <f>_xlfn.IFNA(INDEX('Forecast drivers'!$O$5:$Y$57, MATCH(F_Interface!$A98&amp;RIGHT(F_Interface!H$2, 2),'Forecast drivers'!$A$5:$A$57, 0), MATCH(F_Interface!$D98,'Forecast drivers'!$O$5:$Y$5, 0)),0)</f>
        <v>50.782839300685431</v>
      </c>
      <c r="I98" s="9">
        <f>_xlfn.IFNA(INDEX('Forecast drivers'!$O$5:$Y$57, MATCH(F_Interface!$A98&amp;RIGHT(F_Interface!I$2, 2),'Forecast drivers'!$A$5:$A$57, 0), MATCH(F_Interface!$D98,'Forecast drivers'!$O$5:$Y$5, 0)),0)</f>
        <v>51.055366142284974</v>
      </c>
      <c r="J98" s="9">
        <f>_xlfn.IFNA(INDEX('Forecast drivers'!$O$5:$Y$57, MATCH(F_Interface!$A98&amp;RIGHT(F_Interface!J$2, 2),'Forecast drivers'!$A$5:$A$57, 0), MATCH(F_Interface!$D98,'Forecast drivers'!$O$5:$Y$5, 0)),0)</f>
        <v>51.401014289878205</v>
      </c>
      <c r="K98" s="9">
        <f>_xlfn.IFNA(INDEX('Forecast drivers'!$O$5:$Y$57, MATCH(F_Interface!$A98&amp;RIGHT(F_Interface!K$2, 2),'Forecast drivers'!$A$5:$A$57, 0), MATCH(F_Interface!$D98,'Forecast drivers'!$O$5:$Y$5, 0)),0)</f>
        <v>51.734301829899913</v>
      </c>
      <c r="L98" s="9">
        <f>_xlfn.IFNA(INDEX('Forecast drivers'!$O$5:$Y$57, MATCH(F_Interface!$A98&amp;RIGHT(F_Interface!L$2, 2),'Forecast drivers'!$A$5:$A$57, 0), MATCH(F_Interface!$D98,'Forecast drivers'!$O$5:$Y$5, 0)),0)</f>
        <v>52.069102347210809</v>
      </c>
    </row>
    <row r="99" spans="1:12" x14ac:dyDescent="0.2">
      <c r="A99" s="10" t="s">
        <v>116</v>
      </c>
      <c r="B99" s="10" t="s">
        <v>137</v>
      </c>
      <c r="C99" s="10" t="str">
        <f t="shared" si="1"/>
        <v>SVEC_PROP_DENS_PR19CA008</v>
      </c>
      <c r="D99" s="9" t="s">
        <v>64</v>
      </c>
      <c r="E99" s="9" t="s">
        <v>78</v>
      </c>
      <c r="F99" s="135" t="s">
        <v>3</v>
      </c>
      <c r="G99" s="9" t="s">
        <v>96</v>
      </c>
      <c r="H99" s="9">
        <f>_xlfn.IFNA(INDEX('Forecast drivers'!$O$5:$Y$57, MATCH(F_Interface!$A99&amp;RIGHT(F_Interface!H$2, 2),'Forecast drivers'!$A$5:$A$57, 0), MATCH(F_Interface!$D99,'Forecast drivers'!$O$5:$Y$5, 0)),0)</f>
        <v>0</v>
      </c>
      <c r="I99" s="9">
        <f>_xlfn.IFNA(INDEX('Forecast drivers'!$O$5:$Y$57, MATCH(F_Interface!$A99&amp;RIGHT(F_Interface!I$2, 2),'Forecast drivers'!$A$5:$A$57, 0), MATCH(F_Interface!$D99,'Forecast drivers'!$O$5:$Y$5, 0)),0)</f>
        <v>0</v>
      </c>
      <c r="J99" s="9">
        <f>_xlfn.IFNA(INDEX('Forecast drivers'!$O$5:$Y$57, MATCH(F_Interface!$A99&amp;RIGHT(F_Interface!J$2, 2),'Forecast drivers'!$A$5:$A$57, 0), MATCH(F_Interface!$D99,'Forecast drivers'!$O$5:$Y$5, 0)),0)</f>
        <v>0</v>
      </c>
      <c r="K99" s="9">
        <f>_xlfn.IFNA(INDEX('Forecast drivers'!$O$5:$Y$57, MATCH(F_Interface!$A99&amp;RIGHT(F_Interface!K$2, 2),'Forecast drivers'!$A$5:$A$57, 0), MATCH(F_Interface!$D99,'Forecast drivers'!$O$5:$Y$5, 0)),0)</f>
        <v>0</v>
      </c>
      <c r="L99" s="9">
        <f>_xlfn.IFNA(INDEX('Forecast drivers'!$O$5:$Y$57, MATCH(F_Interface!$A99&amp;RIGHT(F_Interface!L$2, 2),'Forecast drivers'!$A$5:$A$57, 0), MATCH(F_Interface!$D99,'Forecast drivers'!$O$5:$Y$5, 0)),0)</f>
        <v>0</v>
      </c>
    </row>
    <row r="100" spans="1:12" x14ac:dyDescent="0.2">
      <c r="A100" s="10" t="s">
        <v>101</v>
      </c>
      <c r="B100" s="10" t="s">
        <v>137</v>
      </c>
      <c r="C100" s="10" t="str">
        <f t="shared" si="1"/>
        <v>SVHC_PROP_DENS_PR19CA008</v>
      </c>
      <c r="D100" s="9" t="s">
        <v>64</v>
      </c>
      <c r="E100" s="9" t="s">
        <v>78</v>
      </c>
      <c r="F100" s="135" t="s">
        <v>3</v>
      </c>
      <c r="G100" s="9" t="s">
        <v>50</v>
      </c>
      <c r="H100" s="9">
        <f>_xlfn.IFNA(INDEX('Forecast drivers'!$O$5:$Y$57, MATCH(F_Interface!$A100&amp;RIGHT(F_Interface!H$2, 2),'Forecast drivers'!$A$5:$A$57, 0), MATCH(F_Interface!$D100,'Forecast drivers'!$O$5:$Y$5, 0)),0)</f>
        <v>44.453474220598075</v>
      </c>
      <c r="I100" s="9">
        <f>_xlfn.IFNA(INDEX('Forecast drivers'!$O$5:$Y$57, MATCH(F_Interface!$A100&amp;RIGHT(F_Interface!I$2, 2),'Forecast drivers'!$A$5:$A$57, 0), MATCH(F_Interface!$D100,'Forecast drivers'!$O$5:$Y$5, 0)),0)</f>
        <v>44.587248124381908</v>
      </c>
      <c r="J100" s="9">
        <f>_xlfn.IFNA(INDEX('Forecast drivers'!$O$5:$Y$57, MATCH(F_Interface!$A100&amp;RIGHT(F_Interface!J$2, 2),'Forecast drivers'!$A$5:$A$57, 0), MATCH(F_Interface!$D100,'Forecast drivers'!$O$5:$Y$5, 0)),0)</f>
        <v>44.77712106429923</v>
      </c>
      <c r="K100" s="9">
        <f>_xlfn.IFNA(INDEX('Forecast drivers'!$O$5:$Y$57, MATCH(F_Interface!$A100&amp;RIGHT(F_Interface!K$2, 2),'Forecast drivers'!$A$5:$A$57, 0), MATCH(F_Interface!$D100,'Forecast drivers'!$O$5:$Y$5, 0)),0)</f>
        <v>44.956968706715529</v>
      </c>
      <c r="L100" s="9">
        <f>_xlfn.IFNA(INDEX('Forecast drivers'!$O$5:$Y$57, MATCH(F_Interface!$A100&amp;RIGHT(F_Interface!L$2, 2),'Forecast drivers'!$A$5:$A$57, 0), MATCH(F_Interface!$D100,'Forecast drivers'!$O$5:$Y$5, 0)),0)</f>
        <v>45.139332267393847</v>
      </c>
    </row>
    <row r="101" spans="1:12" x14ac:dyDescent="0.2">
      <c r="A101" s="10" t="s">
        <v>8</v>
      </c>
      <c r="B101" s="10" t="s">
        <v>137</v>
      </c>
      <c r="C101" s="10" t="str">
        <f t="shared" si="1"/>
        <v>SVTC_PROP_DENS_PR19CA008</v>
      </c>
      <c r="D101" s="9" t="s">
        <v>64</v>
      </c>
      <c r="E101" s="9" t="s">
        <v>78</v>
      </c>
      <c r="F101" s="135" t="s">
        <v>3</v>
      </c>
      <c r="G101" s="9" t="s">
        <v>50</v>
      </c>
      <c r="H101" s="9">
        <f>_xlfn.IFNA(INDEX('Forecast drivers'!$O$5:$Y$57, MATCH(F_Interface!$A101&amp;RIGHT(F_Interface!H$2, 2),'Forecast drivers'!$A$5:$A$57, 0), MATCH(F_Interface!$D101,'Forecast drivers'!$O$5:$Y$5, 0)),0)</f>
        <v>0</v>
      </c>
      <c r="I101" s="9">
        <f>_xlfn.IFNA(INDEX('Forecast drivers'!$O$5:$Y$57, MATCH(F_Interface!$A101&amp;RIGHT(F_Interface!I$2, 2),'Forecast drivers'!$A$5:$A$57, 0), MATCH(F_Interface!$D101,'Forecast drivers'!$O$5:$Y$5, 0)),0)</f>
        <v>0</v>
      </c>
      <c r="J101" s="9">
        <f>_xlfn.IFNA(INDEX('Forecast drivers'!$O$5:$Y$57, MATCH(F_Interface!$A101&amp;RIGHT(F_Interface!J$2, 2),'Forecast drivers'!$A$5:$A$57, 0), MATCH(F_Interface!$D101,'Forecast drivers'!$O$5:$Y$5, 0)),0)</f>
        <v>0</v>
      </c>
      <c r="K101" s="9">
        <f>_xlfn.IFNA(INDEX('Forecast drivers'!$O$5:$Y$57, MATCH(F_Interface!$A101&amp;RIGHT(F_Interface!K$2, 2),'Forecast drivers'!$A$5:$A$57, 0), MATCH(F_Interface!$D101,'Forecast drivers'!$O$5:$Y$5, 0)),0)</f>
        <v>0</v>
      </c>
      <c r="L101" s="9">
        <f>_xlfn.IFNA(INDEX('Forecast drivers'!$O$5:$Y$57, MATCH(F_Interface!$A101&amp;RIGHT(F_Interface!L$2, 2),'Forecast drivers'!$A$5:$A$57, 0), MATCH(F_Interface!$D101,'Forecast drivers'!$O$5:$Y$5, 0)),0)</f>
        <v>0</v>
      </c>
    </row>
    <row r="102" spans="1:12" x14ac:dyDescent="0.2">
      <c r="A102" s="10" t="s">
        <v>12</v>
      </c>
      <c r="B102" s="10" t="s">
        <v>137</v>
      </c>
      <c r="C102" s="10" t="str">
        <f t="shared" si="1"/>
        <v>SWBC_PROP_DENS_PR19CA008</v>
      </c>
      <c r="D102" s="9" t="s">
        <v>64</v>
      </c>
      <c r="E102" s="9" t="s">
        <v>78</v>
      </c>
      <c r="F102" s="135" t="s">
        <v>3</v>
      </c>
      <c r="G102" s="9" t="s">
        <v>50</v>
      </c>
      <c r="H102" s="9">
        <f>_xlfn.IFNA(INDEX('Forecast drivers'!$O$5:$Y$57, MATCH(F_Interface!$A102&amp;RIGHT(F_Interface!H$2, 2),'Forecast drivers'!$A$5:$A$57, 0), MATCH(F_Interface!$D102,'Forecast drivers'!$O$5:$Y$5, 0)),0)</f>
        <v>43.461248238477886</v>
      </c>
      <c r="I102" s="9">
        <f>_xlfn.IFNA(INDEX('Forecast drivers'!$O$5:$Y$57, MATCH(F_Interface!$A102&amp;RIGHT(F_Interface!I$2, 2),'Forecast drivers'!$A$5:$A$57, 0), MATCH(F_Interface!$D102,'Forecast drivers'!$O$5:$Y$5, 0)),0)</f>
        <v>43.636164008022106</v>
      </c>
      <c r="J102" s="9">
        <f>_xlfn.IFNA(INDEX('Forecast drivers'!$O$5:$Y$57, MATCH(F_Interface!$A102&amp;RIGHT(F_Interface!J$2, 2),'Forecast drivers'!$A$5:$A$57, 0), MATCH(F_Interface!$D102,'Forecast drivers'!$O$5:$Y$5, 0)),0)</f>
        <v>43.872313545567835</v>
      </c>
      <c r="K102" s="9">
        <f>_xlfn.IFNA(INDEX('Forecast drivers'!$O$5:$Y$57, MATCH(F_Interface!$A102&amp;RIGHT(F_Interface!K$2, 2),'Forecast drivers'!$A$5:$A$57, 0), MATCH(F_Interface!$D102,'Forecast drivers'!$O$5:$Y$5, 0)),0)</f>
        <v>44.104787241085283</v>
      </c>
      <c r="L102" s="9">
        <f>_xlfn.IFNA(INDEX('Forecast drivers'!$O$5:$Y$57, MATCH(F_Interface!$A102&amp;RIGHT(F_Interface!L$2, 2),'Forecast drivers'!$A$5:$A$57, 0), MATCH(F_Interface!$D102,'Forecast drivers'!$O$5:$Y$5, 0)),0)</f>
        <v>44.336233898976737</v>
      </c>
    </row>
    <row r="103" spans="1:12" x14ac:dyDescent="0.2">
      <c r="A103" s="10" t="s">
        <v>9</v>
      </c>
      <c r="B103" s="10" t="s">
        <v>137</v>
      </c>
      <c r="C103" s="10" t="str">
        <f t="shared" si="1"/>
        <v>TMSC_PROP_DENS_PR19CA008</v>
      </c>
      <c r="D103" s="9" t="s">
        <v>64</v>
      </c>
      <c r="E103" s="9" t="s">
        <v>78</v>
      </c>
      <c r="F103" s="135" t="s">
        <v>3</v>
      </c>
      <c r="G103" s="9" t="s">
        <v>50</v>
      </c>
      <c r="H103" s="9">
        <f>_xlfn.IFNA(INDEX('Forecast drivers'!$O$5:$Y$57, MATCH(F_Interface!$A103&amp;RIGHT(F_Interface!H$2, 2),'Forecast drivers'!$A$5:$A$57, 0), MATCH(F_Interface!$D103,'Forecast drivers'!$O$5:$Y$5, 0)),0)</f>
        <v>54.842104819155423</v>
      </c>
      <c r="I103" s="9">
        <f>_xlfn.IFNA(INDEX('Forecast drivers'!$O$5:$Y$57, MATCH(F_Interface!$A103&amp;RIGHT(F_Interface!I$2, 2),'Forecast drivers'!$A$5:$A$57, 0), MATCH(F_Interface!$D103,'Forecast drivers'!$O$5:$Y$5, 0)),0)</f>
        <v>55.20507853767397</v>
      </c>
      <c r="J103" s="9">
        <f>_xlfn.IFNA(INDEX('Forecast drivers'!$O$5:$Y$57, MATCH(F_Interface!$A103&amp;RIGHT(F_Interface!J$2, 2),'Forecast drivers'!$A$5:$A$57, 0), MATCH(F_Interface!$D103,'Forecast drivers'!$O$5:$Y$5, 0)),0)</f>
        <v>55.723316605635951</v>
      </c>
      <c r="K103" s="9">
        <f>_xlfn.IFNA(INDEX('Forecast drivers'!$O$5:$Y$57, MATCH(F_Interface!$A103&amp;RIGHT(F_Interface!K$2, 2),'Forecast drivers'!$A$5:$A$57, 0), MATCH(F_Interface!$D103,'Forecast drivers'!$O$5:$Y$5, 0)),0)</f>
        <v>56.221836005977949</v>
      </c>
      <c r="L103" s="9">
        <f>_xlfn.IFNA(INDEX('Forecast drivers'!$O$5:$Y$57, MATCH(F_Interface!$A103&amp;RIGHT(F_Interface!L$2, 2),'Forecast drivers'!$A$5:$A$57, 0), MATCH(F_Interface!$D103,'Forecast drivers'!$O$5:$Y$5, 0)),0)</f>
        <v>56.710153535582123</v>
      </c>
    </row>
    <row r="104" spans="1:12" x14ac:dyDescent="0.2">
      <c r="A104" s="10" t="s">
        <v>15</v>
      </c>
      <c r="B104" s="10" t="s">
        <v>137</v>
      </c>
      <c r="C104" s="10" t="str">
        <f t="shared" si="1"/>
        <v>WSHC_PROP_DENS_PR19CA008</v>
      </c>
      <c r="D104" s="9" t="s">
        <v>64</v>
      </c>
      <c r="E104" s="9" t="s">
        <v>78</v>
      </c>
      <c r="F104" s="135" t="s">
        <v>3</v>
      </c>
      <c r="G104" s="9" t="s">
        <v>50</v>
      </c>
      <c r="H104" s="9">
        <f>_xlfn.IFNA(INDEX('Forecast drivers'!$O$5:$Y$57, MATCH(F_Interface!$A104&amp;RIGHT(F_Interface!H$2, 2),'Forecast drivers'!$A$5:$A$57, 0), MATCH(F_Interface!$D104,'Forecast drivers'!$O$5:$Y$5, 0)),0)</f>
        <v>40.424671715395377</v>
      </c>
      <c r="I104" s="9">
        <f>_xlfn.IFNA(INDEX('Forecast drivers'!$O$5:$Y$57, MATCH(F_Interface!$A104&amp;RIGHT(F_Interface!I$2, 2),'Forecast drivers'!$A$5:$A$57, 0), MATCH(F_Interface!$D104,'Forecast drivers'!$O$5:$Y$5, 0)),0)</f>
        <v>40.552324091510471</v>
      </c>
      <c r="J104" s="9">
        <f>_xlfn.IFNA(INDEX('Forecast drivers'!$O$5:$Y$57, MATCH(F_Interface!$A104&amp;RIGHT(F_Interface!J$2, 2),'Forecast drivers'!$A$5:$A$57, 0), MATCH(F_Interface!$D104,'Forecast drivers'!$O$5:$Y$5, 0)),0)</f>
        <v>40.696627616782202</v>
      </c>
      <c r="K104" s="9">
        <f>_xlfn.IFNA(INDEX('Forecast drivers'!$O$5:$Y$57, MATCH(F_Interface!$A104&amp;RIGHT(F_Interface!K$2, 2),'Forecast drivers'!$A$5:$A$57, 0), MATCH(F_Interface!$D104,'Forecast drivers'!$O$5:$Y$5, 0)),0)</f>
        <v>40.830063158444105</v>
      </c>
      <c r="L104" s="9">
        <f>_xlfn.IFNA(INDEX('Forecast drivers'!$O$5:$Y$57, MATCH(F_Interface!$A104&amp;RIGHT(F_Interface!L$2, 2),'Forecast drivers'!$A$5:$A$57, 0), MATCH(F_Interface!$D104,'Forecast drivers'!$O$5:$Y$5, 0)),0)</f>
        <v>40.957467338017992</v>
      </c>
    </row>
    <row r="105" spans="1:12" x14ac:dyDescent="0.2">
      <c r="A105" s="10" t="s">
        <v>10</v>
      </c>
      <c r="B105" s="10" t="s">
        <v>137</v>
      </c>
      <c r="C105" s="10" t="str">
        <f t="shared" si="1"/>
        <v>WSXC_PROP_DENS_PR19CA008</v>
      </c>
      <c r="D105" s="9" t="s">
        <v>64</v>
      </c>
      <c r="E105" s="9" t="s">
        <v>78</v>
      </c>
      <c r="F105" s="135" t="s">
        <v>3</v>
      </c>
      <c r="G105" s="137"/>
      <c r="H105" s="9">
        <f>_xlfn.IFNA(INDEX('Forecast drivers'!$O$5:$Y$57, MATCH(F_Interface!$A105&amp;RIGHT(F_Interface!H$2, 2),'Forecast drivers'!$A$5:$A$57, 0), MATCH(F_Interface!$D105,'Forecast drivers'!$O$5:$Y$5, 0)),0)</f>
        <v>36.096993750112254</v>
      </c>
      <c r="I105" s="9">
        <f>_xlfn.IFNA(INDEX('Forecast drivers'!$O$5:$Y$57, MATCH(F_Interface!$A105&amp;RIGHT(F_Interface!I$2, 2),'Forecast drivers'!$A$5:$A$57, 0), MATCH(F_Interface!$D105,'Forecast drivers'!$O$5:$Y$5, 0)),0)</f>
        <v>36.260584776221776</v>
      </c>
      <c r="J105" s="9">
        <f>_xlfn.IFNA(INDEX('Forecast drivers'!$O$5:$Y$57, MATCH(F_Interface!$A105&amp;RIGHT(F_Interface!J$2, 2),'Forecast drivers'!$A$5:$A$57, 0), MATCH(F_Interface!$D105,'Forecast drivers'!$O$5:$Y$5, 0)),0)</f>
        <v>36.461509662071101</v>
      </c>
      <c r="K105" s="9">
        <f>_xlfn.IFNA(INDEX('Forecast drivers'!$O$5:$Y$57, MATCH(F_Interface!$A105&amp;RIGHT(F_Interface!K$2, 2),'Forecast drivers'!$A$5:$A$57, 0), MATCH(F_Interface!$D105,'Forecast drivers'!$O$5:$Y$5, 0)),0)</f>
        <v>36.657014992207813</v>
      </c>
      <c r="L105" s="9">
        <f>_xlfn.IFNA(INDEX('Forecast drivers'!$O$5:$Y$57, MATCH(F_Interface!$A105&amp;RIGHT(F_Interface!L$2, 2),'Forecast drivers'!$A$5:$A$57, 0), MATCH(F_Interface!$D105,'Forecast drivers'!$O$5:$Y$5, 0)),0)</f>
        <v>36.854098227292177</v>
      </c>
    </row>
    <row r="106" spans="1:12" x14ac:dyDescent="0.2">
      <c r="A106" s="10" t="s">
        <v>11</v>
      </c>
      <c r="B106" s="10" t="s">
        <v>137</v>
      </c>
      <c r="C106" s="10" t="str">
        <f t="shared" si="1"/>
        <v>YKYC_PROP_DENS_PR19CA008</v>
      </c>
      <c r="D106" s="9" t="s">
        <v>64</v>
      </c>
      <c r="E106" s="9" t="s">
        <v>78</v>
      </c>
      <c r="F106" s="135" t="s">
        <v>3</v>
      </c>
      <c r="G106" s="9" t="s">
        <v>50</v>
      </c>
      <c r="H106" s="9">
        <f>_xlfn.IFNA(INDEX('Forecast drivers'!$O$5:$Y$57, MATCH(F_Interface!$A106&amp;RIGHT(F_Interface!H$2, 2),'Forecast drivers'!$A$5:$A$57, 0), MATCH(F_Interface!$D106,'Forecast drivers'!$O$5:$Y$5, 0)),0)</f>
        <v>44.243512013102588</v>
      </c>
      <c r="I106" s="9">
        <f>_xlfn.IFNA(INDEX('Forecast drivers'!$O$5:$Y$57, MATCH(F_Interface!$A106&amp;RIGHT(F_Interface!I$2, 2),'Forecast drivers'!$A$5:$A$57, 0), MATCH(F_Interface!$D106,'Forecast drivers'!$O$5:$Y$5, 0)),0)</f>
        <v>44.395729900131016</v>
      </c>
      <c r="J106" s="9">
        <f>_xlfn.IFNA(INDEX('Forecast drivers'!$O$5:$Y$57, MATCH(F_Interface!$A106&amp;RIGHT(F_Interface!J$2, 2),'Forecast drivers'!$A$5:$A$57, 0), MATCH(F_Interface!$D106,'Forecast drivers'!$O$5:$Y$5, 0)),0)</f>
        <v>44.584001376680789</v>
      </c>
      <c r="K106" s="9">
        <f>_xlfn.IFNA(INDEX('Forecast drivers'!$O$5:$Y$57, MATCH(F_Interface!$A106&amp;RIGHT(F_Interface!K$2, 2),'Forecast drivers'!$A$5:$A$57, 0), MATCH(F_Interface!$D106,'Forecast drivers'!$O$5:$Y$5, 0)),0)</f>
        <v>44.763485026845622</v>
      </c>
      <c r="L106" s="9">
        <f>_xlfn.IFNA(INDEX('Forecast drivers'!$O$5:$Y$57, MATCH(F_Interface!$A106&amp;RIGHT(F_Interface!L$2, 2),'Forecast drivers'!$A$5:$A$57, 0), MATCH(F_Interface!$D106,'Forecast drivers'!$O$5:$Y$5, 0)),0)</f>
        <v>44.942867951846196</v>
      </c>
    </row>
    <row r="107" spans="1:12" x14ac:dyDescent="0.2">
      <c r="A107" s="10" t="s">
        <v>4</v>
      </c>
      <c r="B107" s="10" t="s">
        <v>138</v>
      </c>
      <c r="C107" s="10" t="str">
        <f t="shared" si="1"/>
        <v>ANHC_PCPSL_PR19CA008</v>
      </c>
      <c r="D107" s="9" t="s">
        <v>65</v>
      </c>
      <c r="E107" s="9" t="s">
        <v>79</v>
      </c>
      <c r="F107" s="135" t="s">
        <v>111</v>
      </c>
      <c r="G107" s="9" t="s">
        <v>50</v>
      </c>
      <c r="H107" s="9">
        <f>_xlfn.IFNA(INDEX('Forecast drivers'!$O$5:$Y$57, MATCH(F_Interface!$A107&amp;RIGHT(F_Interface!H$2, 2),'Forecast drivers'!$A$5:$A$57, 0), MATCH(F_Interface!$D107,'Forecast drivers'!$O$5:$Y$5, 0)),0)</f>
        <v>1.5620356436671257</v>
      </c>
      <c r="I107" s="9">
        <f>_xlfn.IFNA(INDEX('Forecast drivers'!$O$5:$Y$57, MATCH(F_Interface!$A107&amp;RIGHT(F_Interface!I$2, 2),'Forecast drivers'!$A$5:$A$57, 0), MATCH(F_Interface!$D107,'Forecast drivers'!$O$5:$Y$5, 0)),0)</f>
        <v>1.5620356436671257</v>
      </c>
      <c r="J107" s="9">
        <f>_xlfn.IFNA(INDEX('Forecast drivers'!$O$5:$Y$57, MATCH(F_Interface!$A107&amp;RIGHT(F_Interface!J$2, 2),'Forecast drivers'!$A$5:$A$57, 0), MATCH(F_Interface!$D107,'Forecast drivers'!$O$5:$Y$5, 0)),0)</f>
        <v>1.5620356436671257</v>
      </c>
      <c r="K107" s="9">
        <f>_xlfn.IFNA(INDEX('Forecast drivers'!$O$5:$Y$57, MATCH(F_Interface!$A107&amp;RIGHT(F_Interface!K$2, 2),'Forecast drivers'!$A$5:$A$57, 0), MATCH(F_Interface!$D107,'Forecast drivers'!$O$5:$Y$5, 0)),0)</f>
        <v>1.5620356436671257</v>
      </c>
      <c r="L107" s="9">
        <f>_xlfn.IFNA(INDEX('Forecast drivers'!$O$5:$Y$57, MATCH(F_Interface!$A107&amp;RIGHT(F_Interface!L$2, 2),'Forecast drivers'!$A$5:$A$57, 0), MATCH(F_Interface!$D107,'Forecast drivers'!$O$5:$Y$5, 0)),0)</f>
        <v>1.5620356436671257</v>
      </c>
    </row>
    <row r="108" spans="1:12" x14ac:dyDescent="0.2">
      <c r="A108" s="10" t="s">
        <v>87</v>
      </c>
      <c r="B108" s="10" t="s">
        <v>138</v>
      </c>
      <c r="C108" s="10" t="str">
        <f t="shared" si="1"/>
        <v>HDDC_PCPSL_PR19CA008</v>
      </c>
      <c r="D108" s="9" t="s">
        <v>65</v>
      </c>
      <c r="E108" s="9" t="s">
        <v>79</v>
      </c>
      <c r="F108" s="135" t="s">
        <v>111</v>
      </c>
      <c r="G108" s="9" t="s">
        <v>50</v>
      </c>
      <c r="H108" s="9">
        <f>_xlfn.IFNA(INDEX('Forecast drivers'!$O$5:$Y$57, MATCH(F_Interface!$A108&amp;RIGHT(F_Interface!H$2, 2),'Forecast drivers'!$A$5:$A$57, 0), MATCH(F_Interface!$D108,'Forecast drivers'!$O$5:$Y$5, 0)),0)</f>
        <v>0</v>
      </c>
      <c r="I108" s="9">
        <f>_xlfn.IFNA(INDEX('Forecast drivers'!$O$5:$Y$57, MATCH(F_Interface!$A108&amp;RIGHT(F_Interface!I$2, 2),'Forecast drivers'!$A$5:$A$57, 0), MATCH(F_Interface!$D108,'Forecast drivers'!$O$5:$Y$5, 0)),0)</f>
        <v>0</v>
      </c>
      <c r="J108" s="9">
        <f>_xlfn.IFNA(INDEX('Forecast drivers'!$O$5:$Y$57, MATCH(F_Interface!$A108&amp;RIGHT(F_Interface!J$2, 2),'Forecast drivers'!$A$5:$A$57, 0), MATCH(F_Interface!$D108,'Forecast drivers'!$O$5:$Y$5, 0)),0)</f>
        <v>0</v>
      </c>
      <c r="K108" s="9">
        <f>_xlfn.IFNA(INDEX('Forecast drivers'!$O$5:$Y$57, MATCH(F_Interface!$A108&amp;RIGHT(F_Interface!K$2, 2),'Forecast drivers'!$A$5:$A$57, 0), MATCH(F_Interface!$D108,'Forecast drivers'!$O$5:$Y$5, 0)),0)</f>
        <v>0</v>
      </c>
      <c r="L108" s="9">
        <f>_xlfn.IFNA(INDEX('Forecast drivers'!$O$5:$Y$57, MATCH(F_Interface!$A108&amp;RIGHT(F_Interface!L$2, 2),'Forecast drivers'!$A$5:$A$57, 0), MATCH(F_Interface!$D108,'Forecast drivers'!$O$5:$Y$5, 0)),0)</f>
        <v>0</v>
      </c>
    </row>
    <row r="109" spans="1:12" x14ac:dyDescent="0.2">
      <c r="A109" s="10" t="s">
        <v>5</v>
      </c>
      <c r="B109" s="10" t="s">
        <v>138</v>
      </c>
      <c r="C109" s="10" t="str">
        <f t="shared" si="1"/>
        <v>NESC_PCPSL_PR19CA008</v>
      </c>
      <c r="D109" s="9" t="s">
        <v>65</v>
      </c>
      <c r="E109" s="9" t="s">
        <v>79</v>
      </c>
      <c r="F109" s="135" t="s">
        <v>111</v>
      </c>
      <c r="G109" s="9" t="s">
        <v>50</v>
      </c>
      <c r="H109" s="9">
        <f>_xlfn.IFNA(INDEX('Forecast drivers'!$O$5:$Y$57, MATCH(F_Interface!$A109&amp;RIGHT(F_Interface!H$2, 2),'Forecast drivers'!$A$5:$A$57, 0), MATCH(F_Interface!$D109,'Forecast drivers'!$O$5:$Y$5, 0)),0)</f>
        <v>1.4921139598865618</v>
      </c>
      <c r="I109" s="9">
        <f>_xlfn.IFNA(INDEX('Forecast drivers'!$O$5:$Y$57, MATCH(F_Interface!$A109&amp;RIGHT(F_Interface!I$2, 2),'Forecast drivers'!$A$5:$A$57, 0), MATCH(F_Interface!$D109,'Forecast drivers'!$O$5:$Y$5, 0)),0)</f>
        <v>1.4921139598865618</v>
      </c>
      <c r="J109" s="9">
        <f>_xlfn.IFNA(INDEX('Forecast drivers'!$O$5:$Y$57, MATCH(F_Interface!$A109&amp;RIGHT(F_Interface!J$2, 2),'Forecast drivers'!$A$5:$A$57, 0), MATCH(F_Interface!$D109,'Forecast drivers'!$O$5:$Y$5, 0)),0)</f>
        <v>1.4921139598865618</v>
      </c>
      <c r="K109" s="9">
        <f>_xlfn.IFNA(INDEX('Forecast drivers'!$O$5:$Y$57, MATCH(F_Interface!$A109&amp;RIGHT(F_Interface!K$2, 2),'Forecast drivers'!$A$5:$A$57, 0), MATCH(F_Interface!$D109,'Forecast drivers'!$O$5:$Y$5, 0)),0)</f>
        <v>1.4921139598865618</v>
      </c>
      <c r="L109" s="9">
        <f>_xlfn.IFNA(INDEX('Forecast drivers'!$O$5:$Y$57, MATCH(F_Interface!$A109&amp;RIGHT(F_Interface!L$2, 2),'Forecast drivers'!$A$5:$A$57, 0), MATCH(F_Interface!$D109,'Forecast drivers'!$O$5:$Y$5, 0)),0)</f>
        <v>1.4921139598865618</v>
      </c>
    </row>
    <row r="110" spans="1:12" x14ac:dyDescent="0.2">
      <c r="A110" s="10" t="s">
        <v>6</v>
      </c>
      <c r="B110" s="10" t="s">
        <v>138</v>
      </c>
      <c r="C110" s="10" t="str">
        <f t="shared" si="1"/>
        <v>NWTC_PCPSL_PR19CA008</v>
      </c>
      <c r="D110" s="9" t="s">
        <v>65</v>
      </c>
      <c r="E110" s="9" t="s">
        <v>79</v>
      </c>
      <c r="F110" s="135" t="s">
        <v>111</v>
      </c>
      <c r="G110" s="9" t="s">
        <v>50</v>
      </c>
      <c r="H110" s="9">
        <f>_xlfn.IFNA(INDEX('Forecast drivers'!$O$5:$Y$57, MATCH(F_Interface!$A110&amp;RIGHT(F_Interface!H$2, 2),'Forecast drivers'!$A$5:$A$57, 0), MATCH(F_Interface!$D110,'Forecast drivers'!$O$5:$Y$5, 0)),0)</f>
        <v>1.1060576664787998</v>
      </c>
      <c r="I110" s="9">
        <f>_xlfn.IFNA(INDEX('Forecast drivers'!$O$5:$Y$57, MATCH(F_Interface!$A110&amp;RIGHT(F_Interface!I$2, 2),'Forecast drivers'!$A$5:$A$57, 0), MATCH(F_Interface!$D110,'Forecast drivers'!$O$5:$Y$5, 0)),0)</f>
        <v>1.1060576664787998</v>
      </c>
      <c r="J110" s="9">
        <f>_xlfn.IFNA(INDEX('Forecast drivers'!$O$5:$Y$57, MATCH(F_Interface!$A110&amp;RIGHT(F_Interface!J$2, 2),'Forecast drivers'!$A$5:$A$57, 0), MATCH(F_Interface!$D110,'Forecast drivers'!$O$5:$Y$5, 0)),0)</f>
        <v>1.1060576664787998</v>
      </c>
      <c r="K110" s="9">
        <f>_xlfn.IFNA(INDEX('Forecast drivers'!$O$5:$Y$57, MATCH(F_Interface!$A110&amp;RIGHT(F_Interface!K$2, 2),'Forecast drivers'!$A$5:$A$57, 0), MATCH(F_Interface!$D110,'Forecast drivers'!$O$5:$Y$5, 0)),0)</f>
        <v>1.1060576664787998</v>
      </c>
      <c r="L110" s="9">
        <f>_xlfn.IFNA(INDEX('Forecast drivers'!$O$5:$Y$57, MATCH(F_Interface!$A110&amp;RIGHT(F_Interface!L$2, 2),'Forecast drivers'!$A$5:$A$57, 0), MATCH(F_Interface!$D110,'Forecast drivers'!$O$5:$Y$5, 0)),0)</f>
        <v>1.1060576664787998</v>
      </c>
    </row>
    <row r="111" spans="1:12" x14ac:dyDescent="0.2">
      <c r="A111" s="10" t="s">
        <v>7</v>
      </c>
      <c r="B111" s="10" t="s">
        <v>138</v>
      </c>
      <c r="C111" s="10" t="str">
        <f t="shared" si="1"/>
        <v>SRNC_PCPSL_PR19CA008</v>
      </c>
      <c r="D111" s="9" t="s">
        <v>65</v>
      </c>
      <c r="E111" s="9" t="s">
        <v>79</v>
      </c>
      <c r="F111" s="135" t="s">
        <v>111</v>
      </c>
      <c r="G111" s="9" t="s">
        <v>50</v>
      </c>
      <c r="H111" s="9">
        <f>_xlfn.IFNA(INDEX('Forecast drivers'!$O$5:$Y$57, MATCH(F_Interface!$A111&amp;RIGHT(F_Interface!H$2, 2),'Forecast drivers'!$A$5:$A$57, 0), MATCH(F_Interface!$D111,'Forecast drivers'!$O$5:$Y$5, 0)),0)</f>
        <v>3.1611173719865966</v>
      </c>
      <c r="I111" s="9">
        <f>_xlfn.IFNA(INDEX('Forecast drivers'!$O$5:$Y$57, MATCH(F_Interface!$A111&amp;RIGHT(F_Interface!I$2, 2),'Forecast drivers'!$A$5:$A$57, 0), MATCH(F_Interface!$D111,'Forecast drivers'!$O$5:$Y$5, 0)),0)</f>
        <v>3.1611173719865966</v>
      </c>
      <c r="J111" s="9">
        <f>_xlfn.IFNA(INDEX('Forecast drivers'!$O$5:$Y$57, MATCH(F_Interface!$A111&amp;RIGHT(F_Interface!J$2, 2),'Forecast drivers'!$A$5:$A$57, 0), MATCH(F_Interface!$D111,'Forecast drivers'!$O$5:$Y$5, 0)),0)</f>
        <v>3.1611173719865966</v>
      </c>
      <c r="K111" s="9">
        <f>_xlfn.IFNA(INDEX('Forecast drivers'!$O$5:$Y$57, MATCH(F_Interface!$A111&amp;RIGHT(F_Interface!K$2, 2),'Forecast drivers'!$A$5:$A$57, 0), MATCH(F_Interface!$D111,'Forecast drivers'!$O$5:$Y$5, 0)),0)</f>
        <v>3.1611173719865966</v>
      </c>
      <c r="L111" s="9">
        <f>_xlfn.IFNA(INDEX('Forecast drivers'!$O$5:$Y$57, MATCH(F_Interface!$A111&amp;RIGHT(F_Interface!L$2, 2),'Forecast drivers'!$A$5:$A$57, 0), MATCH(F_Interface!$D111,'Forecast drivers'!$O$5:$Y$5, 0)),0)</f>
        <v>3.1611173719865966</v>
      </c>
    </row>
    <row r="112" spans="1:12" x14ac:dyDescent="0.2">
      <c r="A112" s="10" t="s">
        <v>116</v>
      </c>
      <c r="B112" s="10" t="s">
        <v>138</v>
      </c>
      <c r="C112" s="10" t="str">
        <f t="shared" si="1"/>
        <v>SVEC_PCPSL_PR19CA008</v>
      </c>
      <c r="D112" s="9" t="s">
        <v>65</v>
      </c>
      <c r="E112" s="9" t="s">
        <v>79</v>
      </c>
      <c r="F112" s="135" t="s">
        <v>111</v>
      </c>
      <c r="G112" s="9" t="s">
        <v>50</v>
      </c>
      <c r="H112" s="9">
        <f>_xlfn.IFNA(INDEX('Forecast drivers'!$O$5:$Y$57, MATCH(F_Interface!$A112&amp;RIGHT(F_Interface!H$2, 2),'Forecast drivers'!$A$5:$A$57, 0), MATCH(F_Interface!$D112,'Forecast drivers'!$O$5:$Y$5, 0)),0)</f>
        <v>0</v>
      </c>
      <c r="I112" s="9">
        <f>_xlfn.IFNA(INDEX('Forecast drivers'!$O$5:$Y$57, MATCH(F_Interface!$A112&amp;RIGHT(F_Interface!I$2, 2),'Forecast drivers'!$A$5:$A$57, 0), MATCH(F_Interface!$D112,'Forecast drivers'!$O$5:$Y$5, 0)),0)</f>
        <v>0</v>
      </c>
      <c r="J112" s="9">
        <f>_xlfn.IFNA(INDEX('Forecast drivers'!$O$5:$Y$57, MATCH(F_Interface!$A112&amp;RIGHT(F_Interface!J$2, 2),'Forecast drivers'!$A$5:$A$57, 0), MATCH(F_Interface!$D112,'Forecast drivers'!$O$5:$Y$5, 0)),0)</f>
        <v>0</v>
      </c>
      <c r="K112" s="9">
        <f>_xlfn.IFNA(INDEX('Forecast drivers'!$O$5:$Y$57, MATCH(F_Interface!$A112&amp;RIGHT(F_Interface!K$2, 2),'Forecast drivers'!$A$5:$A$57, 0), MATCH(F_Interface!$D112,'Forecast drivers'!$O$5:$Y$5, 0)),0)</f>
        <v>0</v>
      </c>
      <c r="L112" s="9">
        <f>_xlfn.IFNA(INDEX('Forecast drivers'!$O$5:$Y$57, MATCH(F_Interface!$A112&amp;RIGHT(F_Interface!L$2, 2),'Forecast drivers'!$A$5:$A$57, 0), MATCH(F_Interface!$D112,'Forecast drivers'!$O$5:$Y$5, 0)),0)</f>
        <v>0</v>
      </c>
    </row>
    <row r="113" spans="1:12" x14ac:dyDescent="0.2">
      <c r="A113" s="10" t="s">
        <v>101</v>
      </c>
      <c r="B113" s="10" t="s">
        <v>138</v>
      </c>
      <c r="C113" s="10" t="str">
        <f t="shared" si="1"/>
        <v>SVHC_PCPSL_PR19CA008</v>
      </c>
      <c r="D113" s="9" t="s">
        <v>65</v>
      </c>
      <c r="E113" s="9" t="s">
        <v>79</v>
      </c>
      <c r="F113" s="135" t="s">
        <v>111</v>
      </c>
      <c r="G113" s="9" t="s">
        <v>50</v>
      </c>
      <c r="H113" s="9">
        <f>_xlfn.IFNA(INDEX('Forecast drivers'!$O$5:$Y$57, MATCH(F_Interface!$A113&amp;RIGHT(F_Interface!H$2, 2),'Forecast drivers'!$A$5:$A$57, 0), MATCH(F_Interface!$D113,'Forecast drivers'!$O$5:$Y$5, 0)),0)</f>
        <v>1.2151460102135954</v>
      </c>
      <c r="I113" s="9">
        <f>_xlfn.IFNA(INDEX('Forecast drivers'!$O$5:$Y$57, MATCH(F_Interface!$A113&amp;RIGHT(F_Interface!I$2, 2),'Forecast drivers'!$A$5:$A$57, 0), MATCH(F_Interface!$D113,'Forecast drivers'!$O$5:$Y$5, 0)),0)</f>
        <v>1.2151460102135954</v>
      </c>
      <c r="J113" s="9">
        <f>_xlfn.IFNA(INDEX('Forecast drivers'!$O$5:$Y$57, MATCH(F_Interface!$A113&amp;RIGHT(F_Interface!J$2, 2),'Forecast drivers'!$A$5:$A$57, 0), MATCH(F_Interface!$D113,'Forecast drivers'!$O$5:$Y$5, 0)),0)</f>
        <v>1.2151460102135954</v>
      </c>
      <c r="K113" s="9">
        <f>_xlfn.IFNA(INDEX('Forecast drivers'!$O$5:$Y$57, MATCH(F_Interface!$A113&amp;RIGHT(F_Interface!K$2, 2),'Forecast drivers'!$A$5:$A$57, 0), MATCH(F_Interface!$D113,'Forecast drivers'!$O$5:$Y$5, 0)),0)</f>
        <v>1.2151460102135954</v>
      </c>
      <c r="L113" s="9">
        <f>_xlfn.IFNA(INDEX('Forecast drivers'!$O$5:$Y$57, MATCH(F_Interface!$A113&amp;RIGHT(F_Interface!L$2, 2),'Forecast drivers'!$A$5:$A$57, 0), MATCH(F_Interface!$D113,'Forecast drivers'!$O$5:$Y$5, 0)),0)</f>
        <v>1.2151460102135954</v>
      </c>
    </row>
    <row r="114" spans="1:12" x14ac:dyDescent="0.2">
      <c r="A114" s="10" t="s">
        <v>8</v>
      </c>
      <c r="B114" s="10" t="s">
        <v>138</v>
      </c>
      <c r="C114" s="10" t="str">
        <f t="shared" si="1"/>
        <v>SVTC_PCPSL_PR19CA008</v>
      </c>
      <c r="D114" s="9" t="s">
        <v>65</v>
      </c>
      <c r="E114" s="9" t="s">
        <v>79</v>
      </c>
      <c r="F114" s="135" t="s">
        <v>111</v>
      </c>
      <c r="G114" s="9" t="s">
        <v>50</v>
      </c>
      <c r="H114" s="9">
        <f>_xlfn.IFNA(INDEX('Forecast drivers'!$O$5:$Y$57, MATCH(F_Interface!$A114&amp;RIGHT(F_Interface!H$2, 2),'Forecast drivers'!$A$5:$A$57, 0), MATCH(F_Interface!$D114,'Forecast drivers'!$O$5:$Y$5, 0)),0)</f>
        <v>0</v>
      </c>
      <c r="I114" s="9">
        <f>_xlfn.IFNA(INDEX('Forecast drivers'!$O$5:$Y$57, MATCH(F_Interface!$A114&amp;RIGHT(F_Interface!I$2, 2),'Forecast drivers'!$A$5:$A$57, 0), MATCH(F_Interface!$D114,'Forecast drivers'!$O$5:$Y$5, 0)),0)</f>
        <v>0</v>
      </c>
      <c r="J114" s="9">
        <f>_xlfn.IFNA(INDEX('Forecast drivers'!$O$5:$Y$57, MATCH(F_Interface!$A114&amp;RIGHT(F_Interface!J$2, 2),'Forecast drivers'!$A$5:$A$57, 0), MATCH(F_Interface!$D114,'Forecast drivers'!$O$5:$Y$5, 0)),0)</f>
        <v>0</v>
      </c>
      <c r="K114" s="9">
        <f>_xlfn.IFNA(INDEX('Forecast drivers'!$O$5:$Y$57, MATCH(F_Interface!$A114&amp;RIGHT(F_Interface!K$2, 2),'Forecast drivers'!$A$5:$A$57, 0), MATCH(F_Interface!$D114,'Forecast drivers'!$O$5:$Y$5, 0)),0)</f>
        <v>0</v>
      </c>
      <c r="L114" s="9">
        <f>_xlfn.IFNA(INDEX('Forecast drivers'!$O$5:$Y$57, MATCH(F_Interface!$A114&amp;RIGHT(F_Interface!L$2, 2),'Forecast drivers'!$A$5:$A$57, 0), MATCH(F_Interface!$D114,'Forecast drivers'!$O$5:$Y$5, 0)),0)</f>
        <v>0</v>
      </c>
    </row>
    <row r="115" spans="1:12" x14ac:dyDescent="0.2">
      <c r="A115" s="10" t="s">
        <v>12</v>
      </c>
      <c r="B115" s="10" t="s">
        <v>138</v>
      </c>
      <c r="C115" s="10" t="str">
        <f t="shared" si="1"/>
        <v>SWBC_PCPSL_PR19CA008</v>
      </c>
      <c r="D115" s="9" t="s">
        <v>65</v>
      </c>
      <c r="E115" s="9" t="s">
        <v>79</v>
      </c>
      <c r="F115" s="135" t="s">
        <v>111</v>
      </c>
      <c r="G115" s="9" t="s">
        <v>50</v>
      </c>
      <c r="H115" s="9">
        <f>_xlfn.IFNA(INDEX('Forecast drivers'!$O$5:$Y$57, MATCH(F_Interface!$A115&amp;RIGHT(F_Interface!H$2, 2),'Forecast drivers'!$A$5:$A$57, 0), MATCH(F_Interface!$D115,'Forecast drivers'!$O$5:$Y$5, 0)),0)</f>
        <v>2.409513846561143</v>
      </c>
      <c r="I115" s="9">
        <f>_xlfn.IFNA(INDEX('Forecast drivers'!$O$5:$Y$57, MATCH(F_Interface!$A115&amp;RIGHT(F_Interface!I$2, 2),'Forecast drivers'!$A$5:$A$57, 0), MATCH(F_Interface!$D115,'Forecast drivers'!$O$5:$Y$5, 0)),0)</f>
        <v>2.409513846561143</v>
      </c>
      <c r="J115" s="9">
        <f>_xlfn.IFNA(INDEX('Forecast drivers'!$O$5:$Y$57, MATCH(F_Interface!$A115&amp;RIGHT(F_Interface!J$2, 2),'Forecast drivers'!$A$5:$A$57, 0), MATCH(F_Interface!$D115,'Forecast drivers'!$O$5:$Y$5, 0)),0)</f>
        <v>2.409513846561143</v>
      </c>
      <c r="K115" s="9">
        <f>_xlfn.IFNA(INDEX('Forecast drivers'!$O$5:$Y$57, MATCH(F_Interface!$A115&amp;RIGHT(F_Interface!K$2, 2),'Forecast drivers'!$A$5:$A$57, 0), MATCH(F_Interface!$D115,'Forecast drivers'!$O$5:$Y$5, 0)),0)</f>
        <v>2.409513846561143</v>
      </c>
      <c r="L115" s="9">
        <f>_xlfn.IFNA(INDEX('Forecast drivers'!$O$5:$Y$57, MATCH(F_Interface!$A115&amp;RIGHT(F_Interface!L$2, 2),'Forecast drivers'!$A$5:$A$57, 0), MATCH(F_Interface!$D115,'Forecast drivers'!$O$5:$Y$5, 0)),0)</f>
        <v>2.409513846561143</v>
      </c>
    </row>
    <row r="116" spans="1:12" x14ac:dyDescent="0.2">
      <c r="A116" s="10" t="s">
        <v>9</v>
      </c>
      <c r="B116" s="10" t="s">
        <v>138</v>
      </c>
      <c r="C116" s="10" t="str">
        <f t="shared" si="1"/>
        <v>TMSC_PCPSL_PR19CA008</v>
      </c>
      <c r="D116" s="9" t="s">
        <v>65</v>
      </c>
      <c r="E116" s="9" t="s">
        <v>79</v>
      </c>
      <c r="F116" s="135" t="s">
        <v>111</v>
      </c>
      <c r="G116" s="137" t="s">
        <v>50</v>
      </c>
      <c r="H116" s="9">
        <f>_xlfn.IFNA(INDEX('Forecast drivers'!$O$5:$Y$57, MATCH(F_Interface!$A116&amp;RIGHT(F_Interface!H$2, 2),'Forecast drivers'!$A$5:$A$57, 0), MATCH(F_Interface!$D116,'Forecast drivers'!$O$5:$Y$5, 0)),0)</f>
        <v>1.262857741018067</v>
      </c>
      <c r="I116" s="9">
        <f>_xlfn.IFNA(INDEX('Forecast drivers'!$O$5:$Y$57, MATCH(F_Interface!$A116&amp;RIGHT(F_Interface!I$2, 2),'Forecast drivers'!$A$5:$A$57, 0), MATCH(F_Interface!$D116,'Forecast drivers'!$O$5:$Y$5, 0)),0)</f>
        <v>1.262857741018067</v>
      </c>
      <c r="J116" s="9">
        <f>_xlfn.IFNA(INDEX('Forecast drivers'!$O$5:$Y$57, MATCH(F_Interface!$A116&amp;RIGHT(F_Interface!J$2, 2),'Forecast drivers'!$A$5:$A$57, 0), MATCH(F_Interface!$D116,'Forecast drivers'!$O$5:$Y$5, 0)),0)</f>
        <v>1.262857741018067</v>
      </c>
      <c r="K116" s="9">
        <f>_xlfn.IFNA(INDEX('Forecast drivers'!$O$5:$Y$57, MATCH(F_Interface!$A116&amp;RIGHT(F_Interface!K$2, 2),'Forecast drivers'!$A$5:$A$57, 0), MATCH(F_Interface!$D116,'Forecast drivers'!$O$5:$Y$5, 0)),0)</f>
        <v>1.262857741018067</v>
      </c>
      <c r="L116" s="9">
        <f>_xlfn.IFNA(INDEX('Forecast drivers'!$O$5:$Y$57, MATCH(F_Interface!$A116&amp;RIGHT(F_Interface!L$2, 2),'Forecast drivers'!$A$5:$A$57, 0), MATCH(F_Interface!$D116,'Forecast drivers'!$O$5:$Y$5, 0)),0)</f>
        <v>1.262857741018067</v>
      </c>
    </row>
    <row r="117" spans="1:12" x14ac:dyDescent="0.2">
      <c r="A117" s="10" t="s">
        <v>15</v>
      </c>
      <c r="B117" s="10" t="s">
        <v>138</v>
      </c>
      <c r="C117" s="10" t="str">
        <f t="shared" si="1"/>
        <v>WSHC_PCPSL_PR19CA008</v>
      </c>
      <c r="D117" s="9" t="s">
        <v>65</v>
      </c>
      <c r="E117" s="9" t="s">
        <v>79</v>
      </c>
      <c r="F117" s="135" t="s">
        <v>111</v>
      </c>
      <c r="G117" s="9" t="s">
        <v>50</v>
      </c>
      <c r="H117" s="9">
        <f>_xlfn.IFNA(INDEX('Forecast drivers'!$O$5:$Y$57, MATCH(F_Interface!$A117&amp;RIGHT(F_Interface!H$2, 2),'Forecast drivers'!$A$5:$A$57, 0), MATCH(F_Interface!$D117,'Forecast drivers'!$O$5:$Y$5, 0)),0)</f>
        <v>1.6680888046782083</v>
      </c>
      <c r="I117" s="9">
        <f>_xlfn.IFNA(INDEX('Forecast drivers'!$O$5:$Y$57, MATCH(F_Interface!$A117&amp;RIGHT(F_Interface!I$2, 2),'Forecast drivers'!$A$5:$A$57, 0), MATCH(F_Interface!$D117,'Forecast drivers'!$O$5:$Y$5, 0)),0)</f>
        <v>1.6680888046782083</v>
      </c>
      <c r="J117" s="9">
        <f>_xlfn.IFNA(INDEX('Forecast drivers'!$O$5:$Y$57, MATCH(F_Interface!$A117&amp;RIGHT(F_Interface!J$2, 2),'Forecast drivers'!$A$5:$A$57, 0), MATCH(F_Interface!$D117,'Forecast drivers'!$O$5:$Y$5, 0)),0)</f>
        <v>1.6680888046782083</v>
      </c>
      <c r="K117" s="9">
        <f>_xlfn.IFNA(INDEX('Forecast drivers'!$O$5:$Y$57, MATCH(F_Interface!$A117&amp;RIGHT(F_Interface!K$2, 2),'Forecast drivers'!$A$5:$A$57, 0), MATCH(F_Interface!$D117,'Forecast drivers'!$O$5:$Y$5, 0)),0)</f>
        <v>1.6680888046782083</v>
      </c>
      <c r="L117" s="9">
        <f>_xlfn.IFNA(INDEX('Forecast drivers'!$O$5:$Y$57, MATCH(F_Interface!$A117&amp;RIGHT(F_Interface!L$2, 2),'Forecast drivers'!$A$5:$A$57, 0), MATCH(F_Interface!$D117,'Forecast drivers'!$O$5:$Y$5, 0)),0)</f>
        <v>1.6680888046782083</v>
      </c>
    </row>
    <row r="118" spans="1:12" x14ac:dyDescent="0.2">
      <c r="A118" s="10" t="s">
        <v>10</v>
      </c>
      <c r="B118" s="10" t="s">
        <v>138</v>
      </c>
      <c r="C118" s="10" t="str">
        <f t="shared" si="1"/>
        <v>WSXC_PCPSL_PR19CA008</v>
      </c>
      <c r="D118" s="9" t="s">
        <v>65</v>
      </c>
      <c r="E118" s="9" t="s">
        <v>79</v>
      </c>
      <c r="F118" s="135" t="s">
        <v>111</v>
      </c>
      <c r="G118" s="9" t="s">
        <v>50</v>
      </c>
      <c r="H118" s="9">
        <f>_xlfn.IFNA(INDEX('Forecast drivers'!$O$5:$Y$57, MATCH(F_Interface!$A118&amp;RIGHT(F_Interface!H$2, 2),'Forecast drivers'!$A$5:$A$57, 0), MATCH(F_Interface!$D118,'Forecast drivers'!$O$5:$Y$5, 0)),0)</f>
        <v>1.3952730801639641</v>
      </c>
      <c r="I118" s="9">
        <f>_xlfn.IFNA(INDEX('Forecast drivers'!$O$5:$Y$57, MATCH(F_Interface!$A118&amp;RIGHT(F_Interface!I$2, 2),'Forecast drivers'!$A$5:$A$57, 0), MATCH(F_Interface!$D118,'Forecast drivers'!$O$5:$Y$5, 0)),0)</f>
        <v>1.3952730801639641</v>
      </c>
      <c r="J118" s="9">
        <f>_xlfn.IFNA(INDEX('Forecast drivers'!$O$5:$Y$57, MATCH(F_Interface!$A118&amp;RIGHT(F_Interface!J$2, 2),'Forecast drivers'!$A$5:$A$57, 0), MATCH(F_Interface!$D118,'Forecast drivers'!$O$5:$Y$5, 0)),0)</f>
        <v>1.3952730801639641</v>
      </c>
      <c r="K118" s="9">
        <f>_xlfn.IFNA(INDEX('Forecast drivers'!$O$5:$Y$57, MATCH(F_Interface!$A118&amp;RIGHT(F_Interface!K$2, 2),'Forecast drivers'!$A$5:$A$57, 0), MATCH(F_Interface!$D118,'Forecast drivers'!$O$5:$Y$5, 0)),0)</f>
        <v>1.3952730801639641</v>
      </c>
      <c r="L118" s="9">
        <f>_xlfn.IFNA(INDEX('Forecast drivers'!$O$5:$Y$57, MATCH(F_Interface!$A118&amp;RIGHT(F_Interface!L$2, 2),'Forecast drivers'!$A$5:$A$57, 0), MATCH(F_Interface!$D118,'Forecast drivers'!$O$5:$Y$5, 0)),0)</f>
        <v>1.3952730801639641</v>
      </c>
    </row>
    <row r="119" spans="1:12" x14ac:dyDescent="0.2">
      <c r="A119" s="10" t="s">
        <v>11</v>
      </c>
      <c r="B119" s="10" t="s">
        <v>138</v>
      </c>
      <c r="C119" s="10" t="str">
        <f t="shared" ref="C119:C169" si="2">A119&amp;B119</f>
        <v>YKYC_PCPSL_PR19CA008</v>
      </c>
      <c r="D119" s="9" t="s">
        <v>65</v>
      </c>
      <c r="E119" s="9" t="s">
        <v>79</v>
      </c>
      <c r="F119" s="135" t="s">
        <v>111</v>
      </c>
      <c r="G119" s="9" t="s">
        <v>50</v>
      </c>
      <c r="H119" s="9">
        <f>_xlfn.IFNA(INDEX('Forecast drivers'!$O$5:$Y$57, MATCH(F_Interface!$A119&amp;RIGHT(F_Interface!H$2, 2),'Forecast drivers'!$A$5:$A$57, 0), MATCH(F_Interface!$D119,'Forecast drivers'!$O$5:$Y$5, 0)),0)</f>
        <v>1.322292106852309</v>
      </c>
      <c r="I119" s="9">
        <f>_xlfn.IFNA(INDEX('Forecast drivers'!$O$5:$Y$57, MATCH(F_Interface!$A119&amp;RIGHT(F_Interface!I$2, 2),'Forecast drivers'!$A$5:$A$57, 0), MATCH(F_Interface!$D119,'Forecast drivers'!$O$5:$Y$5, 0)),0)</f>
        <v>1.322292106852309</v>
      </c>
      <c r="J119" s="9">
        <f>_xlfn.IFNA(INDEX('Forecast drivers'!$O$5:$Y$57, MATCH(F_Interface!$A119&amp;RIGHT(F_Interface!J$2, 2),'Forecast drivers'!$A$5:$A$57, 0), MATCH(F_Interface!$D119,'Forecast drivers'!$O$5:$Y$5, 0)),0)</f>
        <v>1.322292106852309</v>
      </c>
      <c r="K119" s="9">
        <f>_xlfn.IFNA(INDEX('Forecast drivers'!$O$5:$Y$57, MATCH(F_Interface!$A119&amp;RIGHT(F_Interface!K$2, 2),'Forecast drivers'!$A$5:$A$57, 0), MATCH(F_Interface!$D119,'Forecast drivers'!$O$5:$Y$5, 0)),0)</f>
        <v>1.322292106852309</v>
      </c>
      <c r="L119" s="9">
        <f>_xlfn.IFNA(INDEX('Forecast drivers'!$O$5:$Y$57, MATCH(F_Interface!$A119&amp;RIGHT(F_Interface!L$2, 2),'Forecast drivers'!$A$5:$A$57, 0), MATCH(F_Interface!$D119,'Forecast drivers'!$O$5:$Y$5, 0)),0)</f>
        <v>1.322292106852309</v>
      </c>
    </row>
    <row r="120" spans="1:12" x14ac:dyDescent="0.2">
      <c r="A120" s="10" t="s">
        <v>4</v>
      </c>
      <c r="B120" s="10" t="s">
        <v>139</v>
      </c>
      <c r="C120" s="10" t="str">
        <f t="shared" si="2"/>
        <v>ANHC_PCTBAND13_PR19CA008</v>
      </c>
      <c r="D120" s="9" t="s">
        <v>60</v>
      </c>
      <c r="E120" s="9" t="s">
        <v>80</v>
      </c>
      <c r="F120" s="135" t="s">
        <v>1</v>
      </c>
      <c r="G120" s="9" t="s">
        <v>50</v>
      </c>
      <c r="H120" s="9">
        <f>_xlfn.IFNA(INDEX('Forecast drivers'!$O$5:$Y$57, MATCH(F_Interface!$A120&amp;RIGHT(F_Interface!H$2, 2),'Forecast drivers'!$A$5:$A$57, 0), MATCH(F_Interface!$D120,'Forecast drivers'!$O$5:$Y$5, 0)),0)/100</f>
        <v>5.4223577604894997E-2</v>
      </c>
      <c r="I120" s="9">
        <f>_xlfn.IFNA(INDEX('Forecast drivers'!$O$5:$Y$57, MATCH(F_Interface!$A120&amp;RIGHT(F_Interface!I$2, 2),'Forecast drivers'!$A$5:$A$57, 0), MATCH(F_Interface!$D120,'Forecast drivers'!$O$5:$Y$5, 0)),0)/100</f>
        <v>5.4223577604894997E-2</v>
      </c>
      <c r="J120" s="9">
        <f>_xlfn.IFNA(INDEX('Forecast drivers'!$O$5:$Y$57, MATCH(F_Interface!$A120&amp;RIGHT(F_Interface!J$2, 2),'Forecast drivers'!$A$5:$A$57, 0), MATCH(F_Interface!$D120,'Forecast drivers'!$O$5:$Y$5, 0)),0)/100</f>
        <v>5.4223577604894997E-2</v>
      </c>
      <c r="K120" s="9">
        <f>_xlfn.IFNA(INDEX('Forecast drivers'!$O$5:$Y$57, MATCH(F_Interface!$A120&amp;RIGHT(F_Interface!K$2, 2),'Forecast drivers'!$A$5:$A$57, 0), MATCH(F_Interface!$D120,'Forecast drivers'!$O$5:$Y$5, 0)),0)/100</f>
        <v>5.4223577604894997E-2</v>
      </c>
      <c r="L120" s="9">
        <f>_xlfn.IFNA(INDEX('Forecast drivers'!$O$5:$Y$57, MATCH(F_Interface!$A120&amp;RIGHT(F_Interface!L$2, 2),'Forecast drivers'!$A$5:$A$57, 0), MATCH(F_Interface!$D120,'Forecast drivers'!$O$5:$Y$5, 0)),0)/100</f>
        <v>5.4223577604894997E-2</v>
      </c>
    </row>
    <row r="121" spans="1:12" x14ac:dyDescent="0.2">
      <c r="A121" s="10" t="s">
        <v>87</v>
      </c>
      <c r="B121" s="10" t="s">
        <v>139</v>
      </c>
      <c r="C121" s="10" t="str">
        <f t="shared" si="2"/>
        <v>HDDC_PCTBAND13_PR19CA008</v>
      </c>
      <c r="D121" s="9" t="s">
        <v>60</v>
      </c>
      <c r="E121" s="9" t="s">
        <v>80</v>
      </c>
      <c r="F121" s="135" t="s">
        <v>1</v>
      </c>
      <c r="G121" s="9" t="s">
        <v>50</v>
      </c>
      <c r="H121" s="9">
        <f>_xlfn.IFNA(INDEX('Forecast drivers'!$O$5:$Y$57, MATCH(F_Interface!$A121&amp;RIGHT(F_Interface!H$2, 2),'Forecast drivers'!$A$5:$A$57, 0), MATCH(F_Interface!$D121,'Forecast drivers'!$O$5:$Y$5, 0)),0)/100</f>
        <v>0</v>
      </c>
      <c r="I121" s="9">
        <f>_xlfn.IFNA(INDEX('Forecast drivers'!$O$5:$Y$57, MATCH(F_Interface!$A121&amp;RIGHT(F_Interface!I$2, 2),'Forecast drivers'!$A$5:$A$57, 0), MATCH(F_Interface!$D121,'Forecast drivers'!$O$5:$Y$5, 0)),0)/100</f>
        <v>0</v>
      </c>
      <c r="J121" s="9">
        <f>_xlfn.IFNA(INDEX('Forecast drivers'!$O$5:$Y$57, MATCH(F_Interface!$A121&amp;RIGHT(F_Interface!J$2, 2),'Forecast drivers'!$A$5:$A$57, 0), MATCH(F_Interface!$D121,'Forecast drivers'!$O$5:$Y$5, 0)),0)/100</f>
        <v>0</v>
      </c>
      <c r="K121" s="9">
        <f>_xlfn.IFNA(INDEX('Forecast drivers'!$O$5:$Y$57, MATCH(F_Interface!$A121&amp;RIGHT(F_Interface!K$2, 2),'Forecast drivers'!$A$5:$A$57, 0), MATCH(F_Interface!$D121,'Forecast drivers'!$O$5:$Y$5, 0)),0)/100</f>
        <v>0</v>
      </c>
      <c r="L121" s="9">
        <f>_xlfn.IFNA(INDEX('Forecast drivers'!$O$5:$Y$57, MATCH(F_Interface!$A121&amp;RIGHT(F_Interface!L$2, 2),'Forecast drivers'!$A$5:$A$57, 0), MATCH(F_Interface!$D121,'Forecast drivers'!$O$5:$Y$5, 0)),0)/100</f>
        <v>0</v>
      </c>
    </row>
    <row r="122" spans="1:12" x14ac:dyDescent="0.2">
      <c r="A122" s="10" t="s">
        <v>5</v>
      </c>
      <c r="B122" s="10" t="s">
        <v>139</v>
      </c>
      <c r="C122" s="10" t="str">
        <f t="shared" si="2"/>
        <v>NESC_PCTBAND13_PR19CA008</v>
      </c>
      <c r="D122" s="9" t="s">
        <v>60</v>
      </c>
      <c r="E122" s="9" t="s">
        <v>80</v>
      </c>
      <c r="F122" s="135" t="s">
        <v>1</v>
      </c>
      <c r="G122" s="9" t="s">
        <v>50</v>
      </c>
      <c r="H122" s="9">
        <f>_xlfn.IFNA(INDEX('Forecast drivers'!$O$5:$Y$57, MATCH(F_Interface!$A122&amp;RIGHT(F_Interface!H$2, 2),'Forecast drivers'!$A$5:$A$57, 0), MATCH(F_Interface!$D122,'Forecast drivers'!$O$5:$Y$5, 0)),0)/100</f>
        <v>2.5769044577410759E-2</v>
      </c>
      <c r="I122" s="9">
        <f>_xlfn.IFNA(INDEX('Forecast drivers'!$O$5:$Y$57, MATCH(F_Interface!$A122&amp;RIGHT(F_Interface!I$2, 2),'Forecast drivers'!$A$5:$A$57, 0), MATCH(F_Interface!$D122,'Forecast drivers'!$O$5:$Y$5, 0)),0)/100</f>
        <v>2.5769044577410759E-2</v>
      </c>
      <c r="J122" s="9">
        <f>_xlfn.IFNA(INDEX('Forecast drivers'!$O$5:$Y$57, MATCH(F_Interface!$A122&amp;RIGHT(F_Interface!J$2, 2),'Forecast drivers'!$A$5:$A$57, 0), MATCH(F_Interface!$D122,'Forecast drivers'!$O$5:$Y$5, 0)),0)/100</f>
        <v>2.5769044577410759E-2</v>
      </c>
      <c r="K122" s="9">
        <f>_xlfn.IFNA(INDEX('Forecast drivers'!$O$5:$Y$57, MATCH(F_Interface!$A122&amp;RIGHT(F_Interface!K$2, 2),'Forecast drivers'!$A$5:$A$57, 0), MATCH(F_Interface!$D122,'Forecast drivers'!$O$5:$Y$5, 0)),0)/100</f>
        <v>2.5769044577410759E-2</v>
      </c>
      <c r="L122" s="9">
        <f>_xlfn.IFNA(INDEX('Forecast drivers'!$O$5:$Y$57, MATCH(F_Interface!$A122&amp;RIGHT(F_Interface!L$2, 2),'Forecast drivers'!$A$5:$A$57, 0), MATCH(F_Interface!$D122,'Forecast drivers'!$O$5:$Y$5, 0)),0)/100</f>
        <v>2.5769044577410759E-2</v>
      </c>
    </row>
    <row r="123" spans="1:12" x14ac:dyDescent="0.2">
      <c r="A123" s="10" t="s">
        <v>6</v>
      </c>
      <c r="B123" s="10" t="s">
        <v>139</v>
      </c>
      <c r="C123" s="10" t="str">
        <f t="shared" si="2"/>
        <v>NWTC_PCTBAND13_PR19CA008</v>
      </c>
      <c r="D123" s="9" t="s">
        <v>60</v>
      </c>
      <c r="E123" s="9" t="s">
        <v>80</v>
      </c>
      <c r="F123" s="135" t="s">
        <v>1</v>
      </c>
      <c r="G123" s="9" t="s">
        <v>50</v>
      </c>
      <c r="H123" s="9">
        <f>_xlfn.IFNA(INDEX('Forecast drivers'!$O$5:$Y$57, MATCH(F_Interface!$A123&amp;RIGHT(F_Interface!H$2, 2),'Forecast drivers'!$A$5:$A$57, 0), MATCH(F_Interface!$D123,'Forecast drivers'!$O$5:$Y$5, 0)),0)/100</f>
        <v>1.4210332496763971E-2</v>
      </c>
      <c r="I123" s="9">
        <f>_xlfn.IFNA(INDEX('Forecast drivers'!$O$5:$Y$57, MATCH(F_Interface!$A123&amp;RIGHT(F_Interface!I$2, 2),'Forecast drivers'!$A$5:$A$57, 0), MATCH(F_Interface!$D123,'Forecast drivers'!$O$5:$Y$5, 0)),0)/100</f>
        <v>1.4210332496763971E-2</v>
      </c>
      <c r="J123" s="9">
        <f>_xlfn.IFNA(INDEX('Forecast drivers'!$O$5:$Y$57, MATCH(F_Interface!$A123&amp;RIGHT(F_Interface!J$2, 2),'Forecast drivers'!$A$5:$A$57, 0), MATCH(F_Interface!$D123,'Forecast drivers'!$O$5:$Y$5, 0)),0)/100</f>
        <v>1.4210332496763971E-2</v>
      </c>
      <c r="K123" s="9">
        <f>_xlfn.IFNA(INDEX('Forecast drivers'!$O$5:$Y$57, MATCH(F_Interface!$A123&amp;RIGHT(F_Interface!K$2, 2),'Forecast drivers'!$A$5:$A$57, 0), MATCH(F_Interface!$D123,'Forecast drivers'!$O$5:$Y$5, 0)),0)/100</f>
        <v>1.4210332496763971E-2</v>
      </c>
      <c r="L123" s="9">
        <f>_xlfn.IFNA(INDEX('Forecast drivers'!$O$5:$Y$57, MATCH(F_Interface!$A123&amp;RIGHT(F_Interface!L$2, 2),'Forecast drivers'!$A$5:$A$57, 0), MATCH(F_Interface!$D123,'Forecast drivers'!$O$5:$Y$5, 0)),0)/100</f>
        <v>1.4210332496763971E-2</v>
      </c>
    </row>
    <row r="124" spans="1:12" x14ac:dyDescent="0.2">
      <c r="A124" s="10" t="s">
        <v>7</v>
      </c>
      <c r="B124" s="10" t="s">
        <v>139</v>
      </c>
      <c r="C124" s="10" t="str">
        <f t="shared" si="2"/>
        <v>SRNC_PCTBAND13_PR19CA008</v>
      </c>
      <c r="D124" s="9" t="s">
        <v>60</v>
      </c>
      <c r="E124" s="9" t="s">
        <v>80</v>
      </c>
      <c r="F124" s="135" t="s">
        <v>1</v>
      </c>
      <c r="G124" s="9" t="s">
        <v>50</v>
      </c>
      <c r="H124" s="9">
        <f>_xlfn.IFNA(INDEX('Forecast drivers'!$O$5:$Y$57, MATCH(F_Interface!$A124&amp;RIGHT(F_Interface!H$2, 2),'Forecast drivers'!$A$5:$A$57, 0), MATCH(F_Interface!$D124,'Forecast drivers'!$O$5:$Y$5, 0)),0)/100</f>
        <v>2.5693239281017334E-2</v>
      </c>
      <c r="I124" s="9">
        <f>_xlfn.IFNA(INDEX('Forecast drivers'!$O$5:$Y$57, MATCH(F_Interface!$A124&amp;RIGHT(F_Interface!I$2, 2),'Forecast drivers'!$A$5:$A$57, 0), MATCH(F_Interface!$D124,'Forecast drivers'!$O$5:$Y$5, 0)),0)/100</f>
        <v>2.5693239281017334E-2</v>
      </c>
      <c r="J124" s="9">
        <f>_xlfn.IFNA(INDEX('Forecast drivers'!$O$5:$Y$57, MATCH(F_Interface!$A124&amp;RIGHT(F_Interface!J$2, 2),'Forecast drivers'!$A$5:$A$57, 0), MATCH(F_Interface!$D124,'Forecast drivers'!$O$5:$Y$5, 0)),0)/100</f>
        <v>2.5693239281017334E-2</v>
      </c>
      <c r="K124" s="9">
        <f>_xlfn.IFNA(INDEX('Forecast drivers'!$O$5:$Y$57, MATCH(F_Interface!$A124&amp;RIGHT(F_Interface!K$2, 2),'Forecast drivers'!$A$5:$A$57, 0), MATCH(F_Interface!$D124,'Forecast drivers'!$O$5:$Y$5, 0)),0)/100</f>
        <v>2.5693239281017334E-2</v>
      </c>
      <c r="L124" s="9">
        <f>_xlfn.IFNA(INDEX('Forecast drivers'!$O$5:$Y$57, MATCH(F_Interface!$A124&amp;RIGHT(F_Interface!L$2, 2),'Forecast drivers'!$A$5:$A$57, 0), MATCH(F_Interface!$D124,'Forecast drivers'!$O$5:$Y$5, 0)),0)/100</f>
        <v>2.5693239281017334E-2</v>
      </c>
    </row>
    <row r="125" spans="1:12" x14ac:dyDescent="0.2">
      <c r="A125" s="10" t="s">
        <v>116</v>
      </c>
      <c r="B125" s="10" t="s">
        <v>139</v>
      </c>
      <c r="C125" s="10" t="str">
        <f t="shared" si="2"/>
        <v>SVEC_PCTBAND13_PR19CA008</v>
      </c>
      <c r="D125" s="9" t="s">
        <v>60</v>
      </c>
      <c r="E125" s="9" t="s">
        <v>80</v>
      </c>
      <c r="F125" s="135" t="s">
        <v>1</v>
      </c>
      <c r="G125" s="9" t="s">
        <v>50</v>
      </c>
      <c r="H125" s="9">
        <f>_xlfn.IFNA(INDEX('Forecast drivers'!$O$5:$Y$57, MATCH(F_Interface!$A125&amp;RIGHT(F_Interface!H$2, 2),'Forecast drivers'!$A$5:$A$57, 0), MATCH(F_Interface!$D125,'Forecast drivers'!$O$5:$Y$5, 0)),0)/100</f>
        <v>0</v>
      </c>
      <c r="I125" s="9">
        <f>_xlfn.IFNA(INDEX('Forecast drivers'!$O$5:$Y$57, MATCH(F_Interface!$A125&amp;RIGHT(F_Interface!I$2, 2),'Forecast drivers'!$A$5:$A$57, 0), MATCH(F_Interface!$D125,'Forecast drivers'!$O$5:$Y$5, 0)),0)/100</f>
        <v>0</v>
      </c>
      <c r="J125" s="9">
        <f>_xlfn.IFNA(INDEX('Forecast drivers'!$O$5:$Y$57, MATCH(F_Interface!$A125&amp;RIGHT(F_Interface!J$2, 2),'Forecast drivers'!$A$5:$A$57, 0), MATCH(F_Interface!$D125,'Forecast drivers'!$O$5:$Y$5, 0)),0)/100</f>
        <v>0</v>
      </c>
      <c r="K125" s="9">
        <f>_xlfn.IFNA(INDEX('Forecast drivers'!$O$5:$Y$57, MATCH(F_Interface!$A125&amp;RIGHT(F_Interface!K$2, 2),'Forecast drivers'!$A$5:$A$57, 0), MATCH(F_Interface!$D125,'Forecast drivers'!$O$5:$Y$5, 0)),0)/100</f>
        <v>0</v>
      </c>
      <c r="L125" s="9">
        <f>_xlfn.IFNA(INDEX('Forecast drivers'!$O$5:$Y$57, MATCH(F_Interface!$A125&amp;RIGHT(F_Interface!L$2, 2),'Forecast drivers'!$A$5:$A$57, 0), MATCH(F_Interface!$D125,'Forecast drivers'!$O$5:$Y$5, 0)),0)/100</f>
        <v>0</v>
      </c>
    </row>
    <row r="126" spans="1:12" x14ac:dyDescent="0.2">
      <c r="A126" s="10" t="s">
        <v>101</v>
      </c>
      <c r="B126" s="10" t="s">
        <v>139</v>
      </c>
      <c r="C126" s="10" t="str">
        <f t="shared" si="2"/>
        <v>SVHC_PCTBAND13_PR19CA008</v>
      </c>
      <c r="D126" s="9" t="s">
        <v>60</v>
      </c>
      <c r="E126" s="9" t="s">
        <v>80</v>
      </c>
      <c r="F126" s="135" t="s">
        <v>1</v>
      </c>
      <c r="G126" s="9" t="s">
        <v>50</v>
      </c>
      <c r="H126" s="9">
        <f>_xlfn.IFNA(INDEX('Forecast drivers'!$O$5:$Y$57, MATCH(F_Interface!$A126&amp;RIGHT(F_Interface!H$2, 2),'Forecast drivers'!$A$5:$A$57, 0), MATCH(F_Interface!$D126,'Forecast drivers'!$O$5:$Y$5, 0)),0)/100</f>
        <v>2.4947934150699784E-2</v>
      </c>
      <c r="I126" s="9">
        <f>_xlfn.IFNA(INDEX('Forecast drivers'!$O$5:$Y$57, MATCH(F_Interface!$A126&amp;RIGHT(F_Interface!I$2, 2),'Forecast drivers'!$A$5:$A$57, 0), MATCH(F_Interface!$D126,'Forecast drivers'!$O$5:$Y$5, 0)),0)/100</f>
        <v>2.4947934150699784E-2</v>
      </c>
      <c r="J126" s="9">
        <f>_xlfn.IFNA(INDEX('Forecast drivers'!$O$5:$Y$57, MATCH(F_Interface!$A126&amp;RIGHT(F_Interface!J$2, 2),'Forecast drivers'!$A$5:$A$57, 0), MATCH(F_Interface!$D126,'Forecast drivers'!$O$5:$Y$5, 0)),0)/100</f>
        <v>2.4947934150699784E-2</v>
      </c>
      <c r="K126" s="9">
        <f>_xlfn.IFNA(INDEX('Forecast drivers'!$O$5:$Y$57, MATCH(F_Interface!$A126&amp;RIGHT(F_Interface!K$2, 2),'Forecast drivers'!$A$5:$A$57, 0), MATCH(F_Interface!$D126,'Forecast drivers'!$O$5:$Y$5, 0)),0)/100</f>
        <v>2.4947934150699784E-2</v>
      </c>
      <c r="L126" s="9">
        <f>_xlfn.IFNA(INDEX('Forecast drivers'!$O$5:$Y$57, MATCH(F_Interface!$A126&amp;RIGHT(F_Interface!L$2, 2),'Forecast drivers'!$A$5:$A$57, 0), MATCH(F_Interface!$D126,'Forecast drivers'!$O$5:$Y$5, 0)),0)/100</f>
        <v>2.4947934150699784E-2</v>
      </c>
    </row>
    <row r="127" spans="1:12" x14ac:dyDescent="0.2">
      <c r="A127" s="10" t="s">
        <v>8</v>
      </c>
      <c r="B127" s="10" t="s">
        <v>139</v>
      </c>
      <c r="C127" s="10" t="str">
        <f t="shared" si="2"/>
        <v>SVTC_PCTBAND13_PR19CA008</v>
      </c>
      <c r="D127" s="9" t="s">
        <v>60</v>
      </c>
      <c r="E127" s="9" t="s">
        <v>80</v>
      </c>
      <c r="F127" s="135" t="s">
        <v>1</v>
      </c>
      <c r="G127" s="137" t="s">
        <v>50</v>
      </c>
      <c r="H127" s="9">
        <f>_xlfn.IFNA(INDEX('Forecast drivers'!$O$5:$Y$57, MATCH(F_Interface!$A127&amp;RIGHT(F_Interface!H$2, 2),'Forecast drivers'!$A$5:$A$57, 0), MATCH(F_Interface!$D127,'Forecast drivers'!$O$5:$Y$5, 0)),0)/100</f>
        <v>0</v>
      </c>
      <c r="I127" s="9">
        <f>_xlfn.IFNA(INDEX('Forecast drivers'!$O$5:$Y$57, MATCH(F_Interface!$A127&amp;RIGHT(F_Interface!I$2, 2),'Forecast drivers'!$A$5:$A$57, 0), MATCH(F_Interface!$D127,'Forecast drivers'!$O$5:$Y$5, 0)),0)/100</f>
        <v>0</v>
      </c>
      <c r="J127" s="9">
        <f>_xlfn.IFNA(INDEX('Forecast drivers'!$O$5:$Y$57, MATCH(F_Interface!$A127&amp;RIGHT(F_Interface!J$2, 2),'Forecast drivers'!$A$5:$A$57, 0), MATCH(F_Interface!$D127,'Forecast drivers'!$O$5:$Y$5, 0)),0)/100</f>
        <v>0</v>
      </c>
      <c r="K127" s="9">
        <f>_xlfn.IFNA(INDEX('Forecast drivers'!$O$5:$Y$57, MATCH(F_Interface!$A127&amp;RIGHT(F_Interface!K$2, 2),'Forecast drivers'!$A$5:$A$57, 0), MATCH(F_Interface!$D127,'Forecast drivers'!$O$5:$Y$5, 0)),0)/100</f>
        <v>0</v>
      </c>
      <c r="L127" s="9">
        <f>_xlfn.IFNA(INDEX('Forecast drivers'!$O$5:$Y$57, MATCH(F_Interface!$A127&amp;RIGHT(F_Interface!L$2, 2),'Forecast drivers'!$A$5:$A$57, 0), MATCH(F_Interface!$D127,'Forecast drivers'!$O$5:$Y$5, 0)),0)/100</f>
        <v>0</v>
      </c>
    </row>
    <row r="128" spans="1:12" x14ac:dyDescent="0.2">
      <c r="A128" s="10" t="s">
        <v>12</v>
      </c>
      <c r="B128" s="10" t="s">
        <v>139</v>
      </c>
      <c r="C128" s="10" t="str">
        <f t="shared" si="2"/>
        <v>SWBC_PCTBAND13_PR19CA008</v>
      </c>
      <c r="D128" s="9" t="s">
        <v>60</v>
      </c>
      <c r="E128" s="9" t="s">
        <v>80</v>
      </c>
      <c r="F128" s="135" t="s">
        <v>1</v>
      </c>
      <c r="G128" s="9" t="s">
        <v>50</v>
      </c>
      <c r="H128" s="9">
        <f>_xlfn.IFNA(INDEX('Forecast drivers'!$O$5:$Y$57, MATCH(F_Interface!$A128&amp;RIGHT(F_Interface!H$2, 2),'Forecast drivers'!$A$5:$A$57, 0), MATCH(F_Interface!$D128,'Forecast drivers'!$O$5:$Y$5, 0)),0)/100</f>
        <v>0.10257160590301152</v>
      </c>
      <c r="I128" s="9">
        <f>_xlfn.IFNA(INDEX('Forecast drivers'!$O$5:$Y$57, MATCH(F_Interface!$A128&amp;RIGHT(F_Interface!I$2, 2),'Forecast drivers'!$A$5:$A$57, 0), MATCH(F_Interface!$D128,'Forecast drivers'!$O$5:$Y$5, 0)),0)/100</f>
        <v>0.10257160590301152</v>
      </c>
      <c r="J128" s="9">
        <f>_xlfn.IFNA(INDEX('Forecast drivers'!$O$5:$Y$57, MATCH(F_Interface!$A128&amp;RIGHT(F_Interface!J$2, 2),'Forecast drivers'!$A$5:$A$57, 0), MATCH(F_Interface!$D128,'Forecast drivers'!$O$5:$Y$5, 0)),0)/100</f>
        <v>0.10257160590301152</v>
      </c>
      <c r="K128" s="9">
        <f>_xlfn.IFNA(INDEX('Forecast drivers'!$O$5:$Y$57, MATCH(F_Interface!$A128&amp;RIGHT(F_Interface!K$2, 2),'Forecast drivers'!$A$5:$A$57, 0), MATCH(F_Interface!$D128,'Forecast drivers'!$O$5:$Y$5, 0)),0)/100</f>
        <v>0.10257160590301152</v>
      </c>
      <c r="L128" s="9">
        <f>_xlfn.IFNA(INDEX('Forecast drivers'!$O$5:$Y$57, MATCH(F_Interface!$A128&amp;RIGHT(F_Interface!L$2, 2),'Forecast drivers'!$A$5:$A$57, 0), MATCH(F_Interface!$D128,'Forecast drivers'!$O$5:$Y$5, 0)),0)/100</f>
        <v>0.10257160590301152</v>
      </c>
    </row>
    <row r="129" spans="1:12" x14ac:dyDescent="0.2">
      <c r="A129" s="10" t="s">
        <v>9</v>
      </c>
      <c r="B129" s="10" t="s">
        <v>139</v>
      </c>
      <c r="C129" s="10" t="str">
        <f t="shared" si="2"/>
        <v>TMSC_PCTBAND13_PR19CA008</v>
      </c>
      <c r="D129" s="9" t="s">
        <v>60</v>
      </c>
      <c r="E129" s="9" t="s">
        <v>80</v>
      </c>
      <c r="F129" s="135" t="s">
        <v>1</v>
      </c>
      <c r="G129" s="9" t="s">
        <v>50</v>
      </c>
      <c r="H129" s="9">
        <f>_xlfn.IFNA(INDEX('Forecast drivers'!$O$5:$Y$57, MATCH(F_Interface!$A129&amp;RIGHT(F_Interface!H$2, 2),'Forecast drivers'!$A$5:$A$57, 0), MATCH(F_Interface!$D129,'Forecast drivers'!$O$5:$Y$5, 0)),0)/100</f>
        <v>6.7938022323728205E-3</v>
      </c>
      <c r="I129" s="9">
        <f>_xlfn.IFNA(INDEX('Forecast drivers'!$O$5:$Y$57, MATCH(F_Interface!$A129&amp;RIGHT(F_Interface!I$2, 2),'Forecast drivers'!$A$5:$A$57, 0), MATCH(F_Interface!$D129,'Forecast drivers'!$O$5:$Y$5, 0)),0)/100</f>
        <v>6.7938022323728205E-3</v>
      </c>
      <c r="J129" s="9">
        <f>_xlfn.IFNA(INDEX('Forecast drivers'!$O$5:$Y$57, MATCH(F_Interface!$A129&amp;RIGHT(F_Interface!J$2, 2),'Forecast drivers'!$A$5:$A$57, 0), MATCH(F_Interface!$D129,'Forecast drivers'!$O$5:$Y$5, 0)),0)/100</f>
        <v>6.7938022323728205E-3</v>
      </c>
      <c r="K129" s="9">
        <f>_xlfn.IFNA(INDEX('Forecast drivers'!$O$5:$Y$57, MATCH(F_Interface!$A129&amp;RIGHT(F_Interface!K$2, 2),'Forecast drivers'!$A$5:$A$57, 0), MATCH(F_Interface!$D129,'Forecast drivers'!$O$5:$Y$5, 0)),0)/100</f>
        <v>6.7938022323728205E-3</v>
      </c>
      <c r="L129" s="9">
        <f>_xlfn.IFNA(INDEX('Forecast drivers'!$O$5:$Y$57, MATCH(F_Interface!$A129&amp;RIGHT(F_Interface!L$2, 2),'Forecast drivers'!$A$5:$A$57, 0), MATCH(F_Interface!$D129,'Forecast drivers'!$O$5:$Y$5, 0)),0)/100</f>
        <v>6.7938022323728205E-3</v>
      </c>
    </row>
    <row r="130" spans="1:12" x14ac:dyDescent="0.2">
      <c r="A130" s="10" t="s">
        <v>15</v>
      </c>
      <c r="B130" s="10" t="s">
        <v>139</v>
      </c>
      <c r="C130" s="10" t="str">
        <f t="shared" si="2"/>
        <v>WSHC_PCTBAND13_PR19CA008</v>
      </c>
      <c r="D130" s="9" t="s">
        <v>60</v>
      </c>
      <c r="E130" s="9" t="s">
        <v>80</v>
      </c>
      <c r="F130" s="135" t="s">
        <v>1</v>
      </c>
      <c r="G130" s="9" t="s">
        <v>50</v>
      </c>
      <c r="H130" s="9">
        <f>_xlfn.IFNA(INDEX('Forecast drivers'!$O$5:$Y$57, MATCH(F_Interface!$A130&amp;RIGHT(F_Interface!H$2, 2),'Forecast drivers'!$A$5:$A$57, 0), MATCH(F_Interface!$D130,'Forecast drivers'!$O$5:$Y$5, 0)),0)/100</f>
        <v>6.1613773818191067E-2</v>
      </c>
      <c r="I130" s="9">
        <f>_xlfn.IFNA(INDEX('Forecast drivers'!$O$5:$Y$57, MATCH(F_Interface!$A130&amp;RIGHT(F_Interface!I$2, 2),'Forecast drivers'!$A$5:$A$57, 0), MATCH(F_Interface!$D130,'Forecast drivers'!$O$5:$Y$5, 0)),0)/100</f>
        <v>6.1613773818191067E-2</v>
      </c>
      <c r="J130" s="9">
        <f>_xlfn.IFNA(INDEX('Forecast drivers'!$O$5:$Y$57, MATCH(F_Interface!$A130&amp;RIGHT(F_Interface!J$2, 2),'Forecast drivers'!$A$5:$A$57, 0), MATCH(F_Interface!$D130,'Forecast drivers'!$O$5:$Y$5, 0)),0)/100</f>
        <v>6.1613773818191067E-2</v>
      </c>
      <c r="K130" s="9">
        <f>_xlfn.IFNA(INDEX('Forecast drivers'!$O$5:$Y$57, MATCH(F_Interface!$A130&amp;RIGHT(F_Interface!K$2, 2),'Forecast drivers'!$A$5:$A$57, 0), MATCH(F_Interface!$D130,'Forecast drivers'!$O$5:$Y$5, 0)),0)/100</f>
        <v>6.1613773818191067E-2</v>
      </c>
      <c r="L130" s="9">
        <f>_xlfn.IFNA(INDEX('Forecast drivers'!$O$5:$Y$57, MATCH(F_Interface!$A130&amp;RIGHT(F_Interface!L$2, 2),'Forecast drivers'!$A$5:$A$57, 0), MATCH(F_Interface!$D130,'Forecast drivers'!$O$5:$Y$5, 0)),0)/100</f>
        <v>6.1613773818191067E-2</v>
      </c>
    </row>
    <row r="131" spans="1:12" x14ac:dyDescent="0.2">
      <c r="A131" s="10" t="s">
        <v>10</v>
      </c>
      <c r="B131" s="10" t="s">
        <v>139</v>
      </c>
      <c r="C131" s="10" t="str">
        <f t="shared" si="2"/>
        <v>WSXC_PCTBAND13_PR19CA008</v>
      </c>
      <c r="D131" s="9" t="s">
        <v>60</v>
      </c>
      <c r="E131" s="9" t="s">
        <v>80</v>
      </c>
      <c r="F131" s="135" t="s">
        <v>1</v>
      </c>
      <c r="G131" s="9" t="s">
        <v>50</v>
      </c>
      <c r="H131" s="9">
        <f>_xlfn.IFNA(INDEX('Forecast drivers'!$O$5:$Y$57, MATCH(F_Interface!$A131&amp;RIGHT(F_Interface!H$2, 2),'Forecast drivers'!$A$5:$A$57, 0), MATCH(F_Interface!$D131,'Forecast drivers'!$O$5:$Y$5, 0)),0)/100</f>
        <v>4.5136944985424768E-2</v>
      </c>
      <c r="I131" s="9">
        <f>_xlfn.IFNA(INDEX('Forecast drivers'!$O$5:$Y$57, MATCH(F_Interface!$A131&amp;RIGHT(F_Interface!I$2, 2),'Forecast drivers'!$A$5:$A$57, 0), MATCH(F_Interface!$D131,'Forecast drivers'!$O$5:$Y$5, 0)),0)/100</f>
        <v>4.5136944985424768E-2</v>
      </c>
      <c r="J131" s="9">
        <f>_xlfn.IFNA(INDEX('Forecast drivers'!$O$5:$Y$57, MATCH(F_Interface!$A131&amp;RIGHT(F_Interface!J$2, 2),'Forecast drivers'!$A$5:$A$57, 0), MATCH(F_Interface!$D131,'Forecast drivers'!$O$5:$Y$5, 0)),0)/100</f>
        <v>4.5136944985424768E-2</v>
      </c>
      <c r="K131" s="9">
        <f>_xlfn.IFNA(INDEX('Forecast drivers'!$O$5:$Y$57, MATCH(F_Interface!$A131&amp;RIGHT(F_Interface!K$2, 2),'Forecast drivers'!$A$5:$A$57, 0), MATCH(F_Interface!$D131,'Forecast drivers'!$O$5:$Y$5, 0)),0)/100</f>
        <v>4.5136944985424768E-2</v>
      </c>
      <c r="L131" s="9">
        <f>_xlfn.IFNA(INDEX('Forecast drivers'!$O$5:$Y$57, MATCH(F_Interface!$A131&amp;RIGHT(F_Interface!L$2, 2),'Forecast drivers'!$A$5:$A$57, 0), MATCH(F_Interface!$D131,'Forecast drivers'!$O$5:$Y$5, 0)),0)/100</f>
        <v>4.5136944985424768E-2</v>
      </c>
    </row>
    <row r="132" spans="1:12" x14ac:dyDescent="0.2">
      <c r="A132" s="10" t="s">
        <v>11</v>
      </c>
      <c r="B132" s="10" t="s">
        <v>139</v>
      </c>
      <c r="C132" s="10" t="str">
        <f t="shared" si="2"/>
        <v>YKYC_PCTBAND13_PR19CA008</v>
      </c>
      <c r="D132" s="9" t="s">
        <v>60</v>
      </c>
      <c r="E132" s="9" t="s">
        <v>80</v>
      </c>
      <c r="F132" s="135" t="s">
        <v>1</v>
      </c>
      <c r="G132" s="9" t="s">
        <v>50</v>
      </c>
      <c r="H132" s="9">
        <f>_xlfn.IFNA(INDEX('Forecast drivers'!$O$5:$Y$57, MATCH(F_Interface!$A132&amp;RIGHT(F_Interface!H$2, 2),'Forecast drivers'!$A$5:$A$57, 0), MATCH(F_Interface!$D132,'Forecast drivers'!$O$5:$Y$5, 0)),0)/100</f>
        <v>2.2335791211767639E-2</v>
      </c>
      <c r="I132" s="9">
        <f>_xlfn.IFNA(INDEX('Forecast drivers'!$O$5:$Y$57, MATCH(F_Interface!$A132&amp;RIGHT(F_Interface!I$2, 2),'Forecast drivers'!$A$5:$A$57, 0), MATCH(F_Interface!$D132,'Forecast drivers'!$O$5:$Y$5, 0)),0)/100</f>
        <v>2.2335791211767639E-2</v>
      </c>
      <c r="J132" s="9">
        <f>_xlfn.IFNA(INDEX('Forecast drivers'!$O$5:$Y$57, MATCH(F_Interface!$A132&amp;RIGHT(F_Interface!J$2, 2),'Forecast drivers'!$A$5:$A$57, 0), MATCH(F_Interface!$D132,'Forecast drivers'!$O$5:$Y$5, 0)),0)/100</f>
        <v>2.2335791211767639E-2</v>
      </c>
      <c r="K132" s="9">
        <f>_xlfn.IFNA(INDEX('Forecast drivers'!$O$5:$Y$57, MATCH(F_Interface!$A132&amp;RIGHT(F_Interface!K$2, 2),'Forecast drivers'!$A$5:$A$57, 0), MATCH(F_Interface!$D132,'Forecast drivers'!$O$5:$Y$5, 0)),0)/100</f>
        <v>2.2335791211767639E-2</v>
      </c>
      <c r="L132" s="9">
        <f>_xlfn.IFNA(INDEX('Forecast drivers'!$O$5:$Y$57, MATCH(F_Interface!$A132&amp;RIGHT(F_Interface!L$2, 2),'Forecast drivers'!$A$5:$A$57, 0), MATCH(F_Interface!$D132,'Forecast drivers'!$O$5:$Y$5, 0)),0)/100</f>
        <v>2.2335791211767639E-2</v>
      </c>
    </row>
    <row r="133" spans="1:12" x14ac:dyDescent="0.2">
      <c r="A133" s="10" t="s">
        <v>4</v>
      </c>
      <c r="B133" s="10" t="s">
        <v>140</v>
      </c>
      <c r="C133" s="10" t="str">
        <f t="shared" si="2"/>
        <v>ANHC_PCTNH3_PR19CA008</v>
      </c>
      <c r="D133" s="9" t="s">
        <v>59</v>
      </c>
      <c r="E133" s="9" t="s">
        <v>81</v>
      </c>
      <c r="F133" s="135" t="s">
        <v>1</v>
      </c>
      <c r="G133" s="9" t="s">
        <v>50</v>
      </c>
      <c r="H133" s="9">
        <f>_xlfn.IFNA(INDEX('Forecast drivers'!$O$5:$Y$57, MATCH(F_Interface!$A133&amp;RIGHT(F_Interface!H$2, 2),'Forecast drivers'!$A$5:$A$57, 0), MATCH(F_Interface!$D133,'Forecast drivers'!$O$5:$Y$5, 0)),0)/100</f>
        <v>0.19811889574251218</v>
      </c>
      <c r="I133" s="9">
        <f>_xlfn.IFNA(INDEX('Forecast drivers'!$O$5:$Y$57, MATCH(F_Interface!$A133&amp;RIGHT(F_Interface!I$2, 2),'Forecast drivers'!$A$5:$A$57, 0), MATCH(F_Interface!$D133,'Forecast drivers'!$O$5:$Y$5, 0)),0)/100</f>
        <v>0.19811889574251218</v>
      </c>
      <c r="J133" s="9">
        <f>_xlfn.IFNA(INDEX('Forecast drivers'!$O$5:$Y$57, MATCH(F_Interface!$A133&amp;RIGHT(F_Interface!J$2, 2),'Forecast drivers'!$A$5:$A$57, 0), MATCH(F_Interface!$D133,'Forecast drivers'!$O$5:$Y$5, 0)),0)/100</f>
        <v>0.19811889574251218</v>
      </c>
      <c r="K133" s="9">
        <f>_xlfn.IFNA(INDEX('Forecast drivers'!$O$5:$Y$57, MATCH(F_Interface!$A133&amp;RIGHT(F_Interface!K$2, 2),'Forecast drivers'!$A$5:$A$57, 0), MATCH(F_Interface!$D133,'Forecast drivers'!$O$5:$Y$5, 0)),0)/100</f>
        <v>0.19811889574251218</v>
      </c>
      <c r="L133" s="9">
        <f>_xlfn.IFNA(INDEX('Forecast drivers'!$O$5:$Y$57, MATCH(F_Interface!$A133&amp;RIGHT(F_Interface!L$2, 2),'Forecast drivers'!$A$5:$A$57, 0), MATCH(F_Interface!$D133,'Forecast drivers'!$O$5:$Y$5, 0)),0)/100</f>
        <v>0.19811889574251218</v>
      </c>
    </row>
    <row r="134" spans="1:12" x14ac:dyDescent="0.2">
      <c r="A134" s="10" t="s">
        <v>87</v>
      </c>
      <c r="B134" s="10" t="s">
        <v>140</v>
      </c>
      <c r="C134" s="10" t="str">
        <f t="shared" si="2"/>
        <v>HDDC_PCTNH3_PR19CA008</v>
      </c>
      <c r="D134" s="9" t="s">
        <v>59</v>
      </c>
      <c r="E134" s="9" t="s">
        <v>81</v>
      </c>
      <c r="F134" s="135" t="s">
        <v>1</v>
      </c>
      <c r="G134" s="9" t="s">
        <v>50</v>
      </c>
      <c r="H134" s="9">
        <f>_xlfn.IFNA(INDEX('Forecast drivers'!$O$5:$Y$57, MATCH(F_Interface!$A134&amp;RIGHT(F_Interface!H$2, 2),'Forecast drivers'!$A$5:$A$57, 0), MATCH(F_Interface!$D134,'Forecast drivers'!$O$5:$Y$5, 0)),0)/100</f>
        <v>0</v>
      </c>
      <c r="I134" s="9">
        <f>_xlfn.IFNA(INDEX('Forecast drivers'!$O$5:$Y$57, MATCH(F_Interface!$A134&amp;RIGHT(F_Interface!I$2, 2),'Forecast drivers'!$A$5:$A$57, 0), MATCH(F_Interface!$D134,'Forecast drivers'!$O$5:$Y$5, 0)),0)/100</f>
        <v>0</v>
      </c>
      <c r="J134" s="9">
        <f>_xlfn.IFNA(INDEX('Forecast drivers'!$O$5:$Y$57, MATCH(F_Interface!$A134&amp;RIGHT(F_Interface!J$2, 2),'Forecast drivers'!$A$5:$A$57, 0), MATCH(F_Interface!$D134,'Forecast drivers'!$O$5:$Y$5, 0)),0)/100</f>
        <v>0</v>
      </c>
      <c r="K134" s="9">
        <f>_xlfn.IFNA(INDEX('Forecast drivers'!$O$5:$Y$57, MATCH(F_Interface!$A134&amp;RIGHT(F_Interface!K$2, 2),'Forecast drivers'!$A$5:$A$57, 0), MATCH(F_Interface!$D134,'Forecast drivers'!$O$5:$Y$5, 0)),0)/100</f>
        <v>0</v>
      </c>
      <c r="L134" s="9">
        <f>_xlfn.IFNA(INDEX('Forecast drivers'!$O$5:$Y$57, MATCH(F_Interface!$A134&amp;RIGHT(F_Interface!L$2, 2),'Forecast drivers'!$A$5:$A$57, 0), MATCH(F_Interface!$D134,'Forecast drivers'!$O$5:$Y$5, 0)),0)/100</f>
        <v>0</v>
      </c>
    </row>
    <row r="135" spans="1:12" x14ac:dyDescent="0.2">
      <c r="A135" s="10" t="s">
        <v>5</v>
      </c>
      <c r="B135" s="10" t="s">
        <v>140</v>
      </c>
      <c r="C135" s="10" t="str">
        <f t="shared" si="2"/>
        <v>NESC_PCTNH3_PR19CA008</v>
      </c>
      <c r="D135" s="9" t="s">
        <v>59</v>
      </c>
      <c r="E135" s="9" t="s">
        <v>81</v>
      </c>
      <c r="F135" s="135" t="s">
        <v>1</v>
      </c>
      <c r="G135" s="9" t="s">
        <v>50</v>
      </c>
      <c r="H135" s="9">
        <f>_xlfn.IFNA(INDEX('Forecast drivers'!$O$5:$Y$57, MATCH(F_Interface!$A135&amp;RIGHT(F_Interface!H$2, 2),'Forecast drivers'!$A$5:$A$57, 0), MATCH(F_Interface!$D135,'Forecast drivers'!$O$5:$Y$5, 0)),0)/100</f>
        <v>3.4002170112047495E-2</v>
      </c>
      <c r="I135" s="9">
        <f>_xlfn.IFNA(INDEX('Forecast drivers'!$O$5:$Y$57, MATCH(F_Interface!$A135&amp;RIGHT(F_Interface!I$2, 2),'Forecast drivers'!$A$5:$A$57, 0), MATCH(F_Interface!$D135,'Forecast drivers'!$O$5:$Y$5, 0)),0)/100</f>
        <v>3.4002170112047495E-2</v>
      </c>
      <c r="J135" s="9">
        <f>_xlfn.IFNA(INDEX('Forecast drivers'!$O$5:$Y$57, MATCH(F_Interface!$A135&amp;RIGHT(F_Interface!J$2, 2),'Forecast drivers'!$A$5:$A$57, 0), MATCH(F_Interface!$D135,'Forecast drivers'!$O$5:$Y$5, 0)),0)/100</f>
        <v>3.4002170112047495E-2</v>
      </c>
      <c r="K135" s="9">
        <f>_xlfn.IFNA(INDEX('Forecast drivers'!$O$5:$Y$57, MATCH(F_Interface!$A135&amp;RIGHT(F_Interface!K$2, 2),'Forecast drivers'!$A$5:$A$57, 0), MATCH(F_Interface!$D135,'Forecast drivers'!$O$5:$Y$5, 0)),0)/100</f>
        <v>3.4002170112047495E-2</v>
      </c>
      <c r="L135" s="9">
        <f>_xlfn.IFNA(INDEX('Forecast drivers'!$O$5:$Y$57, MATCH(F_Interface!$A135&amp;RIGHT(F_Interface!L$2, 2),'Forecast drivers'!$A$5:$A$57, 0), MATCH(F_Interface!$D135,'Forecast drivers'!$O$5:$Y$5, 0)),0)/100</f>
        <v>3.4002170112047495E-2</v>
      </c>
    </row>
    <row r="136" spans="1:12" x14ac:dyDescent="0.2">
      <c r="A136" s="10" t="s">
        <v>6</v>
      </c>
      <c r="B136" s="10" t="s">
        <v>140</v>
      </c>
      <c r="C136" s="10" t="str">
        <f t="shared" si="2"/>
        <v>NWTC_PCTNH3_PR19CA008</v>
      </c>
      <c r="D136" s="9" t="s">
        <v>59</v>
      </c>
      <c r="E136" s="9" t="s">
        <v>81</v>
      </c>
      <c r="F136" s="135" t="s">
        <v>1</v>
      </c>
      <c r="G136" s="9" t="s">
        <v>50</v>
      </c>
      <c r="H136" s="9">
        <f>_xlfn.IFNA(INDEX('Forecast drivers'!$O$5:$Y$57, MATCH(F_Interface!$A136&amp;RIGHT(F_Interface!H$2, 2),'Forecast drivers'!$A$5:$A$57, 0), MATCH(F_Interface!$D136,'Forecast drivers'!$O$5:$Y$5, 0)),0)/100</f>
        <v>0.45452943070143786</v>
      </c>
      <c r="I136" s="9">
        <f>_xlfn.IFNA(INDEX('Forecast drivers'!$O$5:$Y$57, MATCH(F_Interface!$A136&amp;RIGHT(F_Interface!I$2, 2),'Forecast drivers'!$A$5:$A$57, 0), MATCH(F_Interface!$D136,'Forecast drivers'!$O$5:$Y$5, 0)),0)/100</f>
        <v>0.45452943070143786</v>
      </c>
      <c r="J136" s="9">
        <f>_xlfn.IFNA(INDEX('Forecast drivers'!$O$5:$Y$57, MATCH(F_Interface!$A136&amp;RIGHT(F_Interface!J$2, 2),'Forecast drivers'!$A$5:$A$57, 0), MATCH(F_Interface!$D136,'Forecast drivers'!$O$5:$Y$5, 0)),0)/100</f>
        <v>0.45452943070143786</v>
      </c>
      <c r="K136" s="9">
        <f>_xlfn.IFNA(INDEX('Forecast drivers'!$O$5:$Y$57, MATCH(F_Interface!$A136&amp;RIGHT(F_Interface!K$2, 2),'Forecast drivers'!$A$5:$A$57, 0), MATCH(F_Interface!$D136,'Forecast drivers'!$O$5:$Y$5, 0)),0)/100</f>
        <v>0.45452943070143786</v>
      </c>
      <c r="L136" s="9">
        <f>_xlfn.IFNA(INDEX('Forecast drivers'!$O$5:$Y$57, MATCH(F_Interface!$A136&amp;RIGHT(F_Interface!L$2, 2),'Forecast drivers'!$A$5:$A$57, 0), MATCH(F_Interface!$D136,'Forecast drivers'!$O$5:$Y$5, 0)),0)/100</f>
        <v>0.45452943070143786</v>
      </c>
    </row>
    <row r="137" spans="1:12" x14ac:dyDescent="0.2">
      <c r="A137" s="10" t="s">
        <v>7</v>
      </c>
      <c r="B137" s="10" t="s">
        <v>140</v>
      </c>
      <c r="C137" s="10" t="str">
        <f t="shared" si="2"/>
        <v>SRNC_PCTNH3_PR19CA008</v>
      </c>
      <c r="D137" s="9" t="s">
        <v>59</v>
      </c>
      <c r="E137" s="9" t="s">
        <v>81</v>
      </c>
      <c r="F137" s="135" t="s">
        <v>1</v>
      </c>
      <c r="G137" s="9" t="s">
        <v>50</v>
      </c>
      <c r="H137" s="9">
        <f>_xlfn.IFNA(INDEX('Forecast drivers'!$O$5:$Y$57, MATCH(F_Interface!$A137&amp;RIGHT(F_Interface!H$2, 2),'Forecast drivers'!$A$5:$A$57, 0), MATCH(F_Interface!$D137,'Forecast drivers'!$O$5:$Y$5, 0)),0)/100</f>
        <v>0.14876343855834967</v>
      </c>
      <c r="I137" s="9">
        <f>_xlfn.IFNA(INDEX('Forecast drivers'!$O$5:$Y$57, MATCH(F_Interface!$A137&amp;RIGHT(F_Interface!I$2, 2),'Forecast drivers'!$A$5:$A$57, 0), MATCH(F_Interface!$D137,'Forecast drivers'!$O$5:$Y$5, 0)),0)/100</f>
        <v>0.14876343855834967</v>
      </c>
      <c r="J137" s="9">
        <f>_xlfn.IFNA(INDEX('Forecast drivers'!$O$5:$Y$57, MATCH(F_Interface!$A137&amp;RIGHT(F_Interface!J$2, 2),'Forecast drivers'!$A$5:$A$57, 0), MATCH(F_Interface!$D137,'Forecast drivers'!$O$5:$Y$5, 0)),0)/100</f>
        <v>0.14876343855834967</v>
      </c>
      <c r="K137" s="9">
        <f>_xlfn.IFNA(INDEX('Forecast drivers'!$O$5:$Y$57, MATCH(F_Interface!$A137&amp;RIGHT(F_Interface!K$2, 2),'Forecast drivers'!$A$5:$A$57, 0), MATCH(F_Interface!$D137,'Forecast drivers'!$O$5:$Y$5, 0)),0)/100</f>
        <v>0.14876343855834967</v>
      </c>
      <c r="L137" s="9">
        <f>_xlfn.IFNA(INDEX('Forecast drivers'!$O$5:$Y$57, MATCH(F_Interface!$A137&amp;RIGHT(F_Interface!L$2, 2),'Forecast drivers'!$A$5:$A$57, 0), MATCH(F_Interface!$D137,'Forecast drivers'!$O$5:$Y$5, 0)),0)/100</f>
        <v>0.14876343855834967</v>
      </c>
    </row>
    <row r="138" spans="1:12" x14ac:dyDescent="0.2">
      <c r="A138" s="10" t="s">
        <v>116</v>
      </c>
      <c r="B138" s="10" t="s">
        <v>140</v>
      </c>
      <c r="C138" s="10" t="str">
        <f t="shared" si="2"/>
        <v>SVEC_PCTNH3_PR19CA008</v>
      </c>
      <c r="D138" s="9" t="s">
        <v>59</v>
      </c>
      <c r="E138" s="9" t="s">
        <v>81</v>
      </c>
      <c r="F138" s="135" t="s">
        <v>1</v>
      </c>
      <c r="G138" s="9" t="s">
        <v>50</v>
      </c>
      <c r="H138" s="9">
        <f>_xlfn.IFNA(INDEX('Forecast drivers'!$O$5:$Y$57, MATCH(F_Interface!$A138&amp;RIGHT(F_Interface!H$2, 2),'Forecast drivers'!$A$5:$A$57, 0), MATCH(F_Interface!$D138,'Forecast drivers'!$O$5:$Y$5, 0)),0)/100</f>
        <v>0</v>
      </c>
      <c r="I138" s="9">
        <f>_xlfn.IFNA(INDEX('Forecast drivers'!$O$5:$Y$57, MATCH(F_Interface!$A138&amp;RIGHT(F_Interface!I$2, 2),'Forecast drivers'!$A$5:$A$57, 0), MATCH(F_Interface!$D138,'Forecast drivers'!$O$5:$Y$5, 0)),0)/100</f>
        <v>0</v>
      </c>
      <c r="J138" s="9">
        <f>_xlfn.IFNA(INDEX('Forecast drivers'!$O$5:$Y$57, MATCH(F_Interface!$A138&amp;RIGHT(F_Interface!J$2, 2),'Forecast drivers'!$A$5:$A$57, 0), MATCH(F_Interface!$D138,'Forecast drivers'!$O$5:$Y$5, 0)),0)/100</f>
        <v>0</v>
      </c>
      <c r="K138" s="9">
        <f>_xlfn.IFNA(INDEX('Forecast drivers'!$O$5:$Y$57, MATCH(F_Interface!$A138&amp;RIGHT(F_Interface!K$2, 2),'Forecast drivers'!$A$5:$A$57, 0), MATCH(F_Interface!$D138,'Forecast drivers'!$O$5:$Y$5, 0)),0)/100</f>
        <v>0</v>
      </c>
      <c r="L138" s="9">
        <f>_xlfn.IFNA(INDEX('Forecast drivers'!$O$5:$Y$57, MATCH(F_Interface!$A138&amp;RIGHT(F_Interface!L$2, 2),'Forecast drivers'!$A$5:$A$57, 0), MATCH(F_Interface!$D138,'Forecast drivers'!$O$5:$Y$5, 0)),0)/100</f>
        <v>0</v>
      </c>
    </row>
    <row r="139" spans="1:12" x14ac:dyDescent="0.2">
      <c r="A139" s="10" t="s">
        <v>101</v>
      </c>
      <c r="B139" s="10" t="s">
        <v>140</v>
      </c>
      <c r="C139" s="10" t="str">
        <f t="shared" si="2"/>
        <v>SVHC_PCTNH3_PR19CA008</v>
      </c>
      <c r="D139" s="9" t="s">
        <v>59</v>
      </c>
      <c r="E139" s="9" t="s">
        <v>81</v>
      </c>
      <c r="F139" s="135" t="s">
        <v>1</v>
      </c>
      <c r="G139" s="137" t="s">
        <v>50</v>
      </c>
      <c r="H139" s="9">
        <f>_xlfn.IFNA(INDEX('Forecast drivers'!$O$5:$Y$57, MATCH(F_Interface!$A139&amp;RIGHT(F_Interface!H$2, 2),'Forecast drivers'!$A$5:$A$57, 0), MATCH(F_Interface!$D139,'Forecast drivers'!$O$5:$Y$5, 0)),0)/100</f>
        <v>0.46342652136321805</v>
      </c>
      <c r="I139" s="9">
        <f>_xlfn.IFNA(INDEX('Forecast drivers'!$O$5:$Y$57, MATCH(F_Interface!$A139&amp;RIGHT(F_Interface!I$2, 2),'Forecast drivers'!$A$5:$A$57, 0), MATCH(F_Interface!$D139,'Forecast drivers'!$O$5:$Y$5, 0)),0)/100</f>
        <v>0.46342652136321805</v>
      </c>
      <c r="J139" s="9">
        <f>_xlfn.IFNA(INDEX('Forecast drivers'!$O$5:$Y$57, MATCH(F_Interface!$A139&amp;RIGHT(F_Interface!J$2, 2),'Forecast drivers'!$A$5:$A$57, 0), MATCH(F_Interface!$D139,'Forecast drivers'!$O$5:$Y$5, 0)),0)/100</f>
        <v>0.46342652136321805</v>
      </c>
      <c r="K139" s="9">
        <f>_xlfn.IFNA(INDEX('Forecast drivers'!$O$5:$Y$57, MATCH(F_Interface!$A139&amp;RIGHT(F_Interface!K$2, 2),'Forecast drivers'!$A$5:$A$57, 0), MATCH(F_Interface!$D139,'Forecast drivers'!$O$5:$Y$5, 0)),0)/100</f>
        <v>0.46342652136321805</v>
      </c>
      <c r="L139" s="9">
        <f>_xlfn.IFNA(INDEX('Forecast drivers'!$O$5:$Y$57, MATCH(F_Interface!$A139&amp;RIGHT(F_Interface!L$2, 2),'Forecast drivers'!$A$5:$A$57, 0), MATCH(F_Interface!$D139,'Forecast drivers'!$O$5:$Y$5, 0)),0)/100</f>
        <v>0.46342652136321805</v>
      </c>
    </row>
    <row r="140" spans="1:12" x14ac:dyDescent="0.2">
      <c r="A140" s="10" t="s">
        <v>8</v>
      </c>
      <c r="B140" s="10" t="s">
        <v>140</v>
      </c>
      <c r="C140" s="10" t="str">
        <f t="shared" si="2"/>
        <v>SVTC_PCTNH3_PR19CA008</v>
      </c>
      <c r="D140" s="9" t="s">
        <v>59</v>
      </c>
      <c r="E140" s="9" t="s">
        <v>81</v>
      </c>
      <c r="F140" s="135" t="s">
        <v>1</v>
      </c>
      <c r="G140" s="9" t="s">
        <v>50</v>
      </c>
      <c r="H140" s="9">
        <f>_xlfn.IFNA(INDEX('Forecast drivers'!$O$5:$Y$57, MATCH(F_Interface!$A140&amp;RIGHT(F_Interface!H$2, 2),'Forecast drivers'!$A$5:$A$57, 0), MATCH(F_Interface!$D140,'Forecast drivers'!$O$5:$Y$5, 0)),0)/100</f>
        <v>0</v>
      </c>
      <c r="I140" s="9">
        <f>_xlfn.IFNA(INDEX('Forecast drivers'!$O$5:$Y$57, MATCH(F_Interface!$A140&amp;RIGHT(F_Interface!I$2, 2),'Forecast drivers'!$A$5:$A$57, 0), MATCH(F_Interface!$D140,'Forecast drivers'!$O$5:$Y$5, 0)),0)/100</f>
        <v>0</v>
      </c>
      <c r="J140" s="9">
        <f>_xlfn.IFNA(INDEX('Forecast drivers'!$O$5:$Y$57, MATCH(F_Interface!$A140&amp;RIGHT(F_Interface!J$2, 2),'Forecast drivers'!$A$5:$A$57, 0), MATCH(F_Interface!$D140,'Forecast drivers'!$O$5:$Y$5, 0)),0)/100</f>
        <v>0</v>
      </c>
      <c r="K140" s="9">
        <f>_xlfn.IFNA(INDEX('Forecast drivers'!$O$5:$Y$57, MATCH(F_Interface!$A140&amp;RIGHT(F_Interface!K$2, 2),'Forecast drivers'!$A$5:$A$57, 0), MATCH(F_Interface!$D140,'Forecast drivers'!$O$5:$Y$5, 0)),0)/100</f>
        <v>0</v>
      </c>
      <c r="L140" s="9">
        <f>_xlfn.IFNA(INDEX('Forecast drivers'!$O$5:$Y$57, MATCH(F_Interface!$A140&amp;RIGHT(F_Interface!L$2, 2),'Forecast drivers'!$A$5:$A$57, 0), MATCH(F_Interface!$D140,'Forecast drivers'!$O$5:$Y$5, 0)),0)/100</f>
        <v>0</v>
      </c>
    </row>
    <row r="141" spans="1:12" x14ac:dyDescent="0.2">
      <c r="A141" s="10" t="s">
        <v>12</v>
      </c>
      <c r="B141" s="10" t="s">
        <v>140</v>
      </c>
      <c r="C141" s="10" t="str">
        <f t="shared" si="2"/>
        <v>SWBC_PCTNH3_PR19CA008</v>
      </c>
      <c r="D141" s="9" t="s">
        <v>59</v>
      </c>
      <c r="E141" s="9" t="s">
        <v>81</v>
      </c>
      <c r="F141" s="135" t="s">
        <v>1</v>
      </c>
      <c r="G141" s="9" t="s">
        <v>50</v>
      </c>
      <c r="H141" s="9">
        <f>_xlfn.IFNA(INDEX('Forecast drivers'!$O$5:$Y$57, MATCH(F_Interface!$A141&amp;RIGHT(F_Interface!H$2, 2),'Forecast drivers'!$A$5:$A$57, 0), MATCH(F_Interface!$D141,'Forecast drivers'!$O$5:$Y$5, 0)),0)/100</f>
        <v>2.3329539147531112E-2</v>
      </c>
      <c r="I141" s="9">
        <f>_xlfn.IFNA(INDEX('Forecast drivers'!$O$5:$Y$57, MATCH(F_Interface!$A141&amp;RIGHT(F_Interface!I$2, 2),'Forecast drivers'!$A$5:$A$57, 0), MATCH(F_Interface!$D141,'Forecast drivers'!$O$5:$Y$5, 0)),0)/100</f>
        <v>2.3329539147531112E-2</v>
      </c>
      <c r="J141" s="9">
        <f>_xlfn.IFNA(INDEX('Forecast drivers'!$O$5:$Y$57, MATCH(F_Interface!$A141&amp;RIGHT(F_Interface!J$2, 2),'Forecast drivers'!$A$5:$A$57, 0), MATCH(F_Interface!$D141,'Forecast drivers'!$O$5:$Y$5, 0)),0)/100</f>
        <v>2.3329539147531112E-2</v>
      </c>
      <c r="K141" s="9">
        <f>_xlfn.IFNA(INDEX('Forecast drivers'!$O$5:$Y$57, MATCH(F_Interface!$A141&amp;RIGHT(F_Interface!K$2, 2),'Forecast drivers'!$A$5:$A$57, 0), MATCH(F_Interface!$D141,'Forecast drivers'!$O$5:$Y$5, 0)),0)/100</f>
        <v>2.3329539147531112E-2</v>
      </c>
      <c r="L141" s="9">
        <f>_xlfn.IFNA(INDEX('Forecast drivers'!$O$5:$Y$57, MATCH(F_Interface!$A141&amp;RIGHT(F_Interface!L$2, 2),'Forecast drivers'!$A$5:$A$57, 0), MATCH(F_Interface!$D141,'Forecast drivers'!$O$5:$Y$5, 0)),0)/100</f>
        <v>2.3329539147531112E-2</v>
      </c>
    </row>
    <row r="142" spans="1:12" x14ac:dyDescent="0.2">
      <c r="A142" s="10" t="s">
        <v>9</v>
      </c>
      <c r="B142" s="10" t="s">
        <v>140</v>
      </c>
      <c r="C142" s="10" t="str">
        <f t="shared" si="2"/>
        <v>TMSC_PCTNH3_PR19CA008</v>
      </c>
      <c r="D142" s="9" t="s">
        <v>59</v>
      </c>
      <c r="E142" s="9" t="s">
        <v>81</v>
      </c>
      <c r="F142" s="135" t="s">
        <v>1</v>
      </c>
      <c r="G142" s="9" t="s">
        <v>50</v>
      </c>
      <c r="H142" s="9">
        <f>_xlfn.IFNA(INDEX('Forecast drivers'!$O$5:$Y$57, MATCH(F_Interface!$A142&amp;RIGHT(F_Interface!H$2, 2),'Forecast drivers'!$A$5:$A$57, 0), MATCH(F_Interface!$D142,'Forecast drivers'!$O$5:$Y$5, 0)),0)/100</f>
        <v>0.85849013974051647</v>
      </c>
      <c r="I142" s="9">
        <f>_xlfn.IFNA(INDEX('Forecast drivers'!$O$5:$Y$57, MATCH(F_Interface!$A142&amp;RIGHT(F_Interface!I$2, 2),'Forecast drivers'!$A$5:$A$57, 0), MATCH(F_Interface!$D142,'Forecast drivers'!$O$5:$Y$5, 0)),0)/100</f>
        <v>0.85849013974051647</v>
      </c>
      <c r="J142" s="9">
        <f>_xlfn.IFNA(INDEX('Forecast drivers'!$O$5:$Y$57, MATCH(F_Interface!$A142&amp;RIGHT(F_Interface!J$2, 2),'Forecast drivers'!$A$5:$A$57, 0), MATCH(F_Interface!$D142,'Forecast drivers'!$O$5:$Y$5, 0)),0)/100</f>
        <v>0.85849013974051647</v>
      </c>
      <c r="K142" s="9">
        <f>_xlfn.IFNA(INDEX('Forecast drivers'!$O$5:$Y$57, MATCH(F_Interface!$A142&amp;RIGHT(F_Interface!K$2, 2),'Forecast drivers'!$A$5:$A$57, 0), MATCH(F_Interface!$D142,'Forecast drivers'!$O$5:$Y$5, 0)),0)/100</f>
        <v>0.85849013974051647</v>
      </c>
      <c r="L142" s="9">
        <f>_xlfn.IFNA(INDEX('Forecast drivers'!$O$5:$Y$57, MATCH(F_Interface!$A142&amp;RIGHT(F_Interface!L$2, 2),'Forecast drivers'!$A$5:$A$57, 0), MATCH(F_Interface!$D142,'Forecast drivers'!$O$5:$Y$5, 0)),0)/100</f>
        <v>0.85849013974051647</v>
      </c>
    </row>
    <row r="143" spans="1:12" x14ac:dyDescent="0.2">
      <c r="A143" s="10" t="s">
        <v>15</v>
      </c>
      <c r="B143" s="10" t="s">
        <v>140</v>
      </c>
      <c r="C143" s="10" t="str">
        <f t="shared" si="2"/>
        <v>WSHC_PCTNH3_PR19CA008</v>
      </c>
      <c r="D143" s="9" t="s">
        <v>59</v>
      </c>
      <c r="E143" s="9" t="s">
        <v>81</v>
      </c>
      <c r="F143" s="135" t="s">
        <v>1</v>
      </c>
      <c r="G143" s="9" t="s">
        <v>50</v>
      </c>
      <c r="H143" s="9">
        <f>_xlfn.IFNA(INDEX('Forecast drivers'!$O$5:$Y$57, MATCH(F_Interface!$A143&amp;RIGHT(F_Interface!H$2, 2),'Forecast drivers'!$A$5:$A$57, 0), MATCH(F_Interface!$D143,'Forecast drivers'!$O$5:$Y$5, 0)),0)/100</f>
        <v>2.0611453397868386E-2</v>
      </c>
      <c r="I143" s="9">
        <f>_xlfn.IFNA(INDEX('Forecast drivers'!$O$5:$Y$57, MATCH(F_Interface!$A143&amp;RIGHT(F_Interface!I$2, 2),'Forecast drivers'!$A$5:$A$57, 0), MATCH(F_Interface!$D143,'Forecast drivers'!$O$5:$Y$5, 0)),0)/100</f>
        <v>2.0611453397868386E-2</v>
      </c>
      <c r="J143" s="9">
        <f>_xlfn.IFNA(INDEX('Forecast drivers'!$O$5:$Y$57, MATCH(F_Interface!$A143&amp;RIGHT(F_Interface!J$2, 2),'Forecast drivers'!$A$5:$A$57, 0), MATCH(F_Interface!$D143,'Forecast drivers'!$O$5:$Y$5, 0)),0)/100</f>
        <v>2.0611453397868386E-2</v>
      </c>
      <c r="K143" s="9">
        <f>_xlfn.IFNA(INDEX('Forecast drivers'!$O$5:$Y$57, MATCH(F_Interface!$A143&amp;RIGHT(F_Interface!K$2, 2),'Forecast drivers'!$A$5:$A$57, 0), MATCH(F_Interface!$D143,'Forecast drivers'!$O$5:$Y$5, 0)),0)/100</f>
        <v>2.0611453397868386E-2</v>
      </c>
      <c r="L143" s="9">
        <f>_xlfn.IFNA(INDEX('Forecast drivers'!$O$5:$Y$57, MATCH(F_Interface!$A143&amp;RIGHT(F_Interface!L$2, 2),'Forecast drivers'!$A$5:$A$57, 0), MATCH(F_Interface!$D143,'Forecast drivers'!$O$5:$Y$5, 0)),0)/100</f>
        <v>2.0611453397868386E-2</v>
      </c>
    </row>
    <row r="144" spans="1:12" x14ac:dyDescent="0.2">
      <c r="A144" s="10" t="s">
        <v>10</v>
      </c>
      <c r="B144" s="10" t="s">
        <v>140</v>
      </c>
      <c r="C144" s="10" t="str">
        <f t="shared" si="2"/>
        <v>WSXC_PCTNH3_PR19CA008</v>
      </c>
      <c r="D144" s="9" t="s">
        <v>59</v>
      </c>
      <c r="E144" s="9" t="s">
        <v>81</v>
      </c>
      <c r="F144" s="135" t="s">
        <v>1</v>
      </c>
      <c r="G144" s="9" t="s">
        <v>50</v>
      </c>
      <c r="H144" s="9">
        <f>_xlfn.IFNA(INDEX('Forecast drivers'!$O$5:$Y$57, MATCH(F_Interface!$A144&amp;RIGHT(F_Interface!H$2, 2),'Forecast drivers'!$A$5:$A$57, 0), MATCH(F_Interface!$D144,'Forecast drivers'!$O$5:$Y$5, 0)),0)/100</f>
        <v>6.1513487509809978E-2</v>
      </c>
      <c r="I144" s="9">
        <f>_xlfn.IFNA(INDEX('Forecast drivers'!$O$5:$Y$57, MATCH(F_Interface!$A144&amp;RIGHT(F_Interface!I$2, 2),'Forecast drivers'!$A$5:$A$57, 0), MATCH(F_Interface!$D144,'Forecast drivers'!$O$5:$Y$5, 0)),0)/100</f>
        <v>6.1513487509809978E-2</v>
      </c>
      <c r="J144" s="9">
        <f>_xlfn.IFNA(INDEX('Forecast drivers'!$O$5:$Y$57, MATCH(F_Interface!$A144&amp;RIGHT(F_Interface!J$2, 2),'Forecast drivers'!$A$5:$A$57, 0), MATCH(F_Interface!$D144,'Forecast drivers'!$O$5:$Y$5, 0)),0)/100</f>
        <v>6.1513487509809978E-2</v>
      </c>
      <c r="K144" s="9">
        <f>_xlfn.IFNA(INDEX('Forecast drivers'!$O$5:$Y$57, MATCH(F_Interface!$A144&amp;RIGHT(F_Interface!K$2, 2),'Forecast drivers'!$A$5:$A$57, 0), MATCH(F_Interface!$D144,'Forecast drivers'!$O$5:$Y$5, 0)),0)/100</f>
        <v>6.1513487509809978E-2</v>
      </c>
      <c r="L144" s="9">
        <f>_xlfn.IFNA(INDEX('Forecast drivers'!$O$5:$Y$57, MATCH(F_Interface!$A144&amp;RIGHT(F_Interface!L$2, 2),'Forecast drivers'!$A$5:$A$57, 0), MATCH(F_Interface!$D144,'Forecast drivers'!$O$5:$Y$5, 0)),0)/100</f>
        <v>6.1513487509809978E-2</v>
      </c>
    </row>
    <row r="145" spans="1:12" x14ac:dyDescent="0.2">
      <c r="A145" s="10" t="s">
        <v>11</v>
      </c>
      <c r="B145" s="10" t="s">
        <v>140</v>
      </c>
      <c r="C145" s="10" t="str">
        <f t="shared" si="2"/>
        <v>YKYC_PCTNH3_PR19CA008</v>
      </c>
      <c r="D145" s="9" t="s">
        <v>59</v>
      </c>
      <c r="E145" s="9" t="s">
        <v>81</v>
      </c>
      <c r="F145" s="135" t="s">
        <v>1</v>
      </c>
      <c r="G145" s="9" t="s">
        <v>50</v>
      </c>
      <c r="H145" s="9">
        <f>_xlfn.IFNA(INDEX('Forecast drivers'!$O$5:$Y$57, MATCH(F_Interface!$A145&amp;RIGHT(F_Interface!H$2, 2),'Forecast drivers'!$A$5:$A$57, 0), MATCH(F_Interface!$D145,'Forecast drivers'!$O$5:$Y$5, 0)),0)/100</f>
        <v>0.40959838960222944</v>
      </c>
      <c r="I145" s="9">
        <f>_xlfn.IFNA(INDEX('Forecast drivers'!$O$5:$Y$57, MATCH(F_Interface!$A145&amp;RIGHT(F_Interface!I$2, 2),'Forecast drivers'!$A$5:$A$57, 0), MATCH(F_Interface!$D145,'Forecast drivers'!$O$5:$Y$5, 0)),0)/100</f>
        <v>0.40959838960222944</v>
      </c>
      <c r="J145" s="9">
        <f>_xlfn.IFNA(INDEX('Forecast drivers'!$O$5:$Y$57, MATCH(F_Interface!$A145&amp;RIGHT(F_Interface!J$2, 2),'Forecast drivers'!$A$5:$A$57, 0), MATCH(F_Interface!$D145,'Forecast drivers'!$O$5:$Y$5, 0)),0)/100</f>
        <v>0.40959838960222944</v>
      </c>
      <c r="K145" s="9">
        <f>_xlfn.IFNA(INDEX('Forecast drivers'!$O$5:$Y$57, MATCH(F_Interface!$A145&amp;RIGHT(F_Interface!K$2, 2),'Forecast drivers'!$A$5:$A$57, 0), MATCH(F_Interface!$D145,'Forecast drivers'!$O$5:$Y$5, 0)),0)/100</f>
        <v>0.40959838960222944</v>
      </c>
      <c r="L145" s="9">
        <f>_xlfn.IFNA(INDEX('Forecast drivers'!$O$5:$Y$57, MATCH(F_Interface!$A145&amp;RIGHT(F_Interface!L$2, 2),'Forecast drivers'!$A$5:$A$57, 0), MATCH(F_Interface!$D145,'Forecast drivers'!$O$5:$Y$5, 0)),0)/100</f>
        <v>0.40959838960222944</v>
      </c>
    </row>
    <row r="146" spans="1:12" x14ac:dyDescent="0.2">
      <c r="A146" s="10" t="s">
        <v>4</v>
      </c>
      <c r="B146" s="10" t="s">
        <v>141</v>
      </c>
      <c r="C146" s="10" t="str">
        <f t="shared" si="2"/>
        <v>ANHC_PCTBAND6_PR19CA008</v>
      </c>
      <c r="D146" s="9" t="s">
        <v>85</v>
      </c>
      <c r="E146" s="9" t="s">
        <v>99</v>
      </c>
      <c r="F146" s="135" t="s">
        <v>1</v>
      </c>
      <c r="G146" s="9" t="s">
        <v>50</v>
      </c>
      <c r="H146" s="9">
        <f>_xlfn.IFNA(INDEX('Forecast drivers'!$O$5:$Y$57, MATCH(F_Interface!$A146&amp;RIGHT(F_Interface!H$2, 2),'Forecast drivers'!$A$5:$A$57, 0), MATCH(F_Interface!$D146,'Forecast drivers'!$O$5:$Y$5, 0)),0)/100</f>
        <v>0.65380891852288936</v>
      </c>
      <c r="I146" s="9">
        <f>_xlfn.IFNA(INDEX('Forecast drivers'!$O$5:$Y$57, MATCH(F_Interface!$A146&amp;RIGHT(F_Interface!I$2, 2),'Forecast drivers'!$A$5:$A$57, 0), MATCH(F_Interface!$D146,'Forecast drivers'!$O$5:$Y$5, 0)),0)/100</f>
        <v>0.65380891852288936</v>
      </c>
      <c r="J146" s="9">
        <f>_xlfn.IFNA(INDEX('Forecast drivers'!$O$5:$Y$57, MATCH(F_Interface!$A146&amp;RIGHT(F_Interface!J$2, 2),'Forecast drivers'!$A$5:$A$57, 0), MATCH(F_Interface!$D146,'Forecast drivers'!$O$5:$Y$5, 0)),0)/100</f>
        <v>0.65380891852288936</v>
      </c>
      <c r="K146" s="9">
        <f>_xlfn.IFNA(INDEX('Forecast drivers'!$O$5:$Y$57, MATCH(F_Interface!$A146&amp;RIGHT(F_Interface!K$2, 2),'Forecast drivers'!$A$5:$A$57, 0), MATCH(F_Interface!$D146,'Forecast drivers'!$O$5:$Y$5, 0)),0)/100</f>
        <v>0.65380891852288936</v>
      </c>
      <c r="L146" s="9">
        <f>_xlfn.IFNA(INDEX('Forecast drivers'!$O$5:$Y$57, MATCH(F_Interface!$A146&amp;RIGHT(F_Interface!L$2, 2),'Forecast drivers'!$A$5:$A$57, 0), MATCH(F_Interface!$D146,'Forecast drivers'!$O$5:$Y$5, 0)),0)/100</f>
        <v>0.65380891852288936</v>
      </c>
    </row>
    <row r="147" spans="1:12" x14ac:dyDescent="0.2">
      <c r="A147" s="10" t="s">
        <v>87</v>
      </c>
      <c r="B147" s="10" t="s">
        <v>141</v>
      </c>
      <c r="C147" s="10" t="str">
        <f t="shared" si="2"/>
        <v>HDDC_PCTBAND6_PR19CA008</v>
      </c>
      <c r="D147" s="9" t="s">
        <v>85</v>
      </c>
      <c r="E147" s="9" t="s">
        <v>99</v>
      </c>
      <c r="F147" s="135" t="s">
        <v>1</v>
      </c>
      <c r="G147" s="9" t="s">
        <v>50</v>
      </c>
      <c r="H147" s="9">
        <f>_xlfn.IFNA(INDEX('Forecast drivers'!$O$5:$Y$57, MATCH(F_Interface!$A147&amp;RIGHT(F_Interface!H$2, 2),'Forecast drivers'!$A$5:$A$57, 0), MATCH(F_Interface!$D147,'Forecast drivers'!$O$5:$Y$5, 0)),0)/100</f>
        <v>0</v>
      </c>
      <c r="I147" s="9">
        <f>_xlfn.IFNA(INDEX('Forecast drivers'!$O$5:$Y$57, MATCH(F_Interface!$A147&amp;RIGHT(F_Interface!I$2, 2),'Forecast drivers'!$A$5:$A$57, 0), MATCH(F_Interface!$D147,'Forecast drivers'!$O$5:$Y$5, 0)),0)/100</f>
        <v>0</v>
      </c>
      <c r="J147" s="9">
        <f>_xlfn.IFNA(INDEX('Forecast drivers'!$O$5:$Y$57, MATCH(F_Interface!$A147&amp;RIGHT(F_Interface!J$2, 2),'Forecast drivers'!$A$5:$A$57, 0), MATCH(F_Interface!$D147,'Forecast drivers'!$O$5:$Y$5, 0)),0)/100</f>
        <v>0</v>
      </c>
      <c r="K147" s="9">
        <f>_xlfn.IFNA(INDEX('Forecast drivers'!$O$5:$Y$57, MATCH(F_Interface!$A147&amp;RIGHT(F_Interface!K$2, 2),'Forecast drivers'!$A$5:$A$57, 0), MATCH(F_Interface!$D147,'Forecast drivers'!$O$5:$Y$5, 0)),0)/100</f>
        <v>0</v>
      </c>
      <c r="L147" s="9">
        <f>_xlfn.IFNA(INDEX('Forecast drivers'!$O$5:$Y$57, MATCH(F_Interface!$A147&amp;RIGHT(F_Interface!L$2, 2),'Forecast drivers'!$A$5:$A$57, 0), MATCH(F_Interface!$D147,'Forecast drivers'!$O$5:$Y$5, 0)),0)/100</f>
        <v>0</v>
      </c>
    </row>
    <row r="148" spans="1:12" x14ac:dyDescent="0.2">
      <c r="A148" s="10" t="s">
        <v>5</v>
      </c>
      <c r="B148" s="10" t="s">
        <v>141</v>
      </c>
      <c r="C148" s="10" t="str">
        <f t="shared" si="2"/>
        <v>NESC_PCTBAND6_PR19CA008</v>
      </c>
      <c r="D148" s="9" t="s">
        <v>85</v>
      </c>
      <c r="E148" s="9" t="s">
        <v>99</v>
      </c>
      <c r="F148" s="135" t="s">
        <v>1</v>
      </c>
      <c r="G148" s="9" t="s">
        <v>50</v>
      </c>
      <c r="H148" s="9">
        <f>_xlfn.IFNA(INDEX('Forecast drivers'!$O$5:$Y$57, MATCH(F_Interface!$A148&amp;RIGHT(F_Interface!H$2, 2),'Forecast drivers'!$A$5:$A$57, 0), MATCH(F_Interface!$D148,'Forecast drivers'!$O$5:$Y$5, 0)),0)/100</f>
        <v>0.85068646735292619</v>
      </c>
      <c r="I148" s="9">
        <f>_xlfn.IFNA(INDEX('Forecast drivers'!$O$5:$Y$57, MATCH(F_Interface!$A148&amp;RIGHT(F_Interface!I$2, 2),'Forecast drivers'!$A$5:$A$57, 0), MATCH(F_Interface!$D148,'Forecast drivers'!$O$5:$Y$5, 0)),0)/100</f>
        <v>0.85068646735292619</v>
      </c>
      <c r="J148" s="9">
        <f>_xlfn.IFNA(INDEX('Forecast drivers'!$O$5:$Y$57, MATCH(F_Interface!$A148&amp;RIGHT(F_Interface!J$2, 2),'Forecast drivers'!$A$5:$A$57, 0), MATCH(F_Interface!$D148,'Forecast drivers'!$O$5:$Y$5, 0)),0)/100</f>
        <v>0.85068646735292619</v>
      </c>
      <c r="K148" s="9">
        <f>_xlfn.IFNA(INDEX('Forecast drivers'!$O$5:$Y$57, MATCH(F_Interface!$A148&amp;RIGHT(F_Interface!K$2, 2),'Forecast drivers'!$A$5:$A$57, 0), MATCH(F_Interface!$D148,'Forecast drivers'!$O$5:$Y$5, 0)),0)/100</f>
        <v>0.85068646735292619</v>
      </c>
      <c r="L148" s="9">
        <f>_xlfn.IFNA(INDEX('Forecast drivers'!$O$5:$Y$57, MATCH(F_Interface!$A148&amp;RIGHT(F_Interface!L$2, 2),'Forecast drivers'!$A$5:$A$57, 0), MATCH(F_Interface!$D148,'Forecast drivers'!$O$5:$Y$5, 0)),0)/100</f>
        <v>0.85068646735292619</v>
      </c>
    </row>
    <row r="149" spans="1:12" x14ac:dyDescent="0.2">
      <c r="A149" s="10" t="s">
        <v>6</v>
      </c>
      <c r="B149" s="10" t="s">
        <v>141</v>
      </c>
      <c r="C149" s="10" t="str">
        <f t="shared" si="2"/>
        <v>NWTC_PCTBAND6_PR19CA008</v>
      </c>
      <c r="D149" s="9" t="s">
        <v>85</v>
      </c>
      <c r="E149" s="9" t="s">
        <v>99</v>
      </c>
      <c r="F149" s="135" t="s">
        <v>1</v>
      </c>
      <c r="G149" s="9" t="s">
        <v>50</v>
      </c>
      <c r="H149" s="9">
        <f>_xlfn.IFNA(INDEX('Forecast drivers'!$O$5:$Y$57, MATCH(F_Interface!$A149&amp;RIGHT(F_Interface!H$2, 2),'Forecast drivers'!$A$5:$A$57, 0), MATCH(F_Interface!$D149,'Forecast drivers'!$O$5:$Y$5, 0)),0)/100</f>
        <v>0.89570326826237245</v>
      </c>
      <c r="I149" s="9">
        <f>_xlfn.IFNA(INDEX('Forecast drivers'!$O$5:$Y$57, MATCH(F_Interface!$A149&amp;RIGHT(F_Interface!I$2, 2),'Forecast drivers'!$A$5:$A$57, 0), MATCH(F_Interface!$D149,'Forecast drivers'!$O$5:$Y$5, 0)),0)/100</f>
        <v>0.89570326826237245</v>
      </c>
      <c r="J149" s="9">
        <f>_xlfn.IFNA(INDEX('Forecast drivers'!$O$5:$Y$57, MATCH(F_Interface!$A149&amp;RIGHT(F_Interface!J$2, 2),'Forecast drivers'!$A$5:$A$57, 0), MATCH(F_Interface!$D149,'Forecast drivers'!$O$5:$Y$5, 0)),0)/100</f>
        <v>0.89570326826237245</v>
      </c>
      <c r="K149" s="9">
        <f>_xlfn.IFNA(INDEX('Forecast drivers'!$O$5:$Y$57, MATCH(F_Interface!$A149&amp;RIGHT(F_Interface!K$2, 2),'Forecast drivers'!$A$5:$A$57, 0), MATCH(F_Interface!$D149,'Forecast drivers'!$O$5:$Y$5, 0)),0)/100</f>
        <v>0.89570326826237245</v>
      </c>
      <c r="L149" s="9">
        <f>_xlfn.IFNA(INDEX('Forecast drivers'!$O$5:$Y$57, MATCH(F_Interface!$A149&amp;RIGHT(F_Interface!L$2, 2),'Forecast drivers'!$A$5:$A$57, 0), MATCH(F_Interface!$D149,'Forecast drivers'!$O$5:$Y$5, 0)),0)/100</f>
        <v>0.89570326826237245</v>
      </c>
    </row>
    <row r="150" spans="1:12" x14ac:dyDescent="0.2">
      <c r="A150" s="10" t="s">
        <v>7</v>
      </c>
      <c r="B150" s="10" t="s">
        <v>141</v>
      </c>
      <c r="C150" s="10" t="str">
        <f t="shared" si="2"/>
        <v>SRNC_PCTBAND6_PR19CA008</v>
      </c>
      <c r="D150" s="9" t="s">
        <v>85</v>
      </c>
      <c r="E150" s="9" t="s">
        <v>99</v>
      </c>
      <c r="F150" s="135" t="s">
        <v>1</v>
      </c>
      <c r="G150" s="9" t="s">
        <v>50</v>
      </c>
      <c r="H150" s="9">
        <f>_xlfn.IFNA(INDEX('Forecast drivers'!$O$5:$Y$57, MATCH(F_Interface!$A150&amp;RIGHT(F_Interface!H$2, 2),'Forecast drivers'!$A$5:$A$57, 0), MATCH(F_Interface!$D150,'Forecast drivers'!$O$5:$Y$5, 0)),0)/100</f>
        <v>0.82625810889280293</v>
      </c>
      <c r="I150" s="9">
        <f>_xlfn.IFNA(INDEX('Forecast drivers'!$O$5:$Y$57, MATCH(F_Interface!$A150&amp;RIGHT(F_Interface!I$2, 2),'Forecast drivers'!$A$5:$A$57, 0), MATCH(F_Interface!$D150,'Forecast drivers'!$O$5:$Y$5, 0)),0)/100</f>
        <v>0.82625810889280293</v>
      </c>
      <c r="J150" s="9">
        <f>_xlfn.IFNA(INDEX('Forecast drivers'!$O$5:$Y$57, MATCH(F_Interface!$A150&amp;RIGHT(F_Interface!J$2, 2),'Forecast drivers'!$A$5:$A$57, 0), MATCH(F_Interface!$D150,'Forecast drivers'!$O$5:$Y$5, 0)),0)/100</f>
        <v>0.82625810889280293</v>
      </c>
      <c r="K150" s="9">
        <f>_xlfn.IFNA(INDEX('Forecast drivers'!$O$5:$Y$57, MATCH(F_Interface!$A150&amp;RIGHT(F_Interface!K$2, 2),'Forecast drivers'!$A$5:$A$57, 0), MATCH(F_Interface!$D150,'Forecast drivers'!$O$5:$Y$5, 0)),0)/100</f>
        <v>0.82625810889280293</v>
      </c>
      <c r="L150" s="9">
        <f>_xlfn.IFNA(INDEX('Forecast drivers'!$O$5:$Y$57, MATCH(F_Interface!$A150&amp;RIGHT(F_Interface!L$2, 2),'Forecast drivers'!$A$5:$A$57, 0), MATCH(F_Interface!$D150,'Forecast drivers'!$O$5:$Y$5, 0)),0)/100</f>
        <v>0.82625810889280293</v>
      </c>
    </row>
    <row r="151" spans="1:12" x14ac:dyDescent="0.2">
      <c r="A151" s="10" t="s">
        <v>116</v>
      </c>
      <c r="B151" s="10" t="s">
        <v>141</v>
      </c>
      <c r="C151" s="10" t="str">
        <f t="shared" si="2"/>
        <v>SVEC_PCTBAND6_PR19CA008</v>
      </c>
      <c r="D151" s="9" t="s">
        <v>85</v>
      </c>
      <c r="E151" s="9" t="s">
        <v>99</v>
      </c>
      <c r="F151" s="135" t="s">
        <v>1</v>
      </c>
      <c r="G151" s="137" t="s">
        <v>50</v>
      </c>
      <c r="H151" s="9">
        <f>_xlfn.IFNA(INDEX('Forecast drivers'!$O$5:$Y$57, MATCH(F_Interface!$A151&amp;RIGHT(F_Interface!H$2, 2),'Forecast drivers'!$A$5:$A$57, 0), MATCH(F_Interface!$D151,'Forecast drivers'!$O$5:$Y$5, 0)),0)/100</f>
        <v>0</v>
      </c>
      <c r="I151" s="9">
        <f>_xlfn.IFNA(INDEX('Forecast drivers'!$O$5:$Y$57, MATCH(F_Interface!$A151&amp;RIGHT(F_Interface!I$2, 2),'Forecast drivers'!$A$5:$A$57, 0), MATCH(F_Interface!$D151,'Forecast drivers'!$O$5:$Y$5, 0)),0)/100</f>
        <v>0</v>
      </c>
      <c r="J151" s="9">
        <f>_xlfn.IFNA(INDEX('Forecast drivers'!$O$5:$Y$57, MATCH(F_Interface!$A151&amp;RIGHT(F_Interface!J$2, 2),'Forecast drivers'!$A$5:$A$57, 0), MATCH(F_Interface!$D151,'Forecast drivers'!$O$5:$Y$5, 0)),0)/100</f>
        <v>0</v>
      </c>
      <c r="K151" s="9">
        <f>_xlfn.IFNA(INDEX('Forecast drivers'!$O$5:$Y$57, MATCH(F_Interface!$A151&amp;RIGHT(F_Interface!K$2, 2),'Forecast drivers'!$A$5:$A$57, 0), MATCH(F_Interface!$D151,'Forecast drivers'!$O$5:$Y$5, 0)),0)/100</f>
        <v>0</v>
      </c>
      <c r="L151" s="9">
        <f>_xlfn.IFNA(INDEX('Forecast drivers'!$O$5:$Y$57, MATCH(F_Interface!$A151&amp;RIGHT(F_Interface!L$2, 2),'Forecast drivers'!$A$5:$A$57, 0), MATCH(F_Interface!$D151,'Forecast drivers'!$O$5:$Y$5, 0)),0)/100</f>
        <v>0</v>
      </c>
    </row>
    <row r="152" spans="1:12" x14ac:dyDescent="0.2">
      <c r="A152" s="10" t="s">
        <v>101</v>
      </c>
      <c r="B152" s="10" t="s">
        <v>141</v>
      </c>
      <c r="C152" s="10" t="str">
        <f t="shared" si="2"/>
        <v>SVHC_PCTBAND6_PR19CA008</v>
      </c>
      <c r="D152" s="9" t="s">
        <v>85</v>
      </c>
      <c r="E152" s="9" t="s">
        <v>99</v>
      </c>
      <c r="F152" s="135" t="s">
        <v>1</v>
      </c>
      <c r="G152" s="9" t="s">
        <v>50</v>
      </c>
      <c r="H152" s="9">
        <f>_xlfn.IFNA(INDEX('Forecast drivers'!$O$5:$Y$57, MATCH(F_Interface!$A152&amp;RIGHT(F_Interface!H$2, 2),'Forecast drivers'!$A$5:$A$57, 0), MATCH(F_Interface!$D152,'Forecast drivers'!$O$5:$Y$5, 0)),0)/100</f>
        <v>0.82493446792535152</v>
      </c>
      <c r="I152" s="9">
        <f>_xlfn.IFNA(INDEX('Forecast drivers'!$O$5:$Y$57, MATCH(F_Interface!$A152&amp;RIGHT(F_Interface!I$2, 2),'Forecast drivers'!$A$5:$A$57, 0), MATCH(F_Interface!$D152,'Forecast drivers'!$O$5:$Y$5, 0)),0)/100</f>
        <v>0.82493446792535152</v>
      </c>
      <c r="J152" s="9">
        <f>_xlfn.IFNA(INDEX('Forecast drivers'!$O$5:$Y$57, MATCH(F_Interface!$A152&amp;RIGHT(F_Interface!J$2, 2),'Forecast drivers'!$A$5:$A$57, 0), MATCH(F_Interface!$D152,'Forecast drivers'!$O$5:$Y$5, 0)),0)/100</f>
        <v>0.82493446792535152</v>
      </c>
      <c r="K152" s="9">
        <f>_xlfn.IFNA(INDEX('Forecast drivers'!$O$5:$Y$57, MATCH(F_Interface!$A152&amp;RIGHT(F_Interface!K$2, 2),'Forecast drivers'!$A$5:$A$57, 0), MATCH(F_Interface!$D152,'Forecast drivers'!$O$5:$Y$5, 0)),0)/100</f>
        <v>0.82493446792535152</v>
      </c>
      <c r="L152" s="9">
        <f>_xlfn.IFNA(INDEX('Forecast drivers'!$O$5:$Y$57, MATCH(F_Interface!$A152&amp;RIGHT(F_Interface!L$2, 2),'Forecast drivers'!$A$5:$A$57, 0), MATCH(F_Interface!$D152,'Forecast drivers'!$O$5:$Y$5, 0)),0)/100</f>
        <v>0.82493446792535152</v>
      </c>
    </row>
    <row r="153" spans="1:12" x14ac:dyDescent="0.2">
      <c r="A153" s="10" t="s">
        <v>8</v>
      </c>
      <c r="B153" s="10" t="s">
        <v>141</v>
      </c>
      <c r="C153" s="10" t="str">
        <f t="shared" si="2"/>
        <v>SVTC_PCTBAND6_PR19CA008</v>
      </c>
      <c r="D153" s="9" t="s">
        <v>85</v>
      </c>
      <c r="E153" s="9" t="s">
        <v>99</v>
      </c>
      <c r="F153" s="135" t="s">
        <v>1</v>
      </c>
      <c r="G153" s="9" t="s">
        <v>50</v>
      </c>
      <c r="H153" s="9">
        <f>_xlfn.IFNA(INDEX('Forecast drivers'!$O$5:$Y$57, MATCH(F_Interface!$A153&amp;RIGHT(F_Interface!H$2, 2),'Forecast drivers'!$A$5:$A$57, 0), MATCH(F_Interface!$D153,'Forecast drivers'!$O$5:$Y$5, 0)),0)/100</f>
        <v>0</v>
      </c>
      <c r="I153" s="9">
        <f>_xlfn.IFNA(INDEX('Forecast drivers'!$O$5:$Y$57, MATCH(F_Interface!$A153&amp;RIGHT(F_Interface!I$2, 2),'Forecast drivers'!$A$5:$A$57, 0), MATCH(F_Interface!$D153,'Forecast drivers'!$O$5:$Y$5, 0)),0)/100</f>
        <v>0</v>
      </c>
      <c r="J153" s="9">
        <f>_xlfn.IFNA(INDEX('Forecast drivers'!$O$5:$Y$57, MATCH(F_Interface!$A153&amp;RIGHT(F_Interface!J$2, 2),'Forecast drivers'!$A$5:$A$57, 0), MATCH(F_Interface!$D153,'Forecast drivers'!$O$5:$Y$5, 0)),0)/100</f>
        <v>0</v>
      </c>
      <c r="K153" s="9">
        <f>_xlfn.IFNA(INDEX('Forecast drivers'!$O$5:$Y$57, MATCH(F_Interface!$A153&amp;RIGHT(F_Interface!K$2, 2),'Forecast drivers'!$A$5:$A$57, 0), MATCH(F_Interface!$D153,'Forecast drivers'!$O$5:$Y$5, 0)),0)/100</f>
        <v>0</v>
      </c>
      <c r="L153" s="9">
        <f>_xlfn.IFNA(INDEX('Forecast drivers'!$O$5:$Y$57, MATCH(F_Interface!$A153&amp;RIGHT(F_Interface!L$2, 2),'Forecast drivers'!$A$5:$A$57, 0), MATCH(F_Interface!$D153,'Forecast drivers'!$O$5:$Y$5, 0)),0)/100</f>
        <v>0</v>
      </c>
    </row>
    <row r="154" spans="1:12" x14ac:dyDescent="0.2">
      <c r="A154" s="10" t="s">
        <v>12</v>
      </c>
      <c r="B154" s="10" t="s">
        <v>141</v>
      </c>
      <c r="C154" s="10" t="str">
        <f t="shared" si="2"/>
        <v>SWBC_PCTBAND6_PR19CA008</v>
      </c>
      <c r="D154" s="9" t="s">
        <v>85</v>
      </c>
      <c r="E154" s="9" t="s">
        <v>99</v>
      </c>
      <c r="F154" s="135" t="s">
        <v>1</v>
      </c>
      <c r="G154" s="9" t="s">
        <v>50</v>
      </c>
      <c r="H154" s="9">
        <f>_xlfn.IFNA(INDEX('Forecast drivers'!$O$5:$Y$57, MATCH(F_Interface!$A154&amp;RIGHT(F_Interface!H$2, 2),'Forecast drivers'!$A$5:$A$57, 0), MATCH(F_Interface!$D154,'Forecast drivers'!$O$5:$Y$5, 0)),0)/100</f>
        <v>0.58109511029367145</v>
      </c>
      <c r="I154" s="9">
        <f>_xlfn.IFNA(INDEX('Forecast drivers'!$O$5:$Y$57, MATCH(F_Interface!$A154&amp;RIGHT(F_Interface!I$2, 2),'Forecast drivers'!$A$5:$A$57, 0), MATCH(F_Interface!$D154,'Forecast drivers'!$O$5:$Y$5, 0)),0)/100</f>
        <v>0.58109511029367145</v>
      </c>
      <c r="J154" s="9">
        <f>_xlfn.IFNA(INDEX('Forecast drivers'!$O$5:$Y$57, MATCH(F_Interface!$A154&amp;RIGHT(F_Interface!J$2, 2),'Forecast drivers'!$A$5:$A$57, 0), MATCH(F_Interface!$D154,'Forecast drivers'!$O$5:$Y$5, 0)),0)/100</f>
        <v>0.58109511029367145</v>
      </c>
      <c r="K154" s="9">
        <f>_xlfn.IFNA(INDEX('Forecast drivers'!$O$5:$Y$57, MATCH(F_Interface!$A154&amp;RIGHT(F_Interface!K$2, 2),'Forecast drivers'!$A$5:$A$57, 0), MATCH(F_Interface!$D154,'Forecast drivers'!$O$5:$Y$5, 0)),0)/100</f>
        <v>0.58109511029367145</v>
      </c>
      <c r="L154" s="9">
        <f>_xlfn.IFNA(INDEX('Forecast drivers'!$O$5:$Y$57, MATCH(F_Interface!$A154&amp;RIGHT(F_Interface!L$2, 2),'Forecast drivers'!$A$5:$A$57, 0), MATCH(F_Interface!$D154,'Forecast drivers'!$O$5:$Y$5, 0)),0)/100</f>
        <v>0.58109511029367145</v>
      </c>
    </row>
    <row r="155" spans="1:12" x14ac:dyDescent="0.2">
      <c r="A155" s="10" t="s">
        <v>9</v>
      </c>
      <c r="B155" s="10" t="s">
        <v>141</v>
      </c>
      <c r="C155" s="10" t="str">
        <f t="shared" si="2"/>
        <v>TMSC_PCTBAND6_PR19CA008</v>
      </c>
      <c r="D155" s="9" t="s">
        <v>85</v>
      </c>
      <c r="E155" s="9" t="s">
        <v>99</v>
      </c>
      <c r="F155" s="135" t="s">
        <v>1</v>
      </c>
      <c r="G155" s="9" t="s">
        <v>50</v>
      </c>
      <c r="H155" s="9">
        <f>_xlfn.IFNA(INDEX('Forecast drivers'!$O$5:$Y$57, MATCH(F_Interface!$A155&amp;RIGHT(F_Interface!H$2, 2),'Forecast drivers'!$A$5:$A$57, 0), MATCH(F_Interface!$D155,'Forecast drivers'!$O$5:$Y$5, 0)),0)/100</f>
        <v>0.94203004476565111</v>
      </c>
      <c r="I155" s="9">
        <f>_xlfn.IFNA(INDEX('Forecast drivers'!$O$5:$Y$57, MATCH(F_Interface!$A155&amp;RIGHT(F_Interface!I$2, 2),'Forecast drivers'!$A$5:$A$57, 0), MATCH(F_Interface!$D155,'Forecast drivers'!$O$5:$Y$5, 0)),0)/100</f>
        <v>0.94203004476565111</v>
      </c>
      <c r="J155" s="9">
        <f>_xlfn.IFNA(INDEX('Forecast drivers'!$O$5:$Y$57, MATCH(F_Interface!$A155&amp;RIGHT(F_Interface!J$2, 2),'Forecast drivers'!$A$5:$A$57, 0), MATCH(F_Interface!$D155,'Forecast drivers'!$O$5:$Y$5, 0)),0)/100</f>
        <v>0.94203004476565111</v>
      </c>
      <c r="K155" s="9">
        <f>_xlfn.IFNA(INDEX('Forecast drivers'!$O$5:$Y$57, MATCH(F_Interface!$A155&amp;RIGHT(F_Interface!K$2, 2),'Forecast drivers'!$A$5:$A$57, 0), MATCH(F_Interface!$D155,'Forecast drivers'!$O$5:$Y$5, 0)),0)/100</f>
        <v>0.94203004476565111</v>
      </c>
      <c r="L155" s="9">
        <f>_xlfn.IFNA(INDEX('Forecast drivers'!$O$5:$Y$57, MATCH(F_Interface!$A155&amp;RIGHT(F_Interface!L$2, 2),'Forecast drivers'!$A$5:$A$57, 0), MATCH(F_Interface!$D155,'Forecast drivers'!$O$5:$Y$5, 0)),0)/100</f>
        <v>0.94203004476565111</v>
      </c>
    </row>
    <row r="156" spans="1:12" x14ac:dyDescent="0.2">
      <c r="A156" s="10" t="s">
        <v>15</v>
      </c>
      <c r="B156" s="10" t="s">
        <v>141</v>
      </c>
      <c r="C156" s="10" t="str">
        <f t="shared" si="2"/>
        <v>WSHC_PCTBAND6_PR19CA008</v>
      </c>
      <c r="D156" s="9" t="s">
        <v>85</v>
      </c>
      <c r="E156" s="9" t="s">
        <v>99</v>
      </c>
      <c r="F156" s="135" t="s">
        <v>1</v>
      </c>
      <c r="G156" s="9" t="s">
        <v>50</v>
      </c>
      <c r="H156" s="9">
        <f>_xlfn.IFNA(INDEX('Forecast drivers'!$O$5:$Y$57, MATCH(F_Interface!$A156&amp;RIGHT(F_Interface!H$2, 2),'Forecast drivers'!$A$5:$A$57, 0), MATCH(F_Interface!$D156,'Forecast drivers'!$O$5:$Y$5, 0)),0)/100</f>
        <v>0.73838196306748027</v>
      </c>
      <c r="I156" s="9">
        <f>_xlfn.IFNA(INDEX('Forecast drivers'!$O$5:$Y$57, MATCH(F_Interface!$A156&amp;RIGHT(F_Interface!I$2, 2),'Forecast drivers'!$A$5:$A$57, 0), MATCH(F_Interface!$D156,'Forecast drivers'!$O$5:$Y$5, 0)),0)/100</f>
        <v>0.73838196306748027</v>
      </c>
      <c r="J156" s="9">
        <f>_xlfn.IFNA(INDEX('Forecast drivers'!$O$5:$Y$57, MATCH(F_Interface!$A156&amp;RIGHT(F_Interface!J$2, 2),'Forecast drivers'!$A$5:$A$57, 0), MATCH(F_Interface!$D156,'Forecast drivers'!$O$5:$Y$5, 0)),0)/100</f>
        <v>0.73838196306748027</v>
      </c>
      <c r="K156" s="9">
        <f>_xlfn.IFNA(INDEX('Forecast drivers'!$O$5:$Y$57, MATCH(F_Interface!$A156&amp;RIGHT(F_Interface!K$2, 2),'Forecast drivers'!$A$5:$A$57, 0), MATCH(F_Interface!$D156,'Forecast drivers'!$O$5:$Y$5, 0)),0)/100</f>
        <v>0.73838196306748027</v>
      </c>
      <c r="L156" s="9">
        <f>_xlfn.IFNA(INDEX('Forecast drivers'!$O$5:$Y$57, MATCH(F_Interface!$A156&amp;RIGHT(F_Interface!L$2, 2),'Forecast drivers'!$A$5:$A$57, 0), MATCH(F_Interface!$D156,'Forecast drivers'!$O$5:$Y$5, 0)),0)/100</f>
        <v>0.73838196306748027</v>
      </c>
    </row>
    <row r="157" spans="1:12" x14ac:dyDescent="0.2">
      <c r="A157" s="10" t="s">
        <v>10</v>
      </c>
      <c r="B157" s="10" t="s">
        <v>141</v>
      </c>
      <c r="C157" s="10" t="str">
        <f t="shared" si="2"/>
        <v>WSXC_PCTBAND6_PR19CA008</v>
      </c>
      <c r="D157" s="9" t="s">
        <v>85</v>
      </c>
      <c r="E157" s="9" t="s">
        <v>99</v>
      </c>
      <c r="F157" s="135" t="s">
        <v>1</v>
      </c>
      <c r="G157" s="9" t="s">
        <v>50</v>
      </c>
      <c r="H157" s="9">
        <f>_xlfn.IFNA(INDEX('Forecast drivers'!$O$5:$Y$57, MATCH(F_Interface!$A157&amp;RIGHT(F_Interface!H$2, 2),'Forecast drivers'!$A$5:$A$57, 0), MATCH(F_Interface!$D157,'Forecast drivers'!$O$5:$Y$5, 0)),0)/100</f>
        <v>0.71098056216031935</v>
      </c>
      <c r="I157" s="9">
        <f>_xlfn.IFNA(INDEX('Forecast drivers'!$O$5:$Y$57, MATCH(F_Interface!$A157&amp;RIGHT(F_Interface!I$2, 2),'Forecast drivers'!$A$5:$A$57, 0), MATCH(F_Interface!$D157,'Forecast drivers'!$O$5:$Y$5, 0)),0)/100</f>
        <v>0.71098056216031935</v>
      </c>
      <c r="J157" s="9">
        <f>_xlfn.IFNA(INDEX('Forecast drivers'!$O$5:$Y$57, MATCH(F_Interface!$A157&amp;RIGHT(F_Interface!J$2, 2),'Forecast drivers'!$A$5:$A$57, 0), MATCH(F_Interface!$D157,'Forecast drivers'!$O$5:$Y$5, 0)),0)/100</f>
        <v>0.71098056216031935</v>
      </c>
      <c r="K157" s="9">
        <f>_xlfn.IFNA(INDEX('Forecast drivers'!$O$5:$Y$57, MATCH(F_Interface!$A157&amp;RIGHT(F_Interface!K$2, 2),'Forecast drivers'!$A$5:$A$57, 0), MATCH(F_Interface!$D157,'Forecast drivers'!$O$5:$Y$5, 0)),0)/100</f>
        <v>0.71098056216031935</v>
      </c>
      <c r="L157" s="9">
        <f>_xlfn.IFNA(INDEX('Forecast drivers'!$O$5:$Y$57, MATCH(F_Interface!$A157&amp;RIGHT(F_Interface!L$2, 2),'Forecast drivers'!$A$5:$A$57, 0), MATCH(F_Interface!$D157,'Forecast drivers'!$O$5:$Y$5, 0)),0)/100</f>
        <v>0.71098056216031935</v>
      </c>
    </row>
    <row r="158" spans="1:12" x14ac:dyDescent="0.2">
      <c r="A158" s="10" t="s">
        <v>11</v>
      </c>
      <c r="B158" s="10" t="s">
        <v>141</v>
      </c>
      <c r="C158" s="10" t="str">
        <f t="shared" si="2"/>
        <v>YKYC_PCTBAND6_PR19CA008</v>
      </c>
      <c r="D158" s="9" t="s">
        <v>85</v>
      </c>
      <c r="E158" s="9" t="s">
        <v>99</v>
      </c>
      <c r="F158" s="135" t="s">
        <v>1</v>
      </c>
      <c r="G158" s="9" t="s">
        <v>50</v>
      </c>
      <c r="H158" s="9">
        <f>_xlfn.IFNA(INDEX('Forecast drivers'!$O$5:$Y$57, MATCH(F_Interface!$A158&amp;RIGHT(F_Interface!H$2, 2),'Forecast drivers'!$A$5:$A$57, 0), MATCH(F_Interface!$D158,'Forecast drivers'!$O$5:$Y$5, 0)),0)/100</f>
        <v>0.80869257948657758</v>
      </c>
      <c r="I158" s="9">
        <f>_xlfn.IFNA(INDEX('Forecast drivers'!$O$5:$Y$57, MATCH(F_Interface!$A158&amp;RIGHT(F_Interface!I$2, 2),'Forecast drivers'!$A$5:$A$57, 0), MATCH(F_Interface!$D158,'Forecast drivers'!$O$5:$Y$5, 0)),0)/100</f>
        <v>0.80869257948657758</v>
      </c>
      <c r="J158" s="9">
        <f>_xlfn.IFNA(INDEX('Forecast drivers'!$O$5:$Y$57, MATCH(F_Interface!$A158&amp;RIGHT(F_Interface!J$2, 2),'Forecast drivers'!$A$5:$A$57, 0), MATCH(F_Interface!$D158,'Forecast drivers'!$O$5:$Y$5, 0)),0)/100</f>
        <v>0.80869257948657758</v>
      </c>
      <c r="K158" s="9">
        <f>_xlfn.IFNA(INDEX('Forecast drivers'!$O$5:$Y$57, MATCH(F_Interface!$A158&amp;RIGHT(F_Interface!K$2, 2),'Forecast drivers'!$A$5:$A$57, 0), MATCH(F_Interface!$D158,'Forecast drivers'!$O$5:$Y$5, 0)),0)/100</f>
        <v>0.80869257948657758</v>
      </c>
      <c r="L158" s="9">
        <f>_xlfn.IFNA(INDEX('Forecast drivers'!$O$5:$Y$57, MATCH(F_Interface!$A158&amp;RIGHT(F_Interface!L$2, 2),'Forecast drivers'!$A$5:$A$57, 0), MATCH(F_Interface!$D158,'Forecast drivers'!$O$5:$Y$5, 0)),0)/100</f>
        <v>0.80869257948657758</v>
      </c>
    </row>
    <row r="159" spans="1:12" x14ac:dyDescent="0.2">
      <c r="A159" s="10" t="s">
        <v>4</v>
      </c>
      <c r="B159" s="10" t="s">
        <v>142</v>
      </c>
      <c r="C159" s="10" t="str">
        <f t="shared" si="2"/>
        <v>ANHC_WAD_WW_PR19CA008</v>
      </c>
      <c r="D159" s="9" t="s">
        <v>66</v>
      </c>
      <c r="E159" s="9" t="s">
        <v>82</v>
      </c>
      <c r="F159" s="135" t="s">
        <v>3</v>
      </c>
      <c r="G159" s="9" t="s">
        <v>50</v>
      </c>
      <c r="H159" s="9">
        <f>_xlfn.IFNA(INDEX('Forecast drivers'!$O$5:$Y$57, MATCH(F_Interface!$A159&amp;RIGHT(F_Interface!H$2, 2),'Forecast drivers'!$A$5:$A$57, 0), MATCH(F_Interface!$D159,'Forecast drivers'!$O$5:$Y$5, 0)),0)</f>
        <v>840.73254484411063</v>
      </c>
      <c r="I159" s="9">
        <f>_xlfn.IFNA(INDEX('Forecast drivers'!$O$5:$Y$57, MATCH(F_Interface!$A159&amp;RIGHT(F_Interface!I$2, 2),'Forecast drivers'!$A$5:$A$57, 0), MATCH(F_Interface!$D159,'Forecast drivers'!$O$5:$Y$5, 0)),0)</f>
        <v>845.19634375546718</v>
      </c>
      <c r="J159" s="9">
        <f>_xlfn.IFNA(INDEX('Forecast drivers'!$O$5:$Y$57, MATCH(F_Interface!$A159&amp;RIGHT(F_Interface!J$2, 2),'Forecast drivers'!$A$5:$A$57, 0), MATCH(F_Interface!$D159,'Forecast drivers'!$O$5:$Y$5, 0)),0)</f>
        <v>850.01735663453962</v>
      </c>
      <c r="K159" s="9">
        <f>_xlfn.IFNA(INDEX('Forecast drivers'!$O$5:$Y$57, MATCH(F_Interface!$A159&amp;RIGHT(F_Interface!K$2, 2),'Forecast drivers'!$A$5:$A$57, 0), MATCH(F_Interface!$D159,'Forecast drivers'!$O$5:$Y$5, 0)),0)</f>
        <v>854.51777277412828</v>
      </c>
      <c r="L159" s="9">
        <f>_xlfn.IFNA(INDEX('Forecast drivers'!$O$5:$Y$57, MATCH(F_Interface!$A159&amp;RIGHT(F_Interface!L$2, 2),'Forecast drivers'!$A$5:$A$57, 0), MATCH(F_Interface!$D159,'Forecast drivers'!$O$5:$Y$5, 0)),0)</f>
        <v>859.34916553338451</v>
      </c>
    </row>
    <row r="160" spans="1:12" x14ac:dyDescent="0.2">
      <c r="A160" s="10" t="s">
        <v>87</v>
      </c>
      <c r="B160" s="10" t="s">
        <v>142</v>
      </c>
      <c r="C160" s="10" t="str">
        <f t="shared" si="2"/>
        <v>HDDC_WAD_WW_PR19CA008</v>
      </c>
      <c r="D160" s="9" t="s">
        <v>66</v>
      </c>
      <c r="E160" s="9" t="s">
        <v>82</v>
      </c>
      <c r="F160" s="135" t="s">
        <v>3</v>
      </c>
      <c r="G160" s="9" t="s">
        <v>50</v>
      </c>
      <c r="H160" s="9">
        <f>_xlfn.IFNA(INDEX('Forecast drivers'!$O$5:$Y$57, MATCH(F_Interface!$A160&amp;RIGHT(F_Interface!H$2, 2),'Forecast drivers'!$A$5:$A$57, 0), MATCH(F_Interface!$D160,'Forecast drivers'!$O$5:$Y$5, 0)),0)</f>
        <v>0</v>
      </c>
      <c r="I160" s="9">
        <f>_xlfn.IFNA(INDEX('Forecast drivers'!$O$5:$Y$57, MATCH(F_Interface!$A160&amp;RIGHT(F_Interface!I$2, 2),'Forecast drivers'!$A$5:$A$57, 0), MATCH(F_Interface!$D160,'Forecast drivers'!$O$5:$Y$5, 0)),0)</f>
        <v>0</v>
      </c>
      <c r="J160" s="9">
        <f>_xlfn.IFNA(INDEX('Forecast drivers'!$O$5:$Y$57, MATCH(F_Interface!$A160&amp;RIGHT(F_Interface!J$2, 2),'Forecast drivers'!$A$5:$A$57, 0), MATCH(F_Interface!$D160,'Forecast drivers'!$O$5:$Y$5, 0)),0)</f>
        <v>0</v>
      </c>
      <c r="K160" s="9">
        <f>_xlfn.IFNA(INDEX('Forecast drivers'!$O$5:$Y$57, MATCH(F_Interface!$A160&amp;RIGHT(F_Interface!K$2, 2),'Forecast drivers'!$A$5:$A$57, 0), MATCH(F_Interface!$D160,'Forecast drivers'!$O$5:$Y$5, 0)),0)</f>
        <v>0</v>
      </c>
      <c r="L160" s="9">
        <f>_xlfn.IFNA(INDEX('Forecast drivers'!$O$5:$Y$57, MATCH(F_Interface!$A160&amp;RIGHT(F_Interface!L$2, 2),'Forecast drivers'!$A$5:$A$57, 0), MATCH(F_Interface!$D160,'Forecast drivers'!$O$5:$Y$5, 0)),0)</f>
        <v>0</v>
      </c>
    </row>
    <row r="161" spans="1:12" x14ac:dyDescent="0.2">
      <c r="A161" s="10" t="s">
        <v>5</v>
      </c>
      <c r="B161" s="10" t="s">
        <v>142</v>
      </c>
      <c r="C161" s="10" t="str">
        <f t="shared" si="2"/>
        <v>NESC_WAD_WW_PR19CA008</v>
      </c>
      <c r="D161" s="9" t="s">
        <v>66</v>
      </c>
      <c r="E161" s="9" t="s">
        <v>82</v>
      </c>
      <c r="F161" s="135" t="s">
        <v>3</v>
      </c>
      <c r="G161" s="9" t="s">
        <v>50</v>
      </c>
      <c r="H161" s="9">
        <f>_xlfn.IFNA(INDEX('Forecast drivers'!$O$5:$Y$57, MATCH(F_Interface!$A161&amp;RIGHT(F_Interface!H$2, 2),'Forecast drivers'!$A$5:$A$57, 0), MATCH(F_Interface!$D161,'Forecast drivers'!$O$5:$Y$5, 0)),0)</f>
        <v>1291.2292289135344</v>
      </c>
      <c r="I161" s="9">
        <f>_xlfn.IFNA(INDEX('Forecast drivers'!$O$5:$Y$57, MATCH(F_Interface!$A161&amp;RIGHT(F_Interface!I$2, 2),'Forecast drivers'!$A$5:$A$57, 0), MATCH(F_Interface!$D161,'Forecast drivers'!$O$5:$Y$5, 0)),0)</f>
        <v>1293.7265135274265</v>
      </c>
      <c r="J161" s="9">
        <f>_xlfn.IFNA(INDEX('Forecast drivers'!$O$5:$Y$57, MATCH(F_Interface!$A161&amp;RIGHT(F_Interface!J$2, 2),'Forecast drivers'!$A$5:$A$57, 0), MATCH(F_Interface!$D161,'Forecast drivers'!$O$5:$Y$5, 0)),0)</f>
        <v>1295.7701167977505</v>
      </c>
      <c r="K161" s="9">
        <f>_xlfn.IFNA(INDEX('Forecast drivers'!$O$5:$Y$57, MATCH(F_Interface!$A161&amp;RIGHT(F_Interface!K$2, 2),'Forecast drivers'!$A$5:$A$57, 0), MATCH(F_Interface!$D161,'Forecast drivers'!$O$5:$Y$5, 0)),0)</f>
        <v>1298.2733569387603</v>
      </c>
      <c r="L161" s="9">
        <f>_xlfn.IFNA(INDEX('Forecast drivers'!$O$5:$Y$57, MATCH(F_Interface!$A161&amp;RIGHT(F_Interface!L$2, 2),'Forecast drivers'!$A$5:$A$57, 0), MATCH(F_Interface!$D161,'Forecast drivers'!$O$5:$Y$5, 0)),0)</f>
        <v>1300.8012385874686</v>
      </c>
    </row>
    <row r="162" spans="1:12" x14ac:dyDescent="0.2">
      <c r="A162" s="10" t="s">
        <v>6</v>
      </c>
      <c r="B162" s="10" t="s">
        <v>142</v>
      </c>
      <c r="C162" s="10" t="str">
        <f t="shared" si="2"/>
        <v>NWTC_WAD_WW_PR19CA008</v>
      </c>
      <c r="D162" s="9" t="s">
        <v>66</v>
      </c>
      <c r="E162" s="9" t="s">
        <v>82</v>
      </c>
      <c r="F162" s="135" t="s">
        <v>3</v>
      </c>
      <c r="G162" s="9" t="s">
        <v>50</v>
      </c>
      <c r="H162" s="9">
        <f>_xlfn.IFNA(INDEX('Forecast drivers'!$O$5:$Y$57, MATCH(F_Interface!$A162&amp;RIGHT(F_Interface!H$2, 2),'Forecast drivers'!$A$5:$A$57, 0), MATCH(F_Interface!$D162,'Forecast drivers'!$O$5:$Y$5, 0)),0)</f>
        <v>1831.5074273666755</v>
      </c>
      <c r="I162" s="9">
        <f>_xlfn.IFNA(INDEX('Forecast drivers'!$O$5:$Y$57, MATCH(F_Interface!$A162&amp;RIGHT(F_Interface!I$2, 2),'Forecast drivers'!$A$5:$A$57, 0), MATCH(F_Interface!$D162,'Forecast drivers'!$O$5:$Y$5, 0)),0)</f>
        <v>1841.1529286124019</v>
      </c>
      <c r="J162" s="9">
        <f>_xlfn.IFNA(INDEX('Forecast drivers'!$O$5:$Y$57, MATCH(F_Interface!$A162&amp;RIGHT(F_Interface!J$2, 2),'Forecast drivers'!$A$5:$A$57, 0), MATCH(F_Interface!$D162,'Forecast drivers'!$O$5:$Y$5, 0)),0)</f>
        <v>1850.7477327169054</v>
      </c>
      <c r="K162" s="9">
        <f>_xlfn.IFNA(INDEX('Forecast drivers'!$O$5:$Y$57, MATCH(F_Interface!$A162&amp;RIGHT(F_Interface!K$2, 2),'Forecast drivers'!$A$5:$A$57, 0), MATCH(F_Interface!$D162,'Forecast drivers'!$O$5:$Y$5, 0)),0)</f>
        <v>1859.764072059349</v>
      </c>
      <c r="L162" s="9">
        <f>_xlfn.IFNA(INDEX('Forecast drivers'!$O$5:$Y$57, MATCH(F_Interface!$A162&amp;RIGHT(F_Interface!L$2, 2),'Forecast drivers'!$A$5:$A$57, 0), MATCH(F_Interface!$D162,'Forecast drivers'!$O$5:$Y$5, 0)),0)</f>
        <v>1869.0393968371159</v>
      </c>
    </row>
    <row r="163" spans="1:12" x14ac:dyDescent="0.2">
      <c r="A163" s="10" t="s">
        <v>7</v>
      </c>
      <c r="B163" s="10" t="s">
        <v>142</v>
      </c>
      <c r="C163" s="10" t="str">
        <f t="shared" si="2"/>
        <v>SRNC_WAD_WW_PR19CA008</v>
      </c>
      <c r="D163" s="9" t="s">
        <v>66</v>
      </c>
      <c r="E163" s="9" t="s">
        <v>82</v>
      </c>
      <c r="F163" s="135" t="s">
        <v>3</v>
      </c>
      <c r="G163" s="137" t="s">
        <v>50</v>
      </c>
      <c r="H163" s="9">
        <f>_xlfn.IFNA(INDEX('Forecast drivers'!$O$5:$Y$57, MATCH(F_Interface!$A163&amp;RIGHT(F_Interface!H$2, 2),'Forecast drivers'!$A$5:$A$57, 0), MATCH(F_Interface!$D163,'Forecast drivers'!$O$5:$Y$5, 0)),0)</f>
        <v>1505.8977195763903</v>
      </c>
      <c r="I163" s="9">
        <f>_xlfn.IFNA(INDEX('Forecast drivers'!$O$5:$Y$57, MATCH(F_Interface!$A163&amp;RIGHT(F_Interface!I$2, 2),'Forecast drivers'!$A$5:$A$57, 0), MATCH(F_Interface!$D163,'Forecast drivers'!$O$5:$Y$5, 0)),0)</f>
        <v>1163.4383261057387</v>
      </c>
      <c r="J163" s="9">
        <f>_xlfn.IFNA(INDEX('Forecast drivers'!$O$5:$Y$57, MATCH(F_Interface!$A163&amp;RIGHT(F_Interface!J$2, 2),'Forecast drivers'!$A$5:$A$57, 0), MATCH(F_Interface!$D163,'Forecast drivers'!$O$5:$Y$5, 0)),0)</f>
        <v>850.01735663453962</v>
      </c>
      <c r="K163" s="9">
        <f>_xlfn.IFNA(INDEX('Forecast drivers'!$O$5:$Y$57, MATCH(F_Interface!$A163&amp;RIGHT(F_Interface!K$2, 2),'Forecast drivers'!$A$5:$A$57, 0), MATCH(F_Interface!$D163,'Forecast drivers'!$O$5:$Y$5, 0)),0)</f>
        <v>1525.8247021392649</v>
      </c>
      <c r="L163" s="9">
        <f>_xlfn.IFNA(INDEX('Forecast drivers'!$O$5:$Y$57, MATCH(F_Interface!$A163&amp;RIGHT(F_Interface!L$2, 2),'Forecast drivers'!$A$5:$A$57, 0), MATCH(F_Interface!$D163,'Forecast drivers'!$O$5:$Y$5, 0)),0)</f>
        <v>1533.1636862935106</v>
      </c>
    </row>
    <row r="164" spans="1:12" x14ac:dyDescent="0.2">
      <c r="A164" s="10" t="s">
        <v>116</v>
      </c>
      <c r="B164" s="10" t="s">
        <v>142</v>
      </c>
      <c r="C164" s="10" t="str">
        <f t="shared" si="2"/>
        <v>SVEC_WAD_WW_PR19CA008</v>
      </c>
      <c r="D164" s="9" t="s">
        <v>66</v>
      </c>
      <c r="E164" s="9" t="s">
        <v>82</v>
      </c>
      <c r="F164" s="135" t="s">
        <v>3</v>
      </c>
      <c r="G164" s="9" t="s">
        <v>50</v>
      </c>
      <c r="H164" s="9">
        <f>_xlfn.IFNA(INDEX('Forecast drivers'!$O$5:$Y$57, MATCH(F_Interface!$A164&amp;RIGHT(F_Interface!H$2, 2),'Forecast drivers'!$A$5:$A$57, 0), MATCH(F_Interface!$D164,'Forecast drivers'!$O$5:$Y$5, 0)),0)</f>
        <v>0</v>
      </c>
      <c r="I164" s="9">
        <f>_xlfn.IFNA(INDEX('Forecast drivers'!$O$5:$Y$57, MATCH(F_Interface!$A164&amp;RIGHT(F_Interface!I$2, 2),'Forecast drivers'!$A$5:$A$57, 0), MATCH(F_Interface!$D164,'Forecast drivers'!$O$5:$Y$5, 0)),0)</f>
        <v>0</v>
      </c>
      <c r="J164" s="9">
        <f>_xlfn.IFNA(INDEX('Forecast drivers'!$O$5:$Y$57, MATCH(F_Interface!$A164&amp;RIGHT(F_Interface!J$2, 2),'Forecast drivers'!$A$5:$A$57, 0), MATCH(F_Interface!$D164,'Forecast drivers'!$O$5:$Y$5, 0)),0)</f>
        <v>0</v>
      </c>
      <c r="K164" s="9">
        <f>_xlfn.IFNA(INDEX('Forecast drivers'!$O$5:$Y$57, MATCH(F_Interface!$A164&amp;RIGHT(F_Interface!K$2, 2),'Forecast drivers'!$A$5:$A$57, 0), MATCH(F_Interface!$D164,'Forecast drivers'!$O$5:$Y$5, 0)),0)</f>
        <v>0</v>
      </c>
      <c r="L164" s="9">
        <f>_xlfn.IFNA(INDEX('Forecast drivers'!$O$5:$Y$57, MATCH(F_Interface!$A164&amp;RIGHT(F_Interface!L$2, 2),'Forecast drivers'!$A$5:$A$57, 0), MATCH(F_Interface!$D164,'Forecast drivers'!$O$5:$Y$5, 0)),0)</f>
        <v>0</v>
      </c>
    </row>
    <row r="165" spans="1:12" x14ac:dyDescent="0.2">
      <c r="A165" s="10" t="s">
        <v>101</v>
      </c>
      <c r="B165" s="10" t="s">
        <v>142</v>
      </c>
      <c r="C165" s="10" t="str">
        <f t="shared" si="2"/>
        <v>SVHC_WAD_WW_PR19CA008</v>
      </c>
      <c r="D165" s="9" t="s">
        <v>66</v>
      </c>
      <c r="E165" s="9" t="s">
        <v>82</v>
      </c>
      <c r="F165" s="135" t="s">
        <v>3</v>
      </c>
      <c r="G165" s="9" t="s">
        <v>50</v>
      </c>
      <c r="H165" s="9">
        <f>_xlfn.IFNA(INDEX('Forecast drivers'!$O$5:$Y$57, MATCH(F_Interface!$A165&amp;RIGHT(F_Interface!H$2, 2),'Forecast drivers'!$A$5:$A$57, 0), MATCH(F_Interface!$D165,'Forecast drivers'!$O$5:$Y$5, 0)),0)</f>
        <v>2062.4698944381225</v>
      </c>
      <c r="I165" s="9">
        <f>_xlfn.IFNA(INDEX('Forecast drivers'!$O$5:$Y$57, MATCH(F_Interface!$A165&amp;RIGHT(F_Interface!I$2, 2),'Forecast drivers'!$A$5:$A$57, 0), MATCH(F_Interface!$D165,'Forecast drivers'!$O$5:$Y$5, 0)),0)</f>
        <v>2075.3539192680873</v>
      </c>
      <c r="J165" s="9">
        <f>_xlfn.IFNA(INDEX('Forecast drivers'!$O$5:$Y$57, MATCH(F_Interface!$A165&amp;RIGHT(F_Interface!J$2, 2),'Forecast drivers'!$A$5:$A$57, 0), MATCH(F_Interface!$D165,'Forecast drivers'!$O$5:$Y$5, 0)),0)</f>
        <v>2088.0400300980918</v>
      </c>
      <c r="K165" s="9">
        <f>_xlfn.IFNA(INDEX('Forecast drivers'!$O$5:$Y$57, MATCH(F_Interface!$A165&amp;RIGHT(F_Interface!K$2, 2),'Forecast drivers'!$A$5:$A$57, 0), MATCH(F_Interface!$D165,'Forecast drivers'!$O$5:$Y$5, 0)),0)</f>
        <v>2100.5449959327616</v>
      </c>
      <c r="L165" s="9">
        <f>_xlfn.IFNA(INDEX('Forecast drivers'!$O$5:$Y$57, MATCH(F_Interface!$A165&amp;RIGHT(F_Interface!L$2, 2),'Forecast drivers'!$A$5:$A$57, 0), MATCH(F_Interface!$D165,'Forecast drivers'!$O$5:$Y$5, 0)),0)</f>
        <v>2113.3711037260032</v>
      </c>
    </row>
    <row r="166" spans="1:12" x14ac:dyDescent="0.2">
      <c r="A166" s="10" t="s">
        <v>8</v>
      </c>
      <c r="B166" s="10" t="s">
        <v>142</v>
      </c>
      <c r="C166" s="10" t="str">
        <f t="shared" si="2"/>
        <v>SVTC_WAD_WW_PR19CA008</v>
      </c>
      <c r="D166" s="9" t="s">
        <v>66</v>
      </c>
      <c r="E166" s="9" t="s">
        <v>82</v>
      </c>
      <c r="F166" s="135" t="s">
        <v>3</v>
      </c>
      <c r="G166" s="9" t="s">
        <v>50</v>
      </c>
      <c r="H166" s="9">
        <f>_xlfn.IFNA(INDEX('Forecast drivers'!$O$5:$Y$57, MATCH(F_Interface!$A166&amp;RIGHT(F_Interface!H$2, 2),'Forecast drivers'!$A$5:$A$57, 0), MATCH(F_Interface!$D166,'Forecast drivers'!$O$5:$Y$5, 0)),0)</f>
        <v>0</v>
      </c>
      <c r="I166" s="9">
        <f>_xlfn.IFNA(INDEX('Forecast drivers'!$O$5:$Y$57, MATCH(F_Interface!$A166&amp;RIGHT(F_Interface!I$2, 2),'Forecast drivers'!$A$5:$A$57, 0), MATCH(F_Interface!$D166,'Forecast drivers'!$O$5:$Y$5, 0)),0)</f>
        <v>0</v>
      </c>
      <c r="J166" s="9">
        <f>_xlfn.IFNA(INDEX('Forecast drivers'!$O$5:$Y$57, MATCH(F_Interface!$A166&amp;RIGHT(F_Interface!J$2, 2),'Forecast drivers'!$A$5:$A$57, 0), MATCH(F_Interface!$D166,'Forecast drivers'!$O$5:$Y$5, 0)),0)</f>
        <v>0</v>
      </c>
      <c r="K166" s="9">
        <f>_xlfn.IFNA(INDEX('Forecast drivers'!$O$5:$Y$57, MATCH(F_Interface!$A166&amp;RIGHT(F_Interface!K$2, 2),'Forecast drivers'!$A$5:$A$57, 0), MATCH(F_Interface!$D166,'Forecast drivers'!$O$5:$Y$5, 0)),0)</f>
        <v>0</v>
      </c>
      <c r="L166" s="9">
        <f>_xlfn.IFNA(INDEX('Forecast drivers'!$O$5:$Y$57, MATCH(F_Interface!$A166&amp;RIGHT(F_Interface!L$2, 2),'Forecast drivers'!$A$5:$A$57, 0), MATCH(F_Interface!$D166,'Forecast drivers'!$O$5:$Y$5, 0)),0)</f>
        <v>0</v>
      </c>
    </row>
    <row r="167" spans="1:12" x14ac:dyDescent="0.2">
      <c r="A167" s="10" t="s">
        <v>12</v>
      </c>
      <c r="B167" s="10" t="s">
        <v>142</v>
      </c>
      <c r="C167" s="10" t="str">
        <f t="shared" si="2"/>
        <v>SWBC_WAD_WW_PR19CA008</v>
      </c>
      <c r="D167" s="9" t="s">
        <v>66</v>
      </c>
      <c r="E167" s="9" t="s">
        <v>82</v>
      </c>
      <c r="F167" s="135" t="s">
        <v>3</v>
      </c>
      <c r="G167" s="9" t="s">
        <v>50</v>
      </c>
      <c r="H167" s="9">
        <f>_xlfn.IFNA(INDEX('Forecast drivers'!$O$5:$Y$57, MATCH(F_Interface!$A167&amp;RIGHT(F_Interface!H$2, 2),'Forecast drivers'!$A$5:$A$57, 0), MATCH(F_Interface!$D167,'Forecast drivers'!$O$5:$Y$5, 0)),0)</f>
        <v>967.12522604413061</v>
      </c>
      <c r="I167" s="9">
        <f>_xlfn.IFNA(INDEX('Forecast drivers'!$O$5:$Y$57, MATCH(F_Interface!$A167&amp;RIGHT(F_Interface!I$2, 2),'Forecast drivers'!$A$5:$A$57, 0), MATCH(F_Interface!$D167,'Forecast drivers'!$O$5:$Y$5, 0)),0)</f>
        <v>968.74371815607265</v>
      </c>
      <c r="J167" s="9">
        <f>_xlfn.IFNA(INDEX('Forecast drivers'!$O$5:$Y$57, MATCH(F_Interface!$A167&amp;RIGHT(F_Interface!J$2, 2),'Forecast drivers'!$A$5:$A$57, 0), MATCH(F_Interface!$D167,'Forecast drivers'!$O$5:$Y$5, 0)),0)</f>
        <v>970.3941476584921</v>
      </c>
      <c r="K167" s="9">
        <f>_xlfn.IFNA(INDEX('Forecast drivers'!$O$5:$Y$57, MATCH(F_Interface!$A167&amp;RIGHT(F_Interface!K$2, 2),'Forecast drivers'!$A$5:$A$57, 0), MATCH(F_Interface!$D167,'Forecast drivers'!$O$5:$Y$5, 0)),0)</f>
        <v>972.64577858234168</v>
      </c>
      <c r="L167" s="9">
        <f>_xlfn.IFNA(INDEX('Forecast drivers'!$O$5:$Y$57, MATCH(F_Interface!$A167&amp;RIGHT(F_Interface!L$2, 2),'Forecast drivers'!$A$5:$A$57, 0), MATCH(F_Interface!$D167,'Forecast drivers'!$O$5:$Y$5, 0)),0)</f>
        <v>976.09069737285165</v>
      </c>
    </row>
    <row r="168" spans="1:12" x14ac:dyDescent="0.2">
      <c r="A168" s="10" t="s">
        <v>9</v>
      </c>
      <c r="B168" s="10" t="s">
        <v>142</v>
      </c>
      <c r="C168" s="10" t="str">
        <f t="shared" si="2"/>
        <v>TMSC_WAD_WW_PR19CA008</v>
      </c>
      <c r="D168" s="9" t="s">
        <v>66</v>
      </c>
      <c r="E168" s="9" t="s">
        <v>82</v>
      </c>
      <c r="F168" s="135" t="s">
        <v>3</v>
      </c>
      <c r="G168" s="9" t="s">
        <v>50</v>
      </c>
      <c r="H168" s="9">
        <f>_xlfn.IFNA(INDEX('Forecast drivers'!$O$5:$Y$57, MATCH(F_Interface!$A168&amp;RIGHT(F_Interface!H$2, 2),'Forecast drivers'!$A$5:$A$57, 0), MATCH(F_Interface!$D168,'Forecast drivers'!$O$5:$Y$5, 0)),0)</f>
        <v>5256.2379790689884</v>
      </c>
      <c r="I168" s="9">
        <f>_xlfn.IFNA(INDEX('Forecast drivers'!$O$5:$Y$57, MATCH(F_Interface!$A168&amp;RIGHT(F_Interface!I$2, 2),'Forecast drivers'!$A$5:$A$57, 0), MATCH(F_Interface!$D168,'Forecast drivers'!$O$5:$Y$5, 0)),0)</f>
        <v>5304.5168870337366</v>
      </c>
      <c r="J168" s="9">
        <f>_xlfn.IFNA(INDEX('Forecast drivers'!$O$5:$Y$57, MATCH(F_Interface!$A168&amp;RIGHT(F_Interface!J$2, 2),'Forecast drivers'!$A$5:$A$57, 0), MATCH(F_Interface!$D168,'Forecast drivers'!$O$5:$Y$5, 0)),0)</f>
        <v>5348.1074522519875</v>
      </c>
      <c r="K168" s="9">
        <f>_xlfn.IFNA(INDEX('Forecast drivers'!$O$5:$Y$57, MATCH(F_Interface!$A168&amp;RIGHT(F_Interface!K$2, 2),'Forecast drivers'!$A$5:$A$57, 0), MATCH(F_Interface!$D168,'Forecast drivers'!$O$5:$Y$5, 0)),0)</f>
        <v>5386.8944370716272</v>
      </c>
      <c r="L168" s="9">
        <f>_xlfn.IFNA(INDEX('Forecast drivers'!$O$5:$Y$57, MATCH(F_Interface!$A168&amp;RIGHT(F_Interface!L$2, 2),'Forecast drivers'!$A$5:$A$57, 0), MATCH(F_Interface!$D168,'Forecast drivers'!$O$5:$Y$5, 0)),0)</f>
        <v>5424.3775721638922</v>
      </c>
    </row>
    <row r="169" spans="1:12" x14ac:dyDescent="0.2">
      <c r="A169" s="10" t="s">
        <v>15</v>
      </c>
      <c r="B169" s="10" t="s">
        <v>142</v>
      </c>
      <c r="C169" s="10" t="str">
        <f t="shared" si="2"/>
        <v>WSHC_WAD_WW_PR19CA008</v>
      </c>
      <c r="D169" s="9" t="s">
        <v>66</v>
      </c>
      <c r="E169" s="9" t="s">
        <v>82</v>
      </c>
      <c r="F169" s="135" t="s">
        <v>3</v>
      </c>
      <c r="G169" s="9" t="s">
        <v>50</v>
      </c>
      <c r="H169" s="9">
        <f>_xlfn.IFNA(INDEX('Forecast drivers'!$O$5:$Y$57, MATCH(F_Interface!$A169&amp;RIGHT(F_Interface!H$2, 2),'Forecast drivers'!$A$5:$A$57, 0), MATCH(F_Interface!$D169,'Forecast drivers'!$O$5:$Y$5, 0)),0)</f>
        <v>600.64525714551667</v>
      </c>
      <c r="I169" s="9">
        <f>_xlfn.IFNA(INDEX('Forecast drivers'!$O$5:$Y$57, MATCH(F_Interface!$A169&amp;RIGHT(F_Interface!I$2, 2),'Forecast drivers'!$A$5:$A$57, 0), MATCH(F_Interface!$D169,'Forecast drivers'!$O$5:$Y$5, 0)),0)</f>
        <v>605.59382417043776</v>
      </c>
      <c r="J169" s="9">
        <f>_xlfn.IFNA(INDEX('Forecast drivers'!$O$5:$Y$57, MATCH(F_Interface!$A169&amp;RIGHT(F_Interface!J$2, 2),'Forecast drivers'!$A$5:$A$57, 0), MATCH(F_Interface!$D169,'Forecast drivers'!$O$5:$Y$5, 0)),0)</f>
        <v>610.68365500714197</v>
      </c>
      <c r="K169" s="9">
        <f>_xlfn.IFNA(INDEX('Forecast drivers'!$O$5:$Y$57, MATCH(F_Interface!$A169&amp;RIGHT(F_Interface!K$2, 2),'Forecast drivers'!$A$5:$A$57, 0), MATCH(F_Interface!$D169,'Forecast drivers'!$O$5:$Y$5, 0)),0)</f>
        <v>615.9023564309872</v>
      </c>
      <c r="L169" s="9">
        <f>_xlfn.IFNA(INDEX('Forecast drivers'!$O$5:$Y$57, MATCH(F_Interface!$A169&amp;RIGHT(F_Interface!L$2, 2),'Forecast drivers'!$A$5:$A$57, 0), MATCH(F_Interface!$D169,'Forecast drivers'!$O$5:$Y$5, 0)),0)</f>
        <v>621.19794760998286</v>
      </c>
    </row>
    <row r="170" spans="1:12" x14ac:dyDescent="0.2">
      <c r="A170" s="10" t="s">
        <v>10</v>
      </c>
      <c r="B170" s="10" t="s">
        <v>142</v>
      </c>
      <c r="C170" s="10" t="str">
        <f t="shared" ref="C170:C233" si="3">A170&amp;B170</f>
        <v>WSXC_WAD_WW_PR19CA008</v>
      </c>
      <c r="D170" s="9" t="s">
        <v>66</v>
      </c>
      <c r="E170" s="9" t="s">
        <v>82</v>
      </c>
      <c r="F170" s="135" t="s">
        <v>3</v>
      </c>
      <c r="G170" s="10" t="s">
        <v>50</v>
      </c>
      <c r="H170" s="9">
        <f>_xlfn.IFNA(INDEX('Forecast drivers'!$O$5:$Y$57, MATCH(F_Interface!$A170&amp;RIGHT(F_Interface!H$2, 2),'Forecast drivers'!$A$5:$A$57, 0), MATCH(F_Interface!$D170,'Forecast drivers'!$O$5:$Y$5, 0)),0)</f>
        <v>1376.5771025666932</v>
      </c>
      <c r="I170" s="9">
        <f>_xlfn.IFNA(INDEX('Forecast drivers'!$O$5:$Y$57, MATCH(F_Interface!$A170&amp;RIGHT(F_Interface!I$2, 2),'Forecast drivers'!$A$5:$A$57, 0), MATCH(F_Interface!$D170,'Forecast drivers'!$O$5:$Y$5, 0)),0)</f>
        <v>1386.8423825831203</v>
      </c>
      <c r="J170" s="9">
        <f>_xlfn.IFNA(INDEX('Forecast drivers'!$O$5:$Y$57, MATCH(F_Interface!$A170&amp;RIGHT(F_Interface!J$2, 2),'Forecast drivers'!$A$5:$A$57, 0), MATCH(F_Interface!$D170,'Forecast drivers'!$O$5:$Y$5, 0)),0)</f>
        <v>1397.1235892825493</v>
      </c>
      <c r="K170" s="9">
        <f>_xlfn.IFNA(INDEX('Forecast drivers'!$O$5:$Y$57, MATCH(F_Interface!$A170&amp;RIGHT(F_Interface!K$2, 2),'Forecast drivers'!$A$5:$A$57, 0), MATCH(F_Interface!$D170,'Forecast drivers'!$O$5:$Y$5, 0)),0)</f>
        <v>1407.1829786979897</v>
      </c>
      <c r="L170" s="9">
        <f>_xlfn.IFNA(INDEX('Forecast drivers'!$O$5:$Y$57, MATCH(F_Interface!$A170&amp;RIGHT(F_Interface!L$2, 2),'Forecast drivers'!$A$5:$A$57, 0), MATCH(F_Interface!$D170,'Forecast drivers'!$O$5:$Y$5, 0)),0)</f>
        <v>1417.9304408039566</v>
      </c>
    </row>
    <row r="171" spans="1:12" x14ac:dyDescent="0.2">
      <c r="A171" s="10" t="s">
        <v>11</v>
      </c>
      <c r="B171" s="10" t="s">
        <v>142</v>
      </c>
      <c r="C171" s="10" t="str">
        <f t="shared" si="3"/>
        <v>YKYC_WAD_WW_PR19CA008</v>
      </c>
      <c r="D171" s="9" t="s">
        <v>66</v>
      </c>
      <c r="E171" s="9" t="s">
        <v>82</v>
      </c>
      <c r="F171" s="135" t="s">
        <v>3</v>
      </c>
      <c r="G171" s="10" t="s">
        <v>50</v>
      </c>
      <c r="H171" s="9">
        <f>_xlfn.IFNA(INDEX('Forecast drivers'!$O$5:$Y$57, MATCH(F_Interface!$A171&amp;RIGHT(F_Interface!H$2, 2),'Forecast drivers'!$A$5:$A$57, 0), MATCH(F_Interface!$D171,'Forecast drivers'!$O$5:$Y$5, 0)),0)</f>
        <v>1102.8751252784677</v>
      </c>
      <c r="I171" s="9">
        <f>_xlfn.IFNA(INDEX('Forecast drivers'!$O$5:$Y$57, MATCH(F_Interface!$A171&amp;RIGHT(F_Interface!I$2, 2),'Forecast drivers'!$A$5:$A$57, 0), MATCH(F_Interface!$D171,'Forecast drivers'!$O$5:$Y$5, 0)),0)</f>
        <v>1106.4940375008885</v>
      </c>
      <c r="J171" s="9">
        <f>_xlfn.IFNA(INDEX('Forecast drivers'!$O$5:$Y$57, MATCH(F_Interface!$A171&amp;RIGHT(F_Interface!J$2, 2),'Forecast drivers'!$A$5:$A$57, 0), MATCH(F_Interface!$D171,'Forecast drivers'!$O$5:$Y$5, 0)),0)</f>
        <v>1109.9479463639955</v>
      </c>
      <c r="K171" s="9">
        <f>_xlfn.IFNA(INDEX('Forecast drivers'!$O$5:$Y$57, MATCH(F_Interface!$A171&amp;RIGHT(F_Interface!K$2, 2),'Forecast drivers'!$A$5:$A$57, 0), MATCH(F_Interface!$D171,'Forecast drivers'!$O$5:$Y$5, 0)),0)</f>
        <v>1113.4891256422713</v>
      </c>
      <c r="L171" s="9">
        <f>_xlfn.IFNA(INDEX('Forecast drivers'!$O$5:$Y$57, MATCH(F_Interface!$A171&amp;RIGHT(F_Interface!L$2, 2),'Forecast drivers'!$A$5:$A$57, 0), MATCH(F_Interface!$D171,'Forecast drivers'!$O$5:$Y$5, 0)),0)</f>
        <v>1117.0770294119213</v>
      </c>
    </row>
    <row r="172" spans="1:12" x14ac:dyDescent="0.2">
      <c r="A172" s="10" t="s">
        <v>4</v>
      </c>
      <c r="B172" s="10" t="s">
        <v>143</v>
      </c>
      <c r="C172" s="10" t="str">
        <f t="shared" si="3"/>
        <v>ANHC_STW_PP_PR19CA008</v>
      </c>
      <c r="D172" s="9" t="s">
        <v>67</v>
      </c>
      <c r="E172" s="9" t="s">
        <v>83</v>
      </c>
      <c r="F172" s="135" t="s">
        <v>3</v>
      </c>
      <c r="G172" s="10" t="s">
        <v>50</v>
      </c>
      <c r="H172" s="144">
        <f>_xlfn.IFNA(INDEX('Forecast drivers'!$O$5:$Y$57, MATCH(F_Interface!$A172&amp;RIGHT(F_Interface!H$2, 2),'Forecast drivers'!$A$5:$A$57, 0), MATCH(F_Interface!$D172,'Forecast drivers'!$O$5:$Y$5, 0)),0)</f>
        <v>4.0285698259556627E-4</v>
      </c>
      <c r="I172" s="144">
        <f>_xlfn.IFNA(INDEX('Forecast drivers'!$O$5:$Y$57, MATCH(F_Interface!$A172&amp;RIGHT(F_Interface!I$2, 2),'Forecast drivers'!$A$5:$A$57, 0), MATCH(F_Interface!$D172,'Forecast drivers'!$O$5:$Y$5, 0)),0)</f>
        <v>3.9987132833301794E-4</v>
      </c>
      <c r="J172" s="144">
        <f>_xlfn.IFNA(INDEX('Forecast drivers'!$O$5:$Y$57, MATCH(F_Interface!$A172&amp;RIGHT(F_Interface!J$2, 2),'Forecast drivers'!$A$5:$A$57, 0), MATCH(F_Interface!$D172,'Forecast drivers'!$O$5:$Y$5, 0)),0)</f>
        <v>3.9632118819310849E-4</v>
      </c>
      <c r="K172" s="144">
        <f>_xlfn.IFNA(INDEX('Forecast drivers'!$O$5:$Y$57, MATCH(F_Interface!$A172&amp;RIGHT(F_Interface!K$2, 2),'Forecast drivers'!$A$5:$A$57, 0), MATCH(F_Interface!$D172,'Forecast drivers'!$O$5:$Y$5, 0)),0)</f>
        <v>3.929670932321699E-4</v>
      </c>
      <c r="L172" s="144">
        <f>_xlfn.IFNA(INDEX('Forecast drivers'!$O$5:$Y$57, MATCH(F_Interface!$A172&amp;RIGHT(F_Interface!L$2, 2),'Forecast drivers'!$A$5:$A$57, 0), MATCH(F_Interface!$D172,'Forecast drivers'!$O$5:$Y$5, 0)),0)</f>
        <v>3.8967847653957903E-4</v>
      </c>
    </row>
    <row r="173" spans="1:12" x14ac:dyDescent="0.2">
      <c r="A173" s="10" t="s">
        <v>87</v>
      </c>
      <c r="B173" s="10" t="s">
        <v>143</v>
      </c>
      <c r="C173" s="10" t="str">
        <f t="shared" si="3"/>
        <v>HDDC_STW_PP_PR19CA008</v>
      </c>
      <c r="D173" s="9" t="s">
        <v>67</v>
      </c>
      <c r="E173" s="9" t="s">
        <v>83</v>
      </c>
      <c r="F173" s="135" t="s">
        <v>3</v>
      </c>
      <c r="G173" s="10" t="s">
        <v>50</v>
      </c>
      <c r="H173" s="144">
        <f>_xlfn.IFNA(INDEX('Forecast drivers'!$O$5:$Y$57, MATCH(F_Interface!$A173&amp;RIGHT(F_Interface!H$2, 2),'Forecast drivers'!$A$5:$A$57, 0), MATCH(F_Interface!$D173,'Forecast drivers'!$O$5:$Y$5, 0)),0)</f>
        <v>0</v>
      </c>
      <c r="I173" s="144">
        <f>_xlfn.IFNA(INDEX('Forecast drivers'!$O$5:$Y$57, MATCH(F_Interface!$A173&amp;RIGHT(F_Interface!I$2, 2),'Forecast drivers'!$A$5:$A$57, 0), MATCH(F_Interface!$D173,'Forecast drivers'!$O$5:$Y$5, 0)),0)</f>
        <v>0</v>
      </c>
      <c r="J173" s="144">
        <f>_xlfn.IFNA(INDEX('Forecast drivers'!$O$5:$Y$57, MATCH(F_Interface!$A173&amp;RIGHT(F_Interface!J$2, 2),'Forecast drivers'!$A$5:$A$57, 0), MATCH(F_Interface!$D173,'Forecast drivers'!$O$5:$Y$5, 0)),0)</f>
        <v>0</v>
      </c>
      <c r="K173" s="144">
        <f>_xlfn.IFNA(INDEX('Forecast drivers'!$O$5:$Y$57, MATCH(F_Interface!$A173&amp;RIGHT(F_Interface!K$2, 2),'Forecast drivers'!$A$5:$A$57, 0), MATCH(F_Interface!$D173,'Forecast drivers'!$O$5:$Y$5, 0)),0)</f>
        <v>0</v>
      </c>
      <c r="L173" s="144">
        <f>_xlfn.IFNA(INDEX('Forecast drivers'!$O$5:$Y$57, MATCH(F_Interface!$A173&amp;RIGHT(F_Interface!L$2, 2),'Forecast drivers'!$A$5:$A$57, 0), MATCH(F_Interface!$D173,'Forecast drivers'!$O$5:$Y$5, 0)),0)</f>
        <v>0</v>
      </c>
    </row>
    <row r="174" spans="1:12" x14ac:dyDescent="0.2">
      <c r="A174" s="10" t="s">
        <v>5</v>
      </c>
      <c r="B174" s="10" t="s">
        <v>143</v>
      </c>
      <c r="C174" s="10" t="str">
        <f t="shared" si="3"/>
        <v>NESC_STW_PP_PR19CA008</v>
      </c>
      <c r="D174" s="9" t="s">
        <v>67</v>
      </c>
      <c r="E174" s="9" t="s">
        <v>83</v>
      </c>
      <c r="F174" s="135" t="s">
        <v>3</v>
      </c>
      <c r="G174" s="10" t="s">
        <v>50</v>
      </c>
      <c r="H174" s="144">
        <f>_xlfn.IFNA(INDEX('Forecast drivers'!$O$5:$Y$57, MATCH(F_Interface!$A174&amp;RIGHT(F_Interface!H$2, 2),'Forecast drivers'!$A$5:$A$57, 0), MATCH(F_Interface!$D174,'Forecast drivers'!$O$5:$Y$5, 0)),0)</f>
        <v>3.2286690910403478E-4</v>
      </c>
      <c r="I174" s="144">
        <f>_xlfn.IFNA(INDEX('Forecast drivers'!$O$5:$Y$57, MATCH(F_Interface!$A174&amp;RIGHT(F_Interface!I$2, 2),'Forecast drivers'!$A$5:$A$57, 0), MATCH(F_Interface!$D174,'Forecast drivers'!$O$5:$Y$5, 0)),0)</f>
        <v>3.2181774146617265E-4</v>
      </c>
      <c r="J174" s="144">
        <f>_xlfn.IFNA(INDEX('Forecast drivers'!$O$5:$Y$57, MATCH(F_Interface!$A174&amp;RIGHT(F_Interface!J$2, 2),'Forecast drivers'!$A$5:$A$57, 0), MATCH(F_Interface!$D174,'Forecast drivers'!$O$5:$Y$5, 0)),0)</f>
        <v>3.2072583767805599E-4</v>
      </c>
      <c r="K174" s="144">
        <f>_xlfn.IFNA(INDEX('Forecast drivers'!$O$5:$Y$57, MATCH(F_Interface!$A174&amp;RIGHT(F_Interface!K$2, 2),'Forecast drivers'!$A$5:$A$57, 0), MATCH(F_Interface!$D174,'Forecast drivers'!$O$5:$Y$5, 0)),0)</f>
        <v>3.1974435120137452E-4</v>
      </c>
      <c r="L174" s="144">
        <f>_xlfn.IFNA(INDEX('Forecast drivers'!$O$5:$Y$57, MATCH(F_Interface!$A174&amp;RIGHT(F_Interface!L$2, 2),'Forecast drivers'!$A$5:$A$57, 0), MATCH(F_Interface!$D174,'Forecast drivers'!$O$5:$Y$5, 0)),0)</f>
        <v>3.1876169687136636E-4</v>
      </c>
    </row>
    <row r="175" spans="1:12" x14ac:dyDescent="0.2">
      <c r="A175" s="10" t="s">
        <v>6</v>
      </c>
      <c r="B175" s="10" t="s">
        <v>143</v>
      </c>
      <c r="C175" s="10" t="str">
        <f t="shared" si="3"/>
        <v>NWTC_STW_PP_PR19CA008</v>
      </c>
      <c r="D175" s="9" t="s">
        <v>67</v>
      </c>
      <c r="E175" s="9" t="s">
        <v>83</v>
      </c>
      <c r="F175" s="135" t="s">
        <v>3</v>
      </c>
      <c r="G175" s="137" t="s">
        <v>50</v>
      </c>
      <c r="H175" s="144">
        <f>_xlfn.IFNA(INDEX('Forecast drivers'!$O$5:$Y$57, MATCH(F_Interface!$A175&amp;RIGHT(F_Interface!H$2, 2),'Forecast drivers'!$A$5:$A$57, 0), MATCH(F_Interface!$D175,'Forecast drivers'!$O$5:$Y$5, 0)),0)</f>
        <v>1.6632369385107446E-4</v>
      </c>
      <c r="I175" s="144">
        <f>_xlfn.IFNA(INDEX('Forecast drivers'!$O$5:$Y$57, MATCH(F_Interface!$A175&amp;RIGHT(F_Interface!I$2, 2),'Forecast drivers'!$A$5:$A$57, 0), MATCH(F_Interface!$D175,'Forecast drivers'!$O$5:$Y$5, 0)),0)</f>
        <v>1.6529215859306334E-4</v>
      </c>
      <c r="J175" s="144">
        <f>_xlfn.IFNA(INDEX('Forecast drivers'!$O$5:$Y$57, MATCH(F_Interface!$A175&amp;RIGHT(F_Interface!J$2, 2),'Forecast drivers'!$A$5:$A$57, 0), MATCH(F_Interface!$D175,'Forecast drivers'!$O$5:$Y$5, 0)),0)</f>
        <v>1.6449632184092327E-4</v>
      </c>
      <c r="K175" s="144">
        <f>_xlfn.IFNA(INDEX('Forecast drivers'!$O$5:$Y$57, MATCH(F_Interface!$A175&amp;RIGHT(F_Interface!K$2, 2),'Forecast drivers'!$A$5:$A$57, 0), MATCH(F_Interface!$D175,'Forecast drivers'!$O$5:$Y$5, 0)),0)</f>
        <v>1.6377482052836454E-4</v>
      </c>
      <c r="L175" s="144">
        <f>_xlfn.IFNA(INDEX('Forecast drivers'!$O$5:$Y$57, MATCH(F_Interface!$A175&amp;RIGHT(F_Interface!L$2, 2),'Forecast drivers'!$A$5:$A$57, 0), MATCH(F_Interface!$D175,'Forecast drivers'!$O$5:$Y$5, 0)),0)</f>
        <v>1.6307445734140881E-4</v>
      </c>
    </row>
    <row r="176" spans="1:12" x14ac:dyDescent="0.2">
      <c r="A176" s="10" t="s">
        <v>7</v>
      </c>
      <c r="B176" s="10" t="s">
        <v>143</v>
      </c>
      <c r="C176" s="10" t="str">
        <f t="shared" si="3"/>
        <v>SRNC_STW_PP_PR19CA008</v>
      </c>
      <c r="D176" s="9" t="s">
        <v>67</v>
      </c>
      <c r="E176" s="9" t="s">
        <v>83</v>
      </c>
      <c r="F176" s="135" t="s">
        <v>3</v>
      </c>
      <c r="G176" s="10" t="s">
        <v>50</v>
      </c>
      <c r="H176" s="144">
        <f>_xlfn.IFNA(INDEX('Forecast drivers'!$O$5:$Y$57, MATCH(F_Interface!$A176&amp;RIGHT(F_Interface!H$2, 2),'Forecast drivers'!$A$5:$A$57, 0), MATCH(F_Interface!$D176,'Forecast drivers'!$O$5:$Y$5, 0)),0)</f>
        <v>1.8029899875602159E-4</v>
      </c>
      <c r="I176" s="144">
        <f>_xlfn.IFNA(INDEX('Forecast drivers'!$O$5:$Y$57, MATCH(F_Interface!$A176&amp;RIGHT(F_Interface!I$2, 2),'Forecast drivers'!$A$5:$A$57, 0), MATCH(F_Interface!$D176,'Forecast drivers'!$O$5:$Y$5, 0)),0)</f>
        <v>1.7891789597095447E-4</v>
      </c>
      <c r="J176" s="144">
        <f>_xlfn.IFNA(INDEX('Forecast drivers'!$O$5:$Y$57, MATCH(F_Interface!$A176&amp;RIGHT(F_Interface!J$2, 2),'Forecast drivers'!$A$5:$A$57, 0), MATCH(F_Interface!$D176,'Forecast drivers'!$O$5:$Y$5, 0)),0)</f>
        <v>1.7730081795552541E-4</v>
      </c>
      <c r="K176" s="144">
        <f>_xlfn.IFNA(INDEX('Forecast drivers'!$O$5:$Y$57, MATCH(F_Interface!$A176&amp;RIGHT(F_Interface!K$2, 2),'Forecast drivers'!$A$5:$A$57, 0), MATCH(F_Interface!$D176,'Forecast drivers'!$O$5:$Y$5, 0)),0)</f>
        <v>1.7574923467565667E-4</v>
      </c>
      <c r="L176" s="144">
        <f>_xlfn.IFNA(INDEX('Forecast drivers'!$O$5:$Y$57, MATCH(F_Interface!$A176&amp;RIGHT(F_Interface!L$2, 2),'Forecast drivers'!$A$5:$A$57, 0), MATCH(F_Interface!$D176,'Forecast drivers'!$O$5:$Y$5, 0)),0)</f>
        <v>1.7230514038285704E-4</v>
      </c>
    </row>
    <row r="177" spans="1:12" x14ac:dyDescent="0.2">
      <c r="A177" s="10" t="s">
        <v>116</v>
      </c>
      <c r="B177" s="10" t="s">
        <v>143</v>
      </c>
      <c r="C177" s="10" t="str">
        <f t="shared" si="3"/>
        <v>SVEC_STW_PP_PR19CA008</v>
      </c>
      <c r="D177" s="9" t="s">
        <v>67</v>
      </c>
      <c r="E177" s="9" t="s">
        <v>83</v>
      </c>
      <c r="F177" s="135" t="s">
        <v>3</v>
      </c>
      <c r="G177" s="10" t="s">
        <v>50</v>
      </c>
      <c r="H177" s="144">
        <f>_xlfn.IFNA(INDEX('Forecast drivers'!$O$5:$Y$57, MATCH(F_Interface!$A177&amp;RIGHT(F_Interface!H$2, 2),'Forecast drivers'!$A$5:$A$57, 0), MATCH(F_Interface!$D177,'Forecast drivers'!$O$5:$Y$5, 0)),0)</f>
        <v>0</v>
      </c>
      <c r="I177" s="144">
        <f>_xlfn.IFNA(INDEX('Forecast drivers'!$O$5:$Y$57, MATCH(F_Interface!$A177&amp;RIGHT(F_Interface!I$2, 2),'Forecast drivers'!$A$5:$A$57, 0), MATCH(F_Interface!$D177,'Forecast drivers'!$O$5:$Y$5, 0)),0)</f>
        <v>0</v>
      </c>
      <c r="J177" s="144">
        <f>_xlfn.IFNA(INDEX('Forecast drivers'!$O$5:$Y$57, MATCH(F_Interface!$A177&amp;RIGHT(F_Interface!J$2, 2),'Forecast drivers'!$A$5:$A$57, 0), MATCH(F_Interface!$D177,'Forecast drivers'!$O$5:$Y$5, 0)),0)</f>
        <v>0</v>
      </c>
      <c r="K177" s="144">
        <f>_xlfn.IFNA(INDEX('Forecast drivers'!$O$5:$Y$57, MATCH(F_Interface!$A177&amp;RIGHT(F_Interface!K$2, 2),'Forecast drivers'!$A$5:$A$57, 0), MATCH(F_Interface!$D177,'Forecast drivers'!$O$5:$Y$5, 0)),0)</f>
        <v>0</v>
      </c>
      <c r="L177" s="144">
        <f>_xlfn.IFNA(INDEX('Forecast drivers'!$O$5:$Y$57, MATCH(F_Interface!$A177&amp;RIGHT(F_Interface!L$2, 2),'Forecast drivers'!$A$5:$A$57, 0), MATCH(F_Interface!$D177,'Forecast drivers'!$O$5:$Y$5, 0)),0)</f>
        <v>0</v>
      </c>
    </row>
    <row r="178" spans="1:12" x14ac:dyDescent="0.2">
      <c r="A178" s="10" t="s">
        <v>101</v>
      </c>
      <c r="B178" s="10" t="s">
        <v>143</v>
      </c>
      <c r="C178" s="10" t="str">
        <f t="shared" si="3"/>
        <v>SVHC_STW_PP_PR19CA008</v>
      </c>
      <c r="D178" s="9" t="s">
        <v>67</v>
      </c>
      <c r="E178" s="9" t="s">
        <v>83</v>
      </c>
      <c r="F178" s="135" t="s">
        <v>3</v>
      </c>
      <c r="G178" s="10" t="s">
        <v>50</v>
      </c>
      <c r="H178" s="144">
        <f>_xlfn.IFNA(INDEX('Forecast drivers'!$O$5:$Y$57, MATCH(F_Interface!$A178&amp;RIGHT(F_Interface!H$2, 2),'Forecast drivers'!$A$5:$A$57, 0), MATCH(F_Interface!$D178,'Forecast drivers'!$O$5:$Y$5, 0)),0)</f>
        <v>2.3863542787709349E-4</v>
      </c>
      <c r="I178" s="144">
        <f>_xlfn.IFNA(INDEX('Forecast drivers'!$O$5:$Y$57, MATCH(F_Interface!$A178&amp;RIGHT(F_Interface!I$2, 2),'Forecast drivers'!$A$5:$A$57, 0), MATCH(F_Interface!$D178,'Forecast drivers'!$O$5:$Y$5, 0)),0)</f>
        <v>2.3729246326313142E-4</v>
      </c>
      <c r="J178" s="144">
        <f>_xlfn.IFNA(INDEX('Forecast drivers'!$O$5:$Y$57, MATCH(F_Interface!$A178&amp;RIGHT(F_Interface!J$2, 2),'Forecast drivers'!$A$5:$A$57, 0), MATCH(F_Interface!$D178,'Forecast drivers'!$O$5:$Y$5, 0)),0)</f>
        <v>2.3519621008952847E-4</v>
      </c>
      <c r="K178" s="144">
        <f>_xlfn.IFNA(INDEX('Forecast drivers'!$O$5:$Y$57, MATCH(F_Interface!$A178&amp;RIGHT(F_Interface!K$2, 2),'Forecast drivers'!$A$5:$A$57, 0), MATCH(F_Interface!$D178,'Forecast drivers'!$O$5:$Y$5, 0)),0)</f>
        <v>2.3364122143754826E-4</v>
      </c>
      <c r="L178" s="144">
        <f>_xlfn.IFNA(INDEX('Forecast drivers'!$O$5:$Y$57, MATCH(F_Interface!$A178&amp;RIGHT(F_Interface!L$2, 2),'Forecast drivers'!$A$5:$A$57, 0), MATCH(F_Interface!$D178,'Forecast drivers'!$O$5:$Y$5, 0)),0)</f>
        <v>2.3046912349466791E-4</v>
      </c>
    </row>
    <row r="179" spans="1:12" x14ac:dyDescent="0.2">
      <c r="A179" s="10" t="s">
        <v>8</v>
      </c>
      <c r="B179" s="10" t="s">
        <v>143</v>
      </c>
      <c r="C179" s="10" t="str">
        <f t="shared" si="3"/>
        <v>SVTC_STW_PP_PR19CA008</v>
      </c>
      <c r="D179" s="9" t="s">
        <v>67</v>
      </c>
      <c r="E179" s="9" t="s">
        <v>83</v>
      </c>
      <c r="F179" s="135" t="s">
        <v>3</v>
      </c>
      <c r="G179" s="10" t="s">
        <v>50</v>
      </c>
      <c r="H179" s="144">
        <f>_xlfn.IFNA(INDEX('Forecast drivers'!$O$5:$Y$57, MATCH(F_Interface!$A179&amp;RIGHT(F_Interface!H$2, 2),'Forecast drivers'!$A$5:$A$57, 0), MATCH(F_Interface!$D179,'Forecast drivers'!$O$5:$Y$5, 0)),0)</f>
        <v>0</v>
      </c>
      <c r="I179" s="144">
        <f>_xlfn.IFNA(INDEX('Forecast drivers'!$O$5:$Y$57, MATCH(F_Interface!$A179&amp;RIGHT(F_Interface!I$2, 2),'Forecast drivers'!$A$5:$A$57, 0), MATCH(F_Interface!$D179,'Forecast drivers'!$O$5:$Y$5, 0)),0)</f>
        <v>0</v>
      </c>
      <c r="J179" s="144">
        <f>_xlfn.IFNA(INDEX('Forecast drivers'!$O$5:$Y$57, MATCH(F_Interface!$A179&amp;RIGHT(F_Interface!J$2, 2),'Forecast drivers'!$A$5:$A$57, 0), MATCH(F_Interface!$D179,'Forecast drivers'!$O$5:$Y$5, 0)),0)</f>
        <v>0</v>
      </c>
      <c r="K179" s="144">
        <f>_xlfn.IFNA(INDEX('Forecast drivers'!$O$5:$Y$57, MATCH(F_Interface!$A179&amp;RIGHT(F_Interface!K$2, 2),'Forecast drivers'!$A$5:$A$57, 0), MATCH(F_Interface!$D179,'Forecast drivers'!$O$5:$Y$5, 0)),0)</f>
        <v>0</v>
      </c>
      <c r="L179" s="144">
        <f>_xlfn.IFNA(INDEX('Forecast drivers'!$O$5:$Y$57, MATCH(F_Interface!$A179&amp;RIGHT(F_Interface!L$2, 2),'Forecast drivers'!$A$5:$A$57, 0), MATCH(F_Interface!$D179,'Forecast drivers'!$O$5:$Y$5, 0)),0)</f>
        <v>0</v>
      </c>
    </row>
    <row r="180" spans="1:12" x14ac:dyDescent="0.2">
      <c r="A180" s="10" t="s">
        <v>12</v>
      </c>
      <c r="B180" s="10" t="s">
        <v>143</v>
      </c>
      <c r="C180" s="10" t="str">
        <f t="shared" si="3"/>
        <v>SWBC_STW_PP_PR19CA008</v>
      </c>
      <c r="D180" s="9" t="s">
        <v>67</v>
      </c>
      <c r="E180" s="9" t="s">
        <v>83</v>
      </c>
      <c r="F180" s="135" t="s">
        <v>3</v>
      </c>
      <c r="G180" s="10" t="s">
        <v>50</v>
      </c>
      <c r="H180" s="144">
        <f>_xlfn.IFNA(INDEX('Forecast drivers'!$O$5:$Y$57, MATCH(F_Interface!$A180&amp;RIGHT(F_Interface!H$2, 2),'Forecast drivers'!$A$5:$A$57, 0), MATCH(F_Interface!$D180,'Forecast drivers'!$O$5:$Y$5, 0)),0)</f>
        <v>8.5464597355319901E-4</v>
      </c>
      <c r="I180" s="144">
        <f>_xlfn.IFNA(INDEX('Forecast drivers'!$O$5:$Y$57, MATCH(F_Interface!$A180&amp;RIGHT(F_Interface!I$2, 2),'Forecast drivers'!$A$5:$A$57, 0), MATCH(F_Interface!$D180,'Forecast drivers'!$O$5:$Y$5, 0)),0)</f>
        <v>8.4939943179880529E-4</v>
      </c>
      <c r="J180" s="144">
        <f>_xlfn.IFNA(INDEX('Forecast drivers'!$O$5:$Y$57, MATCH(F_Interface!$A180&amp;RIGHT(F_Interface!J$2, 2),'Forecast drivers'!$A$5:$A$57, 0), MATCH(F_Interface!$D180,'Forecast drivers'!$O$5:$Y$5, 0)),0)</f>
        <v>8.4302424847317796E-4</v>
      </c>
      <c r="K180" s="144">
        <f>_xlfn.IFNA(INDEX('Forecast drivers'!$O$5:$Y$57, MATCH(F_Interface!$A180&amp;RIGHT(F_Interface!K$2, 2),'Forecast drivers'!$A$5:$A$57, 0), MATCH(F_Interface!$D180,'Forecast drivers'!$O$5:$Y$5, 0)),0)</f>
        <v>8.3679470366069739E-4</v>
      </c>
      <c r="L180" s="144">
        <f>_xlfn.IFNA(INDEX('Forecast drivers'!$O$5:$Y$57, MATCH(F_Interface!$A180&amp;RIGHT(F_Interface!L$2, 2),'Forecast drivers'!$A$5:$A$57, 0), MATCH(F_Interface!$D180,'Forecast drivers'!$O$5:$Y$5, 0)),0)</f>
        <v>8.3065727890636865E-4</v>
      </c>
    </row>
    <row r="181" spans="1:12" x14ac:dyDescent="0.2">
      <c r="A181" s="10" t="s">
        <v>9</v>
      </c>
      <c r="B181" s="10" t="s">
        <v>143</v>
      </c>
      <c r="C181" s="10" t="str">
        <f t="shared" si="3"/>
        <v>TMSC_STW_PP_PR19CA008</v>
      </c>
      <c r="D181" s="9" t="s">
        <v>67</v>
      </c>
      <c r="E181" s="9" t="s">
        <v>83</v>
      </c>
      <c r="F181" s="135" t="s">
        <v>3</v>
      </c>
      <c r="G181" s="10" t="s">
        <v>50</v>
      </c>
      <c r="H181" s="144">
        <f>_xlfn.IFNA(INDEX('Forecast drivers'!$O$5:$Y$57, MATCH(F_Interface!$A181&amp;RIGHT(F_Interface!H$2, 2),'Forecast drivers'!$A$5:$A$57, 0), MATCH(F_Interface!$D181,'Forecast drivers'!$O$5:$Y$5, 0)),0)</f>
        <v>6.0500721746362179E-5</v>
      </c>
      <c r="I181" s="144">
        <f>_xlfn.IFNA(INDEX('Forecast drivers'!$O$5:$Y$57, MATCH(F_Interface!$A181&amp;RIGHT(F_Interface!I$2, 2),'Forecast drivers'!$A$5:$A$57, 0), MATCH(F_Interface!$D181,'Forecast drivers'!$O$5:$Y$5, 0)),0)</f>
        <v>6.0408277399760404E-5</v>
      </c>
      <c r="J181" s="144">
        <f>_xlfn.IFNA(INDEX('Forecast drivers'!$O$5:$Y$57, MATCH(F_Interface!$A181&amp;RIGHT(F_Interface!J$2, 2),'Forecast drivers'!$A$5:$A$57, 0), MATCH(F_Interface!$D181,'Forecast drivers'!$O$5:$Y$5, 0)),0)</f>
        <v>6.0148709411967491E-5</v>
      </c>
      <c r="K181" s="144">
        <f>_xlfn.IFNA(INDEX('Forecast drivers'!$O$5:$Y$57, MATCH(F_Interface!$A181&amp;RIGHT(F_Interface!K$2, 2),'Forecast drivers'!$A$5:$A$57, 0), MATCH(F_Interface!$D181,'Forecast drivers'!$O$5:$Y$5, 0)),0)</f>
        <v>5.991466700652603E-5</v>
      </c>
      <c r="L181" s="144">
        <f>_xlfn.IFNA(INDEX('Forecast drivers'!$O$5:$Y$57, MATCH(F_Interface!$A181&amp;RIGHT(F_Interface!L$2, 2),'Forecast drivers'!$A$5:$A$57, 0), MATCH(F_Interface!$D181,'Forecast drivers'!$O$5:$Y$5, 0)),0)</f>
        <v>5.9695213665467816E-5</v>
      </c>
    </row>
    <row r="182" spans="1:12" x14ac:dyDescent="0.2">
      <c r="A182" s="10" t="s">
        <v>15</v>
      </c>
      <c r="B182" s="10" t="s">
        <v>143</v>
      </c>
      <c r="C182" s="10" t="str">
        <f t="shared" si="3"/>
        <v>WSHC_STW_PP_PR19CA008</v>
      </c>
      <c r="D182" s="9" t="s">
        <v>67</v>
      </c>
      <c r="E182" s="9" t="s">
        <v>83</v>
      </c>
      <c r="F182" s="135" t="s">
        <v>3</v>
      </c>
      <c r="G182" s="10" t="s">
        <v>50</v>
      </c>
      <c r="H182" s="144">
        <f>_xlfn.IFNA(INDEX('Forecast drivers'!$O$5:$Y$57, MATCH(F_Interface!$A182&amp;RIGHT(F_Interface!H$2, 2),'Forecast drivers'!$A$5:$A$57, 0), MATCH(F_Interface!$D182,'Forecast drivers'!$O$5:$Y$5, 0)),0)</f>
        <v>5.652558486850005E-4</v>
      </c>
      <c r="I182" s="144">
        <f>_xlfn.IFNA(INDEX('Forecast drivers'!$O$5:$Y$57, MATCH(F_Interface!$A182&amp;RIGHT(F_Interface!I$2, 2),'Forecast drivers'!$A$5:$A$57, 0), MATCH(F_Interface!$D182,'Forecast drivers'!$O$5:$Y$5, 0)),0)</f>
        <v>5.6228955912159418E-4</v>
      </c>
      <c r="J182" s="144">
        <f>_xlfn.IFNA(INDEX('Forecast drivers'!$O$5:$Y$57, MATCH(F_Interface!$A182&amp;RIGHT(F_Interface!J$2, 2),'Forecast drivers'!$A$5:$A$57, 0), MATCH(F_Interface!$D182,'Forecast drivers'!$O$5:$Y$5, 0)),0)</f>
        <v>5.5509074121593742E-4</v>
      </c>
      <c r="K182" s="144">
        <f>_xlfn.IFNA(INDEX('Forecast drivers'!$O$5:$Y$57, MATCH(F_Interface!$A182&amp;RIGHT(F_Interface!K$2, 2),'Forecast drivers'!$A$5:$A$57, 0), MATCH(F_Interface!$D182,'Forecast drivers'!$O$5:$Y$5, 0)),0)</f>
        <v>5.5211608803547231E-4</v>
      </c>
      <c r="L182" s="144">
        <f>_xlfn.IFNA(INDEX('Forecast drivers'!$O$5:$Y$57, MATCH(F_Interface!$A182&amp;RIGHT(F_Interface!L$2, 2),'Forecast drivers'!$A$5:$A$57, 0), MATCH(F_Interface!$D182,'Forecast drivers'!$O$5:$Y$5, 0)),0)</f>
        <v>5.4791824024119401E-4</v>
      </c>
    </row>
    <row r="183" spans="1:12" x14ac:dyDescent="0.2">
      <c r="A183" s="10" t="s">
        <v>10</v>
      </c>
      <c r="B183" s="10" t="s">
        <v>143</v>
      </c>
      <c r="C183" s="10" t="str">
        <f t="shared" si="3"/>
        <v>WSXC_STW_PP_PR19CA008</v>
      </c>
      <c r="D183" s="9" t="s">
        <v>67</v>
      </c>
      <c r="E183" s="9" t="s">
        <v>83</v>
      </c>
      <c r="F183" s="135" t="s">
        <v>3</v>
      </c>
      <c r="G183" s="10" t="s">
        <v>50</v>
      </c>
      <c r="H183" s="144">
        <f>_xlfn.IFNA(INDEX('Forecast drivers'!$O$5:$Y$57, MATCH(F_Interface!$A183&amp;RIGHT(F_Interface!H$2, 2),'Forecast drivers'!$A$5:$A$57, 0), MATCH(F_Interface!$D183,'Forecast drivers'!$O$5:$Y$5, 0)),0)</f>
        <v>3.1488266645126174E-4</v>
      </c>
      <c r="I183" s="144">
        <f>_xlfn.IFNA(INDEX('Forecast drivers'!$O$5:$Y$57, MATCH(F_Interface!$A183&amp;RIGHT(F_Interface!I$2, 2),'Forecast drivers'!$A$5:$A$57, 0), MATCH(F_Interface!$D183,'Forecast drivers'!$O$5:$Y$5, 0)),0)</f>
        <v>3.1342937032517401E-4</v>
      </c>
      <c r="J183" s="144">
        <f>_xlfn.IFNA(INDEX('Forecast drivers'!$O$5:$Y$57, MATCH(F_Interface!$A183&amp;RIGHT(F_Interface!J$2, 2),'Forecast drivers'!$A$5:$A$57, 0), MATCH(F_Interface!$D183,'Forecast drivers'!$O$5:$Y$5, 0)),0)</f>
        <v>3.1089454532283808E-4</v>
      </c>
      <c r="K183" s="144">
        <f>_xlfn.IFNA(INDEX('Forecast drivers'!$O$5:$Y$57, MATCH(F_Interface!$A183&amp;RIGHT(F_Interface!K$2, 2),'Forecast drivers'!$A$5:$A$57, 0), MATCH(F_Interface!$D183,'Forecast drivers'!$O$5:$Y$5, 0)),0)</f>
        <v>3.0843724980162806E-4</v>
      </c>
      <c r="L183" s="144">
        <f>_xlfn.IFNA(INDEX('Forecast drivers'!$O$5:$Y$57, MATCH(F_Interface!$A183&amp;RIGHT(F_Interface!L$2, 2),'Forecast drivers'!$A$5:$A$57, 0), MATCH(F_Interface!$D183,'Forecast drivers'!$O$5:$Y$5, 0)),0)</f>
        <v>3.0599702299921404E-4</v>
      </c>
    </row>
    <row r="184" spans="1:12" x14ac:dyDescent="0.2">
      <c r="A184" s="10" t="s">
        <v>11</v>
      </c>
      <c r="B184" s="10" t="s">
        <v>143</v>
      </c>
      <c r="C184" s="10" t="str">
        <f t="shared" si="3"/>
        <v>YKYC_STW_PP_PR19CA008</v>
      </c>
      <c r="D184" s="9" t="s">
        <v>67</v>
      </c>
      <c r="E184" s="9" t="s">
        <v>83</v>
      </c>
      <c r="F184" s="135" t="s">
        <v>3</v>
      </c>
      <c r="G184" s="10" t="s">
        <v>50</v>
      </c>
      <c r="H184" s="144">
        <f>_xlfn.IFNA(INDEX('Forecast drivers'!$O$5:$Y$57, MATCH(F_Interface!$A184&amp;RIGHT(F_Interface!H$2, 2),'Forecast drivers'!$A$5:$A$57, 0), MATCH(F_Interface!$D184,'Forecast drivers'!$O$5:$Y$5, 0)),0)</f>
        <v>2.6270433331189962E-4</v>
      </c>
      <c r="I184" s="144">
        <f>_xlfn.IFNA(INDEX('Forecast drivers'!$O$5:$Y$57, MATCH(F_Interface!$A184&amp;RIGHT(F_Interface!I$2, 2),'Forecast drivers'!$A$5:$A$57, 0), MATCH(F_Interface!$D184,'Forecast drivers'!$O$5:$Y$5, 0)),0)</f>
        <v>2.6158587847074666E-4</v>
      </c>
      <c r="J184" s="144">
        <f>_xlfn.IFNA(INDEX('Forecast drivers'!$O$5:$Y$57, MATCH(F_Interface!$A184&amp;RIGHT(F_Interface!J$2, 2),'Forecast drivers'!$A$5:$A$57, 0), MATCH(F_Interface!$D184,'Forecast drivers'!$O$5:$Y$5, 0)),0)</f>
        <v>2.6026478988518071E-4</v>
      </c>
      <c r="K184" s="144">
        <f>_xlfn.IFNA(INDEX('Forecast drivers'!$O$5:$Y$57, MATCH(F_Interface!$A184&amp;RIGHT(F_Interface!K$2, 2),'Forecast drivers'!$A$5:$A$57, 0), MATCH(F_Interface!$D184,'Forecast drivers'!$O$5:$Y$5, 0)),0)</f>
        <v>2.5900600707499363E-4</v>
      </c>
      <c r="L184" s="144">
        <f>_xlfn.IFNA(INDEX('Forecast drivers'!$O$5:$Y$57, MATCH(F_Interface!$A184&amp;RIGHT(F_Interface!L$2, 2),'Forecast drivers'!$A$5:$A$57, 0), MATCH(F_Interface!$D184,'Forecast drivers'!$O$5:$Y$5, 0)),0)</f>
        <v>2.5648846684850303E-4</v>
      </c>
    </row>
    <row r="185" spans="1:12" x14ac:dyDescent="0.2">
      <c r="A185" s="137" t="s">
        <v>4</v>
      </c>
      <c r="B185" s="137" t="s">
        <v>388</v>
      </c>
      <c r="C185" s="137" t="str">
        <f t="shared" ref="C185:C197" si="4">A185&amp;B185</f>
        <v>ANHC_NPWW_5YEFFICIENCY_PR10CA008</v>
      </c>
      <c r="D185" s="137" t="s">
        <v>119</v>
      </c>
      <c r="E185" s="137" t="s">
        <v>387</v>
      </c>
      <c r="F185" s="214" t="s">
        <v>1</v>
      </c>
      <c r="G185" s="137" t="s">
        <v>50</v>
      </c>
      <c r="H185" s="137">
        <f>Controls!$F$6</f>
        <v>0.98628593234914042</v>
      </c>
      <c r="I185" s="137">
        <f>Controls!$F$6</f>
        <v>0.98628593234914042</v>
      </c>
      <c r="J185" s="137">
        <f>Controls!$F$6</f>
        <v>0.98628593234914042</v>
      </c>
      <c r="K185" s="137">
        <f>Controls!$F$6</f>
        <v>0.98628593234914042</v>
      </c>
      <c r="L185" s="137">
        <f>Controls!$F$6</f>
        <v>0.98628593234914042</v>
      </c>
    </row>
    <row r="186" spans="1:12" x14ac:dyDescent="0.2">
      <c r="A186" s="137" t="s">
        <v>87</v>
      </c>
      <c r="B186" s="137" t="s">
        <v>388</v>
      </c>
      <c r="C186" s="137" t="str">
        <f t="shared" si="4"/>
        <v>HDDC_NPWW_5YEFFICIENCY_PR10CA008</v>
      </c>
      <c r="D186" s="137" t="s">
        <v>119</v>
      </c>
      <c r="E186" s="137" t="s">
        <v>387</v>
      </c>
      <c r="F186" s="214" t="s">
        <v>1</v>
      </c>
      <c r="G186" s="137"/>
      <c r="H186" s="137">
        <f>Controls!$F$6</f>
        <v>0.98628593234914042</v>
      </c>
      <c r="I186" s="137">
        <f>Controls!$F$6</f>
        <v>0.98628593234914042</v>
      </c>
      <c r="J186" s="137">
        <f>Controls!$F$6</f>
        <v>0.98628593234914042</v>
      </c>
      <c r="K186" s="137">
        <f>Controls!$F$6</f>
        <v>0.98628593234914042</v>
      </c>
      <c r="L186" s="137">
        <f>Controls!$F$6</f>
        <v>0.98628593234914042</v>
      </c>
    </row>
    <row r="187" spans="1:12" x14ac:dyDescent="0.2">
      <c r="A187" s="137" t="s">
        <v>5</v>
      </c>
      <c r="B187" s="137" t="s">
        <v>388</v>
      </c>
      <c r="C187" s="137" t="str">
        <f t="shared" si="4"/>
        <v>NESC_NPWW_5YEFFICIENCY_PR10CA008</v>
      </c>
      <c r="D187" s="137" t="s">
        <v>119</v>
      </c>
      <c r="E187" s="137" t="s">
        <v>387</v>
      </c>
      <c r="F187" s="214" t="s">
        <v>1</v>
      </c>
      <c r="G187" s="137"/>
      <c r="H187" s="137">
        <f>Controls!$F$6</f>
        <v>0.98628593234914042</v>
      </c>
      <c r="I187" s="137">
        <f>Controls!$F$6</f>
        <v>0.98628593234914042</v>
      </c>
      <c r="J187" s="137">
        <f>Controls!$F$6</f>
        <v>0.98628593234914042</v>
      </c>
      <c r="K187" s="137">
        <f>Controls!$F$6</f>
        <v>0.98628593234914042</v>
      </c>
      <c r="L187" s="137">
        <f>Controls!$F$6</f>
        <v>0.98628593234914042</v>
      </c>
    </row>
    <row r="188" spans="1:12" x14ac:dyDescent="0.2">
      <c r="A188" s="137" t="s">
        <v>6</v>
      </c>
      <c r="B188" s="137" t="s">
        <v>388</v>
      </c>
      <c r="C188" s="137" t="str">
        <f t="shared" si="4"/>
        <v>NWTC_NPWW_5YEFFICIENCY_PR10CA008</v>
      </c>
      <c r="D188" s="137" t="s">
        <v>119</v>
      </c>
      <c r="E188" s="137" t="s">
        <v>387</v>
      </c>
      <c r="F188" s="214" t="s">
        <v>1</v>
      </c>
      <c r="G188" s="137" t="s">
        <v>50</v>
      </c>
      <c r="H188" s="137">
        <f>Controls!$F$6</f>
        <v>0.98628593234914042</v>
      </c>
      <c r="I188" s="137">
        <f>Controls!$F$6</f>
        <v>0.98628593234914042</v>
      </c>
      <c r="J188" s="137">
        <f>Controls!$F$6</f>
        <v>0.98628593234914042</v>
      </c>
      <c r="K188" s="137">
        <f>Controls!$F$6</f>
        <v>0.98628593234914042</v>
      </c>
      <c r="L188" s="137">
        <f>Controls!$F$6</f>
        <v>0.98628593234914042</v>
      </c>
    </row>
    <row r="189" spans="1:12" x14ac:dyDescent="0.2">
      <c r="A189" s="137" t="s">
        <v>7</v>
      </c>
      <c r="B189" s="137" t="s">
        <v>388</v>
      </c>
      <c r="C189" s="137" t="str">
        <f t="shared" si="4"/>
        <v>SRNC_NPWW_5YEFFICIENCY_PR10CA008</v>
      </c>
      <c r="D189" s="137" t="s">
        <v>119</v>
      </c>
      <c r="E189" s="137" t="s">
        <v>387</v>
      </c>
      <c r="F189" s="214" t="s">
        <v>1</v>
      </c>
      <c r="G189" s="137" t="s">
        <v>50</v>
      </c>
      <c r="H189" s="137">
        <f>Controls!$F$6</f>
        <v>0.98628593234914042</v>
      </c>
      <c r="I189" s="137">
        <f>Controls!$F$6</f>
        <v>0.98628593234914042</v>
      </c>
      <c r="J189" s="137">
        <f>Controls!$F$6</f>
        <v>0.98628593234914042</v>
      </c>
      <c r="K189" s="137">
        <f>Controls!$F$6</f>
        <v>0.98628593234914042</v>
      </c>
      <c r="L189" s="137">
        <f>Controls!$F$6</f>
        <v>0.98628593234914042</v>
      </c>
    </row>
    <row r="190" spans="1:12" x14ac:dyDescent="0.2">
      <c r="A190" s="137" t="s">
        <v>116</v>
      </c>
      <c r="B190" s="137" t="s">
        <v>388</v>
      </c>
      <c r="C190" s="137" t="str">
        <f t="shared" si="4"/>
        <v>SVEC_NPWW_5YEFFICIENCY_PR10CA008</v>
      </c>
      <c r="D190" s="137" t="s">
        <v>119</v>
      </c>
      <c r="E190" s="137" t="s">
        <v>387</v>
      </c>
      <c r="F190" s="214" t="s">
        <v>1</v>
      </c>
      <c r="G190" s="137" t="s">
        <v>50</v>
      </c>
      <c r="H190" s="137">
        <f>Controls!$F$6</f>
        <v>0.98628593234914042</v>
      </c>
      <c r="I190" s="137">
        <f>Controls!$F$6</f>
        <v>0.98628593234914042</v>
      </c>
      <c r="J190" s="137">
        <f>Controls!$F$6</f>
        <v>0.98628593234914042</v>
      </c>
      <c r="K190" s="137">
        <f>Controls!$F$6</f>
        <v>0.98628593234914042</v>
      </c>
      <c r="L190" s="137">
        <f>Controls!$F$6</f>
        <v>0.98628593234914042</v>
      </c>
    </row>
    <row r="191" spans="1:12" x14ac:dyDescent="0.2">
      <c r="A191" s="137" t="s">
        <v>101</v>
      </c>
      <c r="B191" s="137" t="s">
        <v>388</v>
      </c>
      <c r="C191" s="137" t="str">
        <f t="shared" si="4"/>
        <v>SVHC_NPWW_5YEFFICIENCY_PR10CA008</v>
      </c>
      <c r="D191" s="137" t="s">
        <v>119</v>
      </c>
      <c r="E191" s="137" t="s">
        <v>387</v>
      </c>
      <c r="F191" s="214" t="s">
        <v>1</v>
      </c>
      <c r="G191" s="137" t="s">
        <v>50</v>
      </c>
      <c r="H191" s="137">
        <f>Controls!$F$6</f>
        <v>0.98628593234914042</v>
      </c>
      <c r="I191" s="137">
        <f>Controls!$F$6</f>
        <v>0.98628593234914042</v>
      </c>
      <c r="J191" s="137">
        <f>Controls!$F$6</f>
        <v>0.98628593234914042</v>
      </c>
      <c r="K191" s="137">
        <f>Controls!$F$6</f>
        <v>0.98628593234914042</v>
      </c>
      <c r="L191" s="137">
        <f>Controls!$F$6</f>
        <v>0.98628593234914042</v>
      </c>
    </row>
    <row r="192" spans="1:12" x14ac:dyDescent="0.2">
      <c r="A192" s="137" t="s">
        <v>8</v>
      </c>
      <c r="B192" s="137" t="s">
        <v>388</v>
      </c>
      <c r="C192" s="137" t="str">
        <f t="shared" si="4"/>
        <v>SVTC_NPWW_5YEFFICIENCY_PR10CA008</v>
      </c>
      <c r="D192" s="137" t="s">
        <v>119</v>
      </c>
      <c r="E192" s="137" t="s">
        <v>387</v>
      </c>
      <c r="F192" s="214" t="s">
        <v>1</v>
      </c>
      <c r="G192" s="137" t="s">
        <v>50</v>
      </c>
      <c r="H192" s="137">
        <f>Controls!$F$6</f>
        <v>0.98628593234914042</v>
      </c>
      <c r="I192" s="137">
        <f>Controls!$F$6</f>
        <v>0.98628593234914042</v>
      </c>
      <c r="J192" s="137">
        <f>Controls!$F$6</f>
        <v>0.98628593234914042</v>
      </c>
      <c r="K192" s="137">
        <f>Controls!$F$6</f>
        <v>0.98628593234914042</v>
      </c>
      <c r="L192" s="137">
        <f>Controls!$F$6</f>
        <v>0.98628593234914042</v>
      </c>
    </row>
    <row r="193" spans="1:12" x14ac:dyDescent="0.2">
      <c r="A193" s="137" t="s">
        <v>12</v>
      </c>
      <c r="B193" s="137" t="s">
        <v>388</v>
      </c>
      <c r="C193" s="137" t="str">
        <f t="shared" si="4"/>
        <v>SWBC_NPWW_5YEFFICIENCY_PR10CA008</v>
      </c>
      <c r="D193" s="137" t="s">
        <v>119</v>
      </c>
      <c r="E193" s="137" t="s">
        <v>387</v>
      </c>
      <c r="F193" s="214" t="s">
        <v>1</v>
      </c>
      <c r="G193" s="137" t="s">
        <v>50</v>
      </c>
      <c r="H193" s="137">
        <f>Controls!$F$6</f>
        <v>0.98628593234914042</v>
      </c>
      <c r="I193" s="137">
        <f>Controls!$F$6</f>
        <v>0.98628593234914042</v>
      </c>
      <c r="J193" s="137">
        <f>Controls!$F$6</f>
        <v>0.98628593234914042</v>
      </c>
      <c r="K193" s="137">
        <f>Controls!$F$6</f>
        <v>0.98628593234914042</v>
      </c>
      <c r="L193" s="137">
        <f>Controls!$F$6</f>
        <v>0.98628593234914042</v>
      </c>
    </row>
    <row r="194" spans="1:12" x14ac:dyDescent="0.2">
      <c r="A194" s="137" t="s">
        <v>9</v>
      </c>
      <c r="B194" s="137" t="s">
        <v>388</v>
      </c>
      <c r="C194" s="137" t="str">
        <f t="shared" si="4"/>
        <v>TMSC_NPWW_5YEFFICIENCY_PR10CA008</v>
      </c>
      <c r="D194" s="137" t="s">
        <v>119</v>
      </c>
      <c r="E194" s="137" t="s">
        <v>387</v>
      </c>
      <c r="F194" s="214" t="s">
        <v>1</v>
      </c>
      <c r="G194" s="137" t="s">
        <v>50</v>
      </c>
      <c r="H194" s="137">
        <f>Controls!$F$6</f>
        <v>0.98628593234914042</v>
      </c>
      <c r="I194" s="137">
        <f>Controls!$F$6</f>
        <v>0.98628593234914042</v>
      </c>
      <c r="J194" s="137">
        <f>Controls!$F$6</f>
        <v>0.98628593234914042</v>
      </c>
      <c r="K194" s="137">
        <f>Controls!$F$6</f>
        <v>0.98628593234914042</v>
      </c>
      <c r="L194" s="137">
        <f>Controls!$F$6</f>
        <v>0.98628593234914042</v>
      </c>
    </row>
    <row r="195" spans="1:12" x14ac:dyDescent="0.2">
      <c r="A195" s="137" t="s">
        <v>15</v>
      </c>
      <c r="B195" s="137" t="s">
        <v>388</v>
      </c>
      <c r="C195" s="137" t="str">
        <f t="shared" si="4"/>
        <v>WSHC_NPWW_5YEFFICIENCY_PR10CA008</v>
      </c>
      <c r="D195" s="137" t="s">
        <v>119</v>
      </c>
      <c r="E195" s="137" t="s">
        <v>387</v>
      </c>
      <c r="F195" s="214" t="s">
        <v>1</v>
      </c>
      <c r="G195" s="137" t="s">
        <v>50</v>
      </c>
      <c r="H195" s="137">
        <f>Controls!$F$6</f>
        <v>0.98628593234914042</v>
      </c>
      <c r="I195" s="137">
        <f>Controls!$F$6</f>
        <v>0.98628593234914042</v>
      </c>
      <c r="J195" s="137">
        <f>Controls!$F$6</f>
        <v>0.98628593234914042</v>
      </c>
      <c r="K195" s="137">
        <f>Controls!$F$6</f>
        <v>0.98628593234914042</v>
      </c>
      <c r="L195" s="137">
        <f>Controls!$F$6</f>
        <v>0.98628593234914042</v>
      </c>
    </row>
    <row r="196" spans="1:12" x14ac:dyDescent="0.2">
      <c r="A196" s="137" t="s">
        <v>10</v>
      </c>
      <c r="B196" s="137" t="s">
        <v>388</v>
      </c>
      <c r="C196" s="137" t="str">
        <f t="shared" si="4"/>
        <v>WSXC_NPWW_5YEFFICIENCY_PR10CA008</v>
      </c>
      <c r="D196" s="137" t="s">
        <v>119</v>
      </c>
      <c r="E196" s="137" t="s">
        <v>387</v>
      </c>
      <c r="F196" s="214" t="s">
        <v>1</v>
      </c>
      <c r="G196" s="137" t="s">
        <v>50</v>
      </c>
      <c r="H196" s="137">
        <f>Controls!$F$6</f>
        <v>0.98628593234914042</v>
      </c>
      <c r="I196" s="137">
        <f>Controls!$F$6</f>
        <v>0.98628593234914042</v>
      </c>
      <c r="J196" s="137">
        <f>Controls!$F$6</f>
        <v>0.98628593234914042</v>
      </c>
      <c r="K196" s="137">
        <f>Controls!$F$6</f>
        <v>0.98628593234914042</v>
      </c>
      <c r="L196" s="137">
        <f>Controls!$F$6</f>
        <v>0.98628593234914042</v>
      </c>
    </row>
    <row r="197" spans="1:12" x14ac:dyDescent="0.2">
      <c r="A197" s="137" t="s">
        <v>11</v>
      </c>
      <c r="B197" s="137" t="s">
        <v>388</v>
      </c>
      <c r="C197" s="137" t="str">
        <f t="shared" si="4"/>
        <v>YKYC_NPWW_5YEFFICIENCY_PR10CA008</v>
      </c>
      <c r="D197" s="137" t="s">
        <v>119</v>
      </c>
      <c r="E197" s="137" t="s">
        <v>387</v>
      </c>
      <c r="F197" s="214" t="s">
        <v>1</v>
      </c>
      <c r="G197" s="137" t="s">
        <v>50</v>
      </c>
      <c r="H197" s="137">
        <f>Controls!$F$6</f>
        <v>0.98628593234914042</v>
      </c>
      <c r="I197" s="137">
        <f>Controls!$F$6</f>
        <v>0.98628593234914042</v>
      </c>
      <c r="J197" s="137">
        <f>Controls!$F$6</f>
        <v>0.98628593234914042</v>
      </c>
      <c r="K197" s="137">
        <f>Controls!$F$6</f>
        <v>0.98628593234914042</v>
      </c>
      <c r="L197" s="137">
        <f>Controls!$F$6</f>
        <v>0.98628593234914042</v>
      </c>
    </row>
    <row r="198" spans="1:12" x14ac:dyDescent="0.2">
      <c r="A198" s="137" t="s">
        <v>4</v>
      </c>
      <c r="B198" s="137" t="s">
        <v>389</v>
      </c>
      <c r="C198" s="137" t="str">
        <f t="shared" si="3"/>
        <v>ANHC_BIO_5YEFFICIENCY_PR10CA008</v>
      </c>
      <c r="D198" s="137" t="s">
        <v>119</v>
      </c>
      <c r="E198" s="137" t="s">
        <v>386</v>
      </c>
      <c r="F198" s="214" t="s">
        <v>1</v>
      </c>
      <c r="G198" s="137" t="s">
        <v>50</v>
      </c>
      <c r="H198" s="137">
        <f>Controls!$M$6</f>
        <v>0.98628593234914042</v>
      </c>
      <c r="I198" s="137">
        <f>Controls!$M$6</f>
        <v>0.98628593234914042</v>
      </c>
      <c r="J198" s="137">
        <f>Controls!$M$6</f>
        <v>0.98628593234914042</v>
      </c>
      <c r="K198" s="137">
        <f>Controls!$M$6</f>
        <v>0.98628593234914042</v>
      </c>
      <c r="L198" s="137">
        <f>Controls!$M$6</f>
        <v>0.98628593234914042</v>
      </c>
    </row>
    <row r="199" spans="1:12" x14ac:dyDescent="0.2">
      <c r="A199" s="137" t="s">
        <v>87</v>
      </c>
      <c r="B199" s="137" t="s">
        <v>389</v>
      </c>
      <c r="C199" s="137" t="str">
        <f t="shared" si="3"/>
        <v>HDDC_BIO_5YEFFICIENCY_PR10CA008</v>
      </c>
      <c r="D199" s="137" t="s">
        <v>119</v>
      </c>
      <c r="E199" s="137" t="s">
        <v>386</v>
      </c>
      <c r="F199" s="214" t="s">
        <v>1</v>
      </c>
      <c r="G199" s="137"/>
      <c r="H199" s="137">
        <f>Controls!$M$6</f>
        <v>0.98628593234914042</v>
      </c>
      <c r="I199" s="137">
        <f>Controls!$M$6</f>
        <v>0.98628593234914042</v>
      </c>
      <c r="J199" s="137">
        <f>Controls!$M$6</f>
        <v>0.98628593234914042</v>
      </c>
      <c r="K199" s="137">
        <f>Controls!$M$6</f>
        <v>0.98628593234914042</v>
      </c>
      <c r="L199" s="137">
        <f>Controls!$M$6</f>
        <v>0.98628593234914042</v>
      </c>
    </row>
    <row r="200" spans="1:12" x14ac:dyDescent="0.2">
      <c r="A200" s="137" t="s">
        <v>5</v>
      </c>
      <c r="B200" s="137" t="s">
        <v>389</v>
      </c>
      <c r="C200" s="137" t="str">
        <f t="shared" si="3"/>
        <v>NESC_BIO_5YEFFICIENCY_PR10CA008</v>
      </c>
      <c r="D200" s="137" t="s">
        <v>119</v>
      </c>
      <c r="E200" s="137" t="s">
        <v>386</v>
      </c>
      <c r="F200" s="214" t="s">
        <v>1</v>
      </c>
      <c r="G200" s="137"/>
      <c r="H200" s="137">
        <f>Controls!$M$6</f>
        <v>0.98628593234914042</v>
      </c>
      <c r="I200" s="137">
        <f>Controls!$M$6</f>
        <v>0.98628593234914042</v>
      </c>
      <c r="J200" s="137">
        <f>Controls!$M$6</f>
        <v>0.98628593234914042</v>
      </c>
      <c r="K200" s="137">
        <f>Controls!$M$6</f>
        <v>0.98628593234914042</v>
      </c>
      <c r="L200" s="137">
        <f>Controls!$M$6</f>
        <v>0.98628593234914042</v>
      </c>
    </row>
    <row r="201" spans="1:12" x14ac:dyDescent="0.2">
      <c r="A201" s="137" t="s">
        <v>6</v>
      </c>
      <c r="B201" s="137" t="s">
        <v>389</v>
      </c>
      <c r="C201" s="137" t="str">
        <f t="shared" si="3"/>
        <v>NWTC_BIO_5YEFFICIENCY_PR10CA008</v>
      </c>
      <c r="D201" s="137" t="s">
        <v>119</v>
      </c>
      <c r="E201" s="137" t="s">
        <v>386</v>
      </c>
      <c r="F201" s="214" t="s">
        <v>1</v>
      </c>
      <c r="G201" s="137" t="s">
        <v>50</v>
      </c>
      <c r="H201" s="137">
        <f>Controls!$M$6</f>
        <v>0.98628593234914042</v>
      </c>
      <c r="I201" s="137">
        <f>Controls!$M$6</f>
        <v>0.98628593234914042</v>
      </c>
      <c r="J201" s="137">
        <f>Controls!$M$6</f>
        <v>0.98628593234914042</v>
      </c>
      <c r="K201" s="137">
        <f>Controls!$M$6</f>
        <v>0.98628593234914042</v>
      </c>
      <c r="L201" s="137">
        <f>Controls!$M$6</f>
        <v>0.98628593234914042</v>
      </c>
    </row>
    <row r="202" spans="1:12" x14ac:dyDescent="0.2">
      <c r="A202" s="137" t="s">
        <v>7</v>
      </c>
      <c r="B202" s="137" t="s">
        <v>389</v>
      </c>
      <c r="C202" s="137" t="str">
        <f t="shared" si="3"/>
        <v>SRNC_BIO_5YEFFICIENCY_PR10CA008</v>
      </c>
      <c r="D202" s="137" t="s">
        <v>119</v>
      </c>
      <c r="E202" s="137" t="s">
        <v>386</v>
      </c>
      <c r="F202" s="214" t="s">
        <v>1</v>
      </c>
      <c r="G202" s="137" t="s">
        <v>50</v>
      </c>
      <c r="H202" s="137">
        <f>Controls!$M$6</f>
        <v>0.98628593234914042</v>
      </c>
      <c r="I202" s="137">
        <f>Controls!$M$6</f>
        <v>0.98628593234914042</v>
      </c>
      <c r="J202" s="137">
        <f>Controls!$M$6</f>
        <v>0.98628593234914042</v>
      </c>
      <c r="K202" s="137">
        <f>Controls!$M$6</f>
        <v>0.98628593234914042</v>
      </c>
      <c r="L202" s="137">
        <f>Controls!$M$6</f>
        <v>0.98628593234914042</v>
      </c>
    </row>
    <row r="203" spans="1:12" x14ac:dyDescent="0.2">
      <c r="A203" s="137" t="s">
        <v>116</v>
      </c>
      <c r="B203" s="137" t="s">
        <v>389</v>
      </c>
      <c r="C203" s="137" t="str">
        <f t="shared" si="3"/>
        <v>SVEC_BIO_5YEFFICIENCY_PR10CA008</v>
      </c>
      <c r="D203" s="137" t="s">
        <v>119</v>
      </c>
      <c r="E203" s="137" t="s">
        <v>386</v>
      </c>
      <c r="F203" s="214" t="s">
        <v>1</v>
      </c>
      <c r="G203" s="137" t="s">
        <v>50</v>
      </c>
      <c r="H203" s="137">
        <f>Controls!$M$6</f>
        <v>0.98628593234914042</v>
      </c>
      <c r="I203" s="137">
        <f>Controls!$M$6</f>
        <v>0.98628593234914042</v>
      </c>
      <c r="J203" s="137">
        <f>Controls!$M$6</f>
        <v>0.98628593234914042</v>
      </c>
      <c r="K203" s="137">
        <f>Controls!$M$6</f>
        <v>0.98628593234914042</v>
      </c>
      <c r="L203" s="137">
        <f>Controls!$M$6</f>
        <v>0.98628593234914042</v>
      </c>
    </row>
    <row r="204" spans="1:12" x14ac:dyDescent="0.2">
      <c r="A204" s="137" t="s">
        <v>101</v>
      </c>
      <c r="B204" s="137" t="s">
        <v>389</v>
      </c>
      <c r="C204" s="137" t="str">
        <f t="shared" si="3"/>
        <v>SVHC_BIO_5YEFFICIENCY_PR10CA008</v>
      </c>
      <c r="D204" s="137" t="s">
        <v>119</v>
      </c>
      <c r="E204" s="137" t="s">
        <v>386</v>
      </c>
      <c r="F204" s="214" t="s">
        <v>1</v>
      </c>
      <c r="G204" s="137" t="s">
        <v>50</v>
      </c>
      <c r="H204" s="137">
        <f>Controls!$M$6</f>
        <v>0.98628593234914042</v>
      </c>
      <c r="I204" s="137">
        <f>Controls!$M$6</f>
        <v>0.98628593234914042</v>
      </c>
      <c r="J204" s="137">
        <f>Controls!$M$6</f>
        <v>0.98628593234914042</v>
      </c>
      <c r="K204" s="137">
        <f>Controls!$M$6</f>
        <v>0.98628593234914042</v>
      </c>
      <c r="L204" s="137">
        <f>Controls!$M$6</f>
        <v>0.98628593234914042</v>
      </c>
    </row>
    <row r="205" spans="1:12" x14ac:dyDescent="0.2">
      <c r="A205" s="137" t="s">
        <v>8</v>
      </c>
      <c r="B205" s="137" t="s">
        <v>389</v>
      </c>
      <c r="C205" s="137" t="str">
        <f t="shared" si="3"/>
        <v>SVTC_BIO_5YEFFICIENCY_PR10CA008</v>
      </c>
      <c r="D205" s="137" t="s">
        <v>119</v>
      </c>
      <c r="E205" s="137" t="s">
        <v>386</v>
      </c>
      <c r="F205" s="214" t="s">
        <v>1</v>
      </c>
      <c r="G205" s="137" t="s">
        <v>50</v>
      </c>
      <c r="H205" s="137">
        <f>Controls!$M$6</f>
        <v>0.98628593234914042</v>
      </c>
      <c r="I205" s="137">
        <f>Controls!$M$6</f>
        <v>0.98628593234914042</v>
      </c>
      <c r="J205" s="137">
        <f>Controls!$M$6</f>
        <v>0.98628593234914042</v>
      </c>
      <c r="K205" s="137">
        <f>Controls!$M$6</f>
        <v>0.98628593234914042</v>
      </c>
      <c r="L205" s="137">
        <f>Controls!$M$6</f>
        <v>0.98628593234914042</v>
      </c>
    </row>
    <row r="206" spans="1:12" x14ac:dyDescent="0.2">
      <c r="A206" s="137" t="s">
        <v>12</v>
      </c>
      <c r="B206" s="137" t="s">
        <v>389</v>
      </c>
      <c r="C206" s="137" t="str">
        <f t="shared" si="3"/>
        <v>SWBC_BIO_5YEFFICIENCY_PR10CA008</v>
      </c>
      <c r="D206" s="137" t="s">
        <v>119</v>
      </c>
      <c r="E206" s="137" t="s">
        <v>386</v>
      </c>
      <c r="F206" s="214" t="s">
        <v>1</v>
      </c>
      <c r="G206" s="137" t="s">
        <v>50</v>
      </c>
      <c r="H206" s="137">
        <f>Controls!$M$6</f>
        <v>0.98628593234914042</v>
      </c>
      <c r="I206" s="137">
        <f>Controls!$M$6</f>
        <v>0.98628593234914042</v>
      </c>
      <c r="J206" s="137">
        <f>Controls!$M$6</f>
        <v>0.98628593234914042</v>
      </c>
      <c r="K206" s="137">
        <f>Controls!$M$6</f>
        <v>0.98628593234914042</v>
      </c>
      <c r="L206" s="137">
        <f>Controls!$M$6</f>
        <v>0.98628593234914042</v>
      </c>
    </row>
    <row r="207" spans="1:12" x14ac:dyDescent="0.2">
      <c r="A207" s="137" t="s">
        <v>9</v>
      </c>
      <c r="B207" s="137" t="s">
        <v>389</v>
      </c>
      <c r="C207" s="137" t="str">
        <f t="shared" si="3"/>
        <v>TMSC_BIO_5YEFFICIENCY_PR10CA008</v>
      </c>
      <c r="D207" s="137" t="s">
        <v>119</v>
      </c>
      <c r="E207" s="137" t="s">
        <v>386</v>
      </c>
      <c r="F207" s="214" t="s">
        <v>1</v>
      </c>
      <c r="G207" s="137" t="s">
        <v>50</v>
      </c>
      <c r="H207" s="137">
        <f>Controls!$M$6</f>
        <v>0.98628593234914042</v>
      </c>
      <c r="I207" s="137">
        <f>Controls!$M$6</f>
        <v>0.98628593234914042</v>
      </c>
      <c r="J207" s="137">
        <f>Controls!$M$6</f>
        <v>0.98628593234914042</v>
      </c>
      <c r="K207" s="137">
        <f>Controls!$M$6</f>
        <v>0.98628593234914042</v>
      </c>
      <c r="L207" s="137">
        <f>Controls!$M$6</f>
        <v>0.98628593234914042</v>
      </c>
    </row>
    <row r="208" spans="1:12" x14ac:dyDescent="0.2">
      <c r="A208" s="137" t="s">
        <v>15</v>
      </c>
      <c r="B208" s="137" t="s">
        <v>389</v>
      </c>
      <c r="C208" s="137" t="str">
        <f t="shared" si="3"/>
        <v>WSHC_BIO_5YEFFICIENCY_PR10CA008</v>
      </c>
      <c r="D208" s="137" t="s">
        <v>119</v>
      </c>
      <c r="E208" s="137" t="s">
        <v>386</v>
      </c>
      <c r="F208" s="214" t="s">
        <v>1</v>
      </c>
      <c r="G208" s="137" t="s">
        <v>50</v>
      </c>
      <c r="H208" s="137">
        <f>Controls!$M$6</f>
        <v>0.98628593234914042</v>
      </c>
      <c r="I208" s="137">
        <f>Controls!$M$6</f>
        <v>0.98628593234914042</v>
      </c>
      <c r="J208" s="137">
        <f>Controls!$M$6</f>
        <v>0.98628593234914042</v>
      </c>
      <c r="K208" s="137">
        <f>Controls!$M$6</f>
        <v>0.98628593234914042</v>
      </c>
      <c r="L208" s="137">
        <f>Controls!$M$6</f>
        <v>0.98628593234914042</v>
      </c>
    </row>
    <row r="209" spans="1:12" x14ac:dyDescent="0.2">
      <c r="A209" s="137" t="s">
        <v>10</v>
      </c>
      <c r="B209" s="137" t="s">
        <v>389</v>
      </c>
      <c r="C209" s="137" t="str">
        <f t="shared" si="3"/>
        <v>WSXC_BIO_5YEFFICIENCY_PR10CA008</v>
      </c>
      <c r="D209" s="137" t="s">
        <v>119</v>
      </c>
      <c r="E209" s="137" t="s">
        <v>386</v>
      </c>
      <c r="F209" s="214" t="s">
        <v>1</v>
      </c>
      <c r="G209" s="137" t="s">
        <v>50</v>
      </c>
      <c r="H209" s="137">
        <f>Controls!$M$6</f>
        <v>0.98628593234914042</v>
      </c>
      <c r="I209" s="137">
        <f>Controls!$M$6</f>
        <v>0.98628593234914042</v>
      </c>
      <c r="J209" s="137">
        <f>Controls!$M$6</f>
        <v>0.98628593234914042</v>
      </c>
      <c r="K209" s="137">
        <f>Controls!$M$6</f>
        <v>0.98628593234914042</v>
      </c>
      <c r="L209" s="137">
        <f>Controls!$M$6</f>
        <v>0.98628593234914042</v>
      </c>
    </row>
    <row r="210" spans="1:12" x14ac:dyDescent="0.2">
      <c r="A210" s="137" t="s">
        <v>11</v>
      </c>
      <c r="B210" s="137" t="s">
        <v>389</v>
      </c>
      <c r="C210" s="137" t="str">
        <f t="shared" si="3"/>
        <v>YKYC_BIO_5YEFFICIENCY_PR10CA008</v>
      </c>
      <c r="D210" s="137" t="s">
        <v>119</v>
      </c>
      <c r="E210" s="137" t="s">
        <v>386</v>
      </c>
      <c r="F210" s="214" t="s">
        <v>1</v>
      </c>
      <c r="G210" s="137" t="s">
        <v>50</v>
      </c>
      <c r="H210" s="137">
        <f>Controls!$M$6</f>
        <v>0.98628593234914042</v>
      </c>
      <c r="I210" s="137">
        <f>Controls!$M$6</f>
        <v>0.98628593234914042</v>
      </c>
      <c r="J210" s="137">
        <f>Controls!$M$6</f>
        <v>0.98628593234914042</v>
      </c>
      <c r="K210" s="137">
        <f>Controls!$M$6</f>
        <v>0.98628593234914042</v>
      </c>
      <c r="L210" s="137">
        <f>Controls!$M$6</f>
        <v>0.98628593234914042</v>
      </c>
    </row>
    <row r="211" spans="1:12" x14ac:dyDescent="0.2">
      <c r="A211" s="10" t="s">
        <v>4</v>
      </c>
      <c r="B211" s="10" t="s">
        <v>144</v>
      </c>
      <c r="C211" s="10" t="str">
        <f t="shared" si="3"/>
        <v>ANHC_BR_WEIGHT_PR19CA008</v>
      </c>
      <c r="D211" s="10" t="s">
        <v>55</v>
      </c>
      <c r="E211" s="10" t="s">
        <v>54</v>
      </c>
      <c r="F211" s="139" t="s">
        <v>1</v>
      </c>
      <c r="G211" s="10" t="s">
        <v>50</v>
      </c>
      <c r="H211" s="10">
        <f>Controls!$D$26</f>
        <v>0.5</v>
      </c>
      <c r="I211" s="10">
        <f>Controls!$D$26</f>
        <v>0.5</v>
      </c>
      <c r="J211" s="10">
        <f>Controls!$D$26</f>
        <v>0.5</v>
      </c>
      <c r="K211" s="10">
        <f>Controls!$D$26</f>
        <v>0.5</v>
      </c>
      <c r="L211" s="10">
        <f>Controls!$D$26</f>
        <v>0.5</v>
      </c>
    </row>
    <row r="212" spans="1:12" x14ac:dyDescent="0.2">
      <c r="A212" s="10" t="s">
        <v>87</v>
      </c>
      <c r="B212" s="10" t="s">
        <v>144</v>
      </c>
      <c r="C212" s="10" t="str">
        <f t="shared" si="3"/>
        <v>HDDC_BR_WEIGHT_PR19CA008</v>
      </c>
      <c r="D212" s="10" t="s">
        <v>55</v>
      </c>
      <c r="E212" s="10" t="s">
        <v>54</v>
      </c>
      <c r="F212" s="139" t="s">
        <v>1</v>
      </c>
      <c r="G212" s="137"/>
      <c r="H212" s="10">
        <f>Controls!$D$26</f>
        <v>0.5</v>
      </c>
      <c r="I212" s="10">
        <f>Controls!$D$26</f>
        <v>0.5</v>
      </c>
      <c r="J212" s="10">
        <f>Controls!$D$26</f>
        <v>0.5</v>
      </c>
      <c r="K212" s="10">
        <f>Controls!$D$26</f>
        <v>0.5</v>
      </c>
      <c r="L212" s="10">
        <f>Controls!$D$26</f>
        <v>0.5</v>
      </c>
    </row>
    <row r="213" spans="1:12" x14ac:dyDescent="0.2">
      <c r="A213" s="10" t="s">
        <v>5</v>
      </c>
      <c r="B213" s="10" t="s">
        <v>144</v>
      </c>
      <c r="C213" s="10" t="str">
        <f t="shared" si="3"/>
        <v>NESC_BR_WEIGHT_PR19CA008</v>
      </c>
      <c r="D213" s="10" t="s">
        <v>55</v>
      </c>
      <c r="E213" s="10" t="s">
        <v>54</v>
      </c>
      <c r="F213" s="139" t="s">
        <v>1</v>
      </c>
      <c r="G213" s="137"/>
      <c r="H213" s="10">
        <f>Controls!$D$26</f>
        <v>0.5</v>
      </c>
      <c r="I213" s="10">
        <f>Controls!$D$26</f>
        <v>0.5</v>
      </c>
      <c r="J213" s="10">
        <f>Controls!$D$26</f>
        <v>0.5</v>
      </c>
      <c r="K213" s="10">
        <f>Controls!$D$26</f>
        <v>0.5</v>
      </c>
      <c r="L213" s="10">
        <f>Controls!$D$26</f>
        <v>0.5</v>
      </c>
    </row>
    <row r="214" spans="1:12" x14ac:dyDescent="0.2">
      <c r="A214" s="10" t="s">
        <v>6</v>
      </c>
      <c r="B214" s="10" t="s">
        <v>144</v>
      </c>
      <c r="C214" s="10" t="str">
        <f t="shared" si="3"/>
        <v>NWTC_BR_WEIGHT_PR19CA008</v>
      </c>
      <c r="D214" s="10" t="s">
        <v>55</v>
      </c>
      <c r="E214" s="10" t="s">
        <v>54</v>
      </c>
      <c r="F214" s="139" t="s">
        <v>1</v>
      </c>
      <c r="G214" s="137" t="s">
        <v>50</v>
      </c>
      <c r="H214" s="10">
        <f>Controls!$D$26</f>
        <v>0.5</v>
      </c>
      <c r="I214" s="10">
        <f>Controls!$D$26</f>
        <v>0.5</v>
      </c>
      <c r="J214" s="10">
        <f>Controls!$D$26</f>
        <v>0.5</v>
      </c>
      <c r="K214" s="10">
        <f>Controls!$D$26</f>
        <v>0.5</v>
      </c>
      <c r="L214" s="10">
        <f>Controls!$D$26</f>
        <v>0.5</v>
      </c>
    </row>
    <row r="215" spans="1:12" x14ac:dyDescent="0.2">
      <c r="A215" s="10" t="s">
        <v>7</v>
      </c>
      <c r="B215" s="138" t="s">
        <v>144</v>
      </c>
      <c r="C215" s="10" t="str">
        <f t="shared" si="3"/>
        <v>SRNC_BR_WEIGHT_PR19CA008</v>
      </c>
      <c r="D215" s="10" t="s">
        <v>55</v>
      </c>
      <c r="E215" s="10" t="s">
        <v>54</v>
      </c>
      <c r="F215" s="139" t="s">
        <v>1</v>
      </c>
      <c r="G215" s="10" t="s">
        <v>50</v>
      </c>
      <c r="H215" s="10">
        <f>Controls!$D$26</f>
        <v>0.5</v>
      </c>
      <c r="I215" s="10">
        <f>Controls!$D$26</f>
        <v>0.5</v>
      </c>
      <c r="J215" s="10">
        <f>Controls!$D$26</f>
        <v>0.5</v>
      </c>
      <c r="K215" s="10">
        <f>Controls!$D$26</f>
        <v>0.5</v>
      </c>
      <c r="L215" s="10">
        <f>Controls!$D$26</f>
        <v>0.5</v>
      </c>
    </row>
    <row r="216" spans="1:12" x14ac:dyDescent="0.2">
      <c r="A216" s="10" t="s">
        <v>116</v>
      </c>
      <c r="B216" s="138" t="s">
        <v>144</v>
      </c>
      <c r="C216" s="10" t="str">
        <f t="shared" si="3"/>
        <v>SVEC_BR_WEIGHT_PR19CA008</v>
      </c>
      <c r="D216" s="10" t="s">
        <v>55</v>
      </c>
      <c r="E216" s="10" t="s">
        <v>54</v>
      </c>
      <c r="F216" s="139" t="s">
        <v>1</v>
      </c>
      <c r="G216" s="10" t="s">
        <v>50</v>
      </c>
      <c r="H216" s="10">
        <f>Controls!$D$26</f>
        <v>0.5</v>
      </c>
      <c r="I216" s="10">
        <f>Controls!$D$26</f>
        <v>0.5</v>
      </c>
      <c r="J216" s="10">
        <f>Controls!$D$26</f>
        <v>0.5</v>
      </c>
      <c r="K216" s="10">
        <f>Controls!$D$26</f>
        <v>0.5</v>
      </c>
      <c r="L216" s="10">
        <f>Controls!$D$26</f>
        <v>0.5</v>
      </c>
    </row>
    <row r="217" spans="1:12" x14ac:dyDescent="0.2">
      <c r="A217" s="10" t="s">
        <v>101</v>
      </c>
      <c r="B217" s="138" t="s">
        <v>144</v>
      </c>
      <c r="C217" s="10" t="str">
        <f t="shared" si="3"/>
        <v>SVHC_BR_WEIGHT_PR19CA008</v>
      </c>
      <c r="D217" s="10" t="s">
        <v>55</v>
      </c>
      <c r="E217" s="10" t="s">
        <v>54</v>
      </c>
      <c r="F217" s="139" t="s">
        <v>1</v>
      </c>
      <c r="G217" s="10" t="s">
        <v>50</v>
      </c>
      <c r="H217" s="10">
        <f>Controls!$D$26</f>
        <v>0.5</v>
      </c>
      <c r="I217" s="10">
        <f>Controls!$D$26</f>
        <v>0.5</v>
      </c>
      <c r="J217" s="10">
        <f>Controls!$D$26</f>
        <v>0.5</v>
      </c>
      <c r="K217" s="10">
        <f>Controls!$D$26</f>
        <v>0.5</v>
      </c>
      <c r="L217" s="10">
        <f>Controls!$D$26</f>
        <v>0.5</v>
      </c>
    </row>
    <row r="218" spans="1:12" x14ac:dyDescent="0.2">
      <c r="A218" s="10" t="s">
        <v>8</v>
      </c>
      <c r="B218" s="138" t="s">
        <v>144</v>
      </c>
      <c r="C218" s="10" t="str">
        <f t="shared" si="3"/>
        <v>SVTC_BR_WEIGHT_PR19CA008</v>
      </c>
      <c r="D218" s="10" t="s">
        <v>55</v>
      </c>
      <c r="E218" s="10" t="s">
        <v>54</v>
      </c>
      <c r="F218" s="139" t="s">
        <v>1</v>
      </c>
      <c r="G218" s="10" t="s">
        <v>50</v>
      </c>
      <c r="H218" s="10">
        <f>Controls!$D$26</f>
        <v>0.5</v>
      </c>
      <c r="I218" s="10">
        <f>Controls!$D$26</f>
        <v>0.5</v>
      </c>
      <c r="J218" s="10">
        <f>Controls!$D$26</f>
        <v>0.5</v>
      </c>
      <c r="K218" s="10">
        <f>Controls!$D$26</f>
        <v>0.5</v>
      </c>
      <c r="L218" s="10">
        <f>Controls!$D$26</f>
        <v>0.5</v>
      </c>
    </row>
    <row r="219" spans="1:12" x14ac:dyDescent="0.2">
      <c r="A219" s="10" t="s">
        <v>12</v>
      </c>
      <c r="B219" s="138" t="s">
        <v>144</v>
      </c>
      <c r="C219" s="10" t="str">
        <f t="shared" si="3"/>
        <v>SWBC_BR_WEIGHT_PR19CA008</v>
      </c>
      <c r="D219" s="10" t="s">
        <v>55</v>
      </c>
      <c r="E219" s="10" t="s">
        <v>54</v>
      </c>
      <c r="F219" s="139" t="s">
        <v>1</v>
      </c>
      <c r="G219" s="10" t="s">
        <v>50</v>
      </c>
      <c r="H219" s="10">
        <f>Controls!$D$26</f>
        <v>0.5</v>
      </c>
      <c r="I219" s="10">
        <f>Controls!$D$26</f>
        <v>0.5</v>
      </c>
      <c r="J219" s="10">
        <f>Controls!$D$26</f>
        <v>0.5</v>
      </c>
      <c r="K219" s="10">
        <f>Controls!$D$26</f>
        <v>0.5</v>
      </c>
      <c r="L219" s="10">
        <f>Controls!$D$26</f>
        <v>0.5</v>
      </c>
    </row>
    <row r="220" spans="1:12" x14ac:dyDescent="0.2">
      <c r="A220" s="10" t="s">
        <v>9</v>
      </c>
      <c r="B220" s="138" t="s">
        <v>144</v>
      </c>
      <c r="C220" s="10" t="str">
        <f t="shared" si="3"/>
        <v>TMSC_BR_WEIGHT_PR19CA008</v>
      </c>
      <c r="D220" s="10" t="s">
        <v>55</v>
      </c>
      <c r="E220" s="10" t="s">
        <v>54</v>
      </c>
      <c r="F220" s="139" t="s">
        <v>1</v>
      </c>
      <c r="G220" s="10" t="s">
        <v>50</v>
      </c>
      <c r="H220" s="10">
        <f>Controls!$D$26</f>
        <v>0.5</v>
      </c>
      <c r="I220" s="10">
        <f>Controls!$D$26</f>
        <v>0.5</v>
      </c>
      <c r="J220" s="10">
        <f>Controls!$D$26</f>
        <v>0.5</v>
      </c>
      <c r="K220" s="10">
        <f>Controls!$D$26</f>
        <v>0.5</v>
      </c>
      <c r="L220" s="10">
        <f>Controls!$D$26</f>
        <v>0.5</v>
      </c>
    </row>
    <row r="221" spans="1:12" x14ac:dyDescent="0.2">
      <c r="A221" s="10" t="s">
        <v>15</v>
      </c>
      <c r="B221" s="138" t="s">
        <v>144</v>
      </c>
      <c r="C221" s="10" t="str">
        <f t="shared" si="3"/>
        <v>WSHC_BR_WEIGHT_PR19CA008</v>
      </c>
      <c r="D221" s="10" t="s">
        <v>55</v>
      </c>
      <c r="E221" s="10" t="s">
        <v>54</v>
      </c>
      <c r="F221" s="139" t="s">
        <v>1</v>
      </c>
      <c r="G221" s="10" t="s">
        <v>50</v>
      </c>
      <c r="H221" s="10">
        <f>Controls!$D$26</f>
        <v>0.5</v>
      </c>
      <c r="I221" s="10">
        <f>Controls!$D$26</f>
        <v>0.5</v>
      </c>
      <c r="J221" s="10">
        <f>Controls!$D$26</f>
        <v>0.5</v>
      </c>
      <c r="K221" s="10">
        <f>Controls!$D$26</f>
        <v>0.5</v>
      </c>
      <c r="L221" s="10">
        <f>Controls!$D$26</f>
        <v>0.5</v>
      </c>
    </row>
    <row r="222" spans="1:12" x14ac:dyDescent="0.2">
      <c r="A222" s="10" t="s">
        <v>10</v>
      </c>
      <c r="B222" s="10" t="s">
        <v>144</v>
      </c>
      <c r="C222" s="10" t="str">
        <f t="shared" si="3"/>
        <v>WSXC_BR_WEIGHT_PR19CA008</v>
      </c>
      <c r="D222" s="10" t="s">
        <v>55</v>
      </c>
      <c r="E222" s="10" t="s">
        <v>54</v>
      </c>
      <c r="F222" s="139" t="s">
        <v>1</v>
      </c>
      <c r="G222" s="10" t="s">
        <v>50</v>
      </c>
      <c r="H222" s="10">
        <f>Controls!$D$26</f>
        <v>0.5</v>
      </c>
      <c r="I222" s="10">
        <f>Controls!$D$26</f>
        <v>0.5</v>
      </c>
      <c r="J222" s="10">
        <f>Controls!$D$26</f>
        <v>0.5</v>
      </c>
      <c r="K222" s="10">
        <f>Controls!$D$26</f>
        <v>0.5</v>
      </c>
      <c r="L222" s="10">
        <f>Controls!$D$26</f>
        <v>0.5</v>
      </c>
    </row>
    <row r="223" spans="1:12" x14ac:dyDescent="0.2">
      <c r="A223" s="10" t="s">
        <v>11</v>
      </c>
      <c r="B223" s="10" t="s">
        <v>144</v>
      </c>
      <c r="C223" s="10" t="str">
        <f t="shared" si="3"/>
        <v>YKYC_BR_WEIGHT_PR19CA008</v>
      </c>
      <c r="D223" s="10" t="s">
        <v>55</v>
      </c>
      <c r="E223" s="10" t="s">
        <v>54</v>
      </c>
      <c r="F223" s="139" t="s">
        <v>1</v>
      </c>
      <c r="G223" s="10" t="s">
        <v>50</v>
      </c>
      <c r="H223" s="10">
        <f>Controls!$D$26</f>
        <v>0.5</v>
      </c>
      <c r="I223" s="10">
        <f>Controls!$D$26</f>
        <v>0.5</v>
      </c>
      <c r="J223" s="10">
        <f>Controls!$D$26</f>
        <v>0.5</v>
      </c>
      <c r="K223" s="10">
        <f>Controls!$D$26</f>
        <v>0.5</v>
      </c>
      <c r="L223" s="10">
        <f>Controls!$D$26</f>
        <v>0.5</v>
      </c>
    </row>
    <row r="224" spans="1:12" x14ac:dyDescent="0.2">
      <c r="A224" s="10" t="s">
        <v>4</v>
      </c>
      <c r="B224" s="138" t="s">
        <v>145</v>
      </c>
      <c r="C224" s="10" t="str">
        <f t="shared" si="3"/>
        <v>ANHC_FINAL_WEIGHT_PR19CA008</v>
      </c>
      <c r="D224" s="10" t="s">
        <v>52</v>
      </c>
      <c r="E224" s="10" t="s">
        <v>51</v>
      </c>
      <c r="F224" s="139" t="s">
        <v>1</v>
      </c>
      <c r="G224" s="140" t="s">
        <v>50</v>
      </c>
      <c r="H224" s="120">
        <f>Controls!$H$22</f>
        <v>0.5</v>
      </c>
      <c r="I224" s="120">
        <f>Controls!$H$22</f>
        <v>0.5</v>
      </c>
      <c r="J224" s="120">
        <f>Controls!$H$22</f>
        <v>0.5</v>
      </c>
      <c r="K224" s="120">
        <f>Controls!$H$22</f>
        <v>0.5</v>
      </c>
      <c r="L224" s="120">
        <f>Controls!$H$22</f>
        <v>0.5</v>
      </c>
    </row>
    <row r="225" spans="1:12" x14ac:dyDescent="0.2">
      <c r="A225" s="10" t="s">
        <v>87</v>
      </c>
      <c r="B225" s="138" t="s">
        <v>145</v>
      </c>
      <c r="C225" s="10" t="str">
        <f t="shared" si="3"/>
        <v>HDDC_FINAL_WEIGHT_PR19CA008</v>
      </c>
      <c r="D225" s="10" t="s">
        <v>52</v>
      </c>
      <c r="E225" s="10" t="s">
        <v>51</v>
      </c>
      <c r="F225" s="139" t="s">
        <v>1</v>
      </c>
      <c r="G225" s="140"/>
      <c r="H225" s="120">
        <f>Controls!$H$22</f>
        <v>0.5</v>
      </c>
      <c r="I225" s="120">
        <f>Controls!$H$22</f>
        <v>0.5</v>
      </c>
      <c r="J225" s="120">
        <f>Controls!$H$22</f>
        <v>0.5</v>
      </c>
      <c r="K225" s="120">
        <f>Controls!$H$22</f>
        <v>0.5</v>
      </c>
      <c r="L225" s="120">
        <f>Controls!$H$22</f>
        <v>0.5</v>
      </c>
    </row>
    <row r="226" spans="1:12" x14ac:dyDescent="0.2">
      <c r="A226" s="10" t="s">
        <v>5</v>
      </c>
      <c r="B226" s="138" t="s">
        <v>145</v>
      </c>
      <c r="C226" s="10" t="str">
        <f t="shared" si="3"/>
        <v>NESC_FINAL_WEIGHT_PR19CA008</v>
      </c>
      <c r="D226" s="10" t="s">
        <v>52</v>
      </c>
      <c r="E226" s="10" t="s">
        <v>51</v>
      </c>
      <c r="F226" s="139" t="s">
        <v>1</v>
      </c>
      <c r="G226" s="140"/>
      <c r="H226" s="120">
        <f>Controls!$H$22</f>
        <v>0.5</v>
      </c>
      <c r="I226" s="120">
        <f>Controls!$H$22</f>
        <v>0.5</v>
      </c>
      <c r="J226" s="120">
        <f>Controls!$H$22</f>
        <v>0.5</v>
      </c>
      <c r="K226" s="120">
        <f>Controls!$H$22</f>
        <v>0.5</v>
      </c>
      <c r="L226" s="120">
        <f>Controls!$H$22</f>
        <v>0.5</v>
      </c>
    </row>
    <row r="227" spans="1:12" x14ac:dyDescent="0.2">
      <c r="A227" s="10" t="s">
        <v>6</v>
      </c>
      <c r="B227" s="138" t="s">
        <v>145</v>
      </c>
      <c r="C227" s="10" t="str">
        <f t="shared" si="3"/>
        <v>NWTC_FINAL_WEIGHT_PR19CA008</v>
      </c>
      <c r="D227" s="10" t="s">
        <v>52</v>
      </c>
      <c r="E227" s="10" t="s">
        <v>51</v>
      </c>
      <c r="F227" s="139" t="s">
        <v>1</v>
      </c>
      <c r="G227" s="140" t="s">
        <v>50</v>
      </c>
      <c r="H227" s="120">
        <f>Controls!$H$22</f>
        <v>0.5</v>
      </c>
      <c r="I227" s="120">
        <f>Controls!$H$22</f>
        <v>0.5</v>
      </c>
      <c r="J227" s="120">
        <f>Controls!$H$22</f>
        <v>0.5</v>
      </c>
      <c r="K227" s="120">
        <f>Controls!$H$22</f>
        <v>0.5</v>
      </c>
      <c r="L227" s="120">
        <f>Controls!$H$22</f>
        <v>0.5</v>
      </c>
    </row>
    <row r="228" spans="1:12" x14ac:dyDescent="0.2">
      <c r="A228" s="10" t="s">
        <v>7</v>
      </c>
      <c r="B228" s="138" t="s">
        <v>145</v>
      </c>
      <c r="C228" s="10" t="str">
        <f t="shared" si="3"/>
        <v>SRNC_FINAL_WEIGHT_PR19CA008</v>
      </c>
      <c r="D228" s="10" t="s">
        <v>52</v>
      </c>
      <c r="E228" s="10" t="s">
        <v>51</v>
      </c>
      <c r="F228" s="139" t="s">
        <v>1</v>
      </c>
      <c r="G228" s="140" t="s">
        <v>50</v>
      </c>
      <c r="H228" s="120">
        <f>Controls!$H$22</f>
        <v>0.5</v>
      </c>
      <c r="I228" s="120">
        <f>Controls!$H$22</f>
        <v>0.5</v>
      </c>
      <c r="J228" s="120">
        <f>Controls!$H$22</f>
        <v>0.5</v>
      </c>
      <c r="K228" s="120">
        <f>Controls!$H$22</f>
        <v>0.5</v>
      </c>
      <c r="L228" s="120">
        <f>Controls!$H$22</f>
        <v>0.5</v>
      </c>
    </row>
    <row r="229" spans="1:12" x14ac:dyDescent="0.2">
      <c r="A229" s="10" t="s">
        <v>116</v>
      </c>
      <c r="B229" s="138" t="s">
        <v>145</v>
      </c>
      <c r="C229" s="10" t="str">
        <f t="shared" si="3"/>
        <v>SVEC_FINAL_WEIGHT_PR19CA008</v>
      </c>
      <c r="D229" s="10" t="s">
        <v>52</v>
      </c>
      <c r="E229" s="10" t="s">
        <v>51</v>
      </c>
      <c r="F229" s="139" t="s">
        <v>1</v>
      </c>
      <c r="G229" s="140" t="s">
        <v>50</v>
      </c>
      <c r="H229" s="120">
        <f>Controls!$H$22</f>
        <v>0.5</v>
      </c>
      <c r="I229" s="120">
        <f>Controls!$H$22</f>
        <v>0.5</v>
      </c>
      <c r="J229" s="120">
        <f>Controls!$H$22</f>
        <v>0.5</v>
      </c>
      <c r="K229" s="120">
        <f>Controls!$H$22</f>
        <v>0.5</v>
      </c>
      <c r="L229" s="120">
        <f>Controls!$H$22</f>
        <v>0.5</v>
      </c>
    </row>
    <row r="230" spans="1:12" x14ac:dyDescent="0.2">
      <c r="A230" s="10" t="s">
        <v>101</v>
      </c>
      <c r="B230" s="138" t="s">
        <v>145</v>
      </c>
      <c r="C230" s="10" t="str">
        <f t="shared" si="3"/>
        <v>SVHC_FINAL_WEIGHT_PR19CA008</v>
      </c>
      <c r="D230" s="10" t="s">
        <v>52</v>
      </c>
      <c r="E230" s="10" t="s">
        <v>51</v>
      </c>
      <c r="F230" s="139" t="s">
        <v>1</v>
      </c>
      <c r="G230" s="140" t="s">
        <v>50</v>
      </c>
      <c r="H230" s="120">
        <f>Controls!$H$22</f>
        <v>0.5</v>
      </c>
      <c r="I230" s="120">
        <f>Controls!$H$22</f>
        <v>0.5</v>
      </c>
      <c r="J230" s="120">
        <f>Controls!$H$22</f>
        <v>0.5</v>
      </c>
      <c r="K230" s="120">
        <f>Controls!$H$22</f>
        <v>0.5</v>
      </c>
      <c r="L230" s="120">
        <f>Controls!$H$22</f>
        <v>0.5</v>
      </c>
    </row>
    <row r="231" spans="1:12" x14ac:dyDescent="0.2">
      <c r="A231" s="10" t="s">
        <v>8</v>
      </c>
      <c r="B231" s="138" t="s">
        <v>145</v>
      </c>
      <c r="C231" s="10" t="str">
        <f t="shared" si="3"/>
        <v>SVTC_FINAL_WEIGHT_PR19CA008</v>
      </c>
      <c r="D231" s="10" t="s">
        <v>52</v>
      </c>
      <c r="E231" s="10" t="s">
        <v>51</v>
      </c>
      <c r="F231" s="139" t="s">
        <v>1</v>
      </c>
      <c r="G231" s="140" t="s">
        <v>50</v>
      </c>
      <c r="H231" s="120">
        <f>Controls!$H$22</f>
        <v>0.5</v>
      </c>
      <c r="I231" s="120">
        <f>Controls!$H$22</f>
        <v>0.5</v>
      </c>
      <c r="J231" s="120">
        <f>Controls!$H$22</f>
        <v>0.5</v>
      </c>
      <c r="K231" s="120">
        <f>Controls!$H$22</f>
        <v>0.5</v>
      </c>
      <c r="L231" s="120">
        <f>Controls!$H$22</f>
        <v>0.5</v>
      </c>
    </row>
    <row r="232" spans="1:12" x14ac:dyDescent="0.2">
      <c r="A232" s="10" t="s">
        <v>12</v>
      </c>
      <c r="B232" s="138" t="s">
        <v>145</v>
      </c>
      <c r="C232" s="10" t="str">
        <f t="shared" si="3"/>
        <v>SWBC_FINAL_WEIGHT_PR19CA008</v>
      </c>
      <c r="D232" s="10" t="s">
        <v>52</v>
      </c>
      <c r="E232" s="10" t="s">
        <v>51</v>
      </c>
      <c r="F232" s="139" t="s">
        <v>1</v>
      </c>
      <c r="G232" s="140" t="s">
        <v>50</v>
      </c>
      <c r="H232" s="120">
        <f>Controls!$H$22</f>
        <v>0.5</v>
      </c>
      <c r="I232" s="120">
        <f>Controls!$H$22</f>
        <v>0.5</v>
      </c>
      <c r="J232" s="120">
        <f>Controls!$H$22</f>
        <v>0.5</v>
      </c>
      <c r="K232" s="120">
        <f>Controls!$H$22</f>
        <v>0.5</v>
      </c>
      <c r="L232" s="120">
        <f>Controls!$H$22</f>
        <v>0.5</v>
      </c>
    </row>
    <row r="233" spans="1:12" x14ac:dyDescent="0.2">
      <c r="A233" s="10" t="s">
        <v>9</v>
      </c>
      <c r="B233" s="138" t="s">
        <v>145</v>
      </c>
      <c r="C233" s="10" t="str">
        <f t="shared" si="3"/>
        <v>TMSC_FINAL_WEIGHT_PR19CA008</v>
      </c>
      <c r="D233" s="10" t="s">
        <v>52</v>
      </c>
      <c r="E233" s="10" t="s">
        <v>51</v>
      </c>
      <c r="F233" s="139" t="s">
        <v>1</v>
      </c>
      <c r="G233" s="140" t="s">
        <v>50</v>
      </c>
      <c r="H233" s="120">
        <f>Controls!$H$22</f>
        <v>0.5</v>
      </c>
      <c r="I233" s="120">
        <f>Controls!$H$22</f>
        <v>0.5</v>
      </c>
      <c r="J233" s="120">
        <f>Controls!$H$22</f>
        <v>0.5</v>
      </c>
      <c r="K233" s="120">
        <f>Controls!$H$22</f>
        <v>0.5</v>
      </c>
      <c r="L233" s="120">
        <f>Controls!$H$22</f>
        <v>0.5</v>
      </c>
    </row>
    <row r="234" spans="1:12" x14ac:dyDescent="0.2">
      <c r="A234" s="10" t="s">
        <v>15</v>
      </c>
      <c r="B234" s="138" t="s">
        <v>145</v>
      </c>
      <c r="C234" s="10" t="str">
        <f t="shared" ref="C234:C297" si="5">A234&amp;B234</f>
        <v>WSHC_FINAL_WEIGHT_PR19CA008</v>
      </c>
      <c r="D234" s="10" t="s">
        <v>52</v>
      </c>
      <c r="E234" s="10" t="s">
        <v>51</v>
      </c>
      <c r="F234" s="139" t="s">
        <v>1</v>
      </c>
      <c r="G234" s="140" t="s">
        <v>50</v>
      </c>
      <c r="H234" s="120">
        <f>Controls!$H$22</f>
        <v>0.5</v>
      </c>
      <c r="I234" s="120">
        <f>Controls!$H$22</f>
        <v>0.5</v>
      </c>
      <c r="J234" s="120">
        <f>Controls!$H$22</f>
        <v>0.5</v>
      </c>
      <c r="K234" s="120">
        <f>Controls!$H$22</f>
        <v>0.5</v>
      </c>
      <c r="L234" s="120">
        <f>Controls!$H$22</f>
        <v>0.5</v>
      </c>
    </row>
    <row r="235" spans="1:12" x14ac:dyDescent="0.2">
      <c r="A235" s="10" t="s">
        <v>10</v>
      </c>
      <c r="B235" s="138" t="s">
        <v>145</v>
      </c>
      <c r="C235" s="10" t="str">
        <f t="shared" si="5"/>
        <v>WSXC_FINAL_WEIGHT_PR19CA008</v>
      </c>
      <c r="D235" s="10" t="s">
        <v>52</v>
      </c>
      <c r="E235" s="10" t="s">
        <v>51</v>
      </c>
      <c r="F235" s="139" t="s">
        <v>1</v>
      </c>
      <c r="G235" s="140" t="s">
        <v>50</v>
      </c>
      <c r="H235" s="120">
        <f>Controls!$H$22</f>
        <v>0.5</v>
      </c>
      <c r="I235" s="120">
        <f>Controls!$H$22</f>
        <v>0.5</v>
      </c>
      <c r="J235" s="120">
        <f>Controls!$H$22</f>
        <v>0.5</v>
      </c>
      <c r="K235" s="120">
        <f>Controls!$H$22</f>
        <v>0.5</v>
      </c>
      <c r="L235" s="120">
        <f>Controls!$H$22</f>
        <v>0.5</v>
      </c>
    </row>
    <row r="236" spans="1:12" x14ac:dyDescent="0.2">
      <c r="A236" s="10" t="s">
        <v>11</v>
      </c>
      <c r="B236" s="138" t="s">
        <v>145</v>
      </c>
      <c r="C236" s="10" t="str">
        <f t="shared" si="5"/>
        <v>YKYC_FINAL_WEIGHT_PR19CA008</v>
      </c>
      <c r="D236" s="10" t="s">
        <v>52</v>
      </c>
      <c r="E236" s="10" t="s">
        <v>51</v>
      </c>
      <c r="F236" s="139" t="s">
        <v>1</v>
      </c>
      <c r="G236" s="140" t="s">
        <v>50</v>
      </c>
      <c r="H236" s="120">
        <f>Controls!$H$22</f>
        <v>0.5</v>
      </c>
      <c r="I236" s="120">
        <f>Controls!$H$22</f>
        <v>0.5</v>
      </c>
      <c r="J236" s="120">
        <f>Controls!$H$22</f>
        <v>0.5</v>
      </c>
      <c r="K236" s="120">
        <f>Controls!$H$22</f>
        <v>0.5</v>
      </c>
      <c r="L236" s="120">
        <f>Controls!$H$22</f>
        <v>0.5</v>
      </c>
    </row>
    <row r="237" spans="1:12" x14ac:dyDescent="0.2">
      <c r="A237" s="10" t="s">
        <v>4</v>
      </c>
      <c r="B237" s="10" t="s">
        <v>57</v>
      </c>
      <c r="C237" s="10" t="str">
        <f t="shared" si="5"/>
        <v>ANHPR19QA_CA008_OUT_1</v>
      </c>
      <c r="D237" s="10" t="s">
        <v>117</v>
      </c>
      <c r="E237" s="10"/>
      <c r="F237" s="139" t="s">
        <v>56</v>
      </c>
      <c r="G237" s="140" t="s">
        <v>50</v>
      </c>
      <c r="H237" s="141" t="str">
        <f ca="1">CONCATENATE("[…]", TEXT(NOW(),"dd/mm/yyy hh:mm:ss"))</f>
        <v>[…]12/07/2019 09:38:32</v>
      </c>
      <c r="I237" s="141" t="str">
        <f t="shared" ref="I237:L249" ca="1" si="6">CONCATENATE("[…]", TEXT(NOW(),"dd/mm/yyy hh:mm:ss"))</f>
        <v>[…]12/07/2019 09:38:32</v>
      </c>
      <c r="J237" s="141" t="str">
        <f t="shared" ca="1" si="6"/>
        <v>[…]12/07/2019 09:38:32</v>
      </c>
      <c r="K237" s="141" t="str">
        <f t="shared" ca="1" si="6"/>
        <v>[…]12/07/2019 09:38:32</v>
      </c>
      <c r="L237" s="141" t="str">
        <f t="shared" ca="1" si="6"/>
        <v>[…]12/07/2019 09:38:32</v>
      </c>
    </row>
    <row r="238" spans="1:12" x14ac:dyDescent="0.2">
      <c r="A238" s="9" t="s">
        <v>87</v>
      </c>
      <c r="B238" s="9" t="s">
        <v>57</v>
      </c>
      <c r="C238" s="10" t="str">
        <f t="shared" si="5"/>
        <v>HDDPR19QA_CA008_OUT_1</v>
      </c>
      <c r="D238" s="9" t="s">
        <v>117</v>
      </c>
      <c r="E238" s="9"/>
      <c r="F238" s="135" t="s">
        <v>56</v>
      </c>
      <c r="G238" s="140" t="s">
        <v>50</v>
      </c>
      <c r="H238" s="141" t="str">
        <f t="shared" ref="H238:H249" ca="1" si="7">CONCATENATE("[…]", TEXT(NOW(),"dd/mm/yyy hh:mm:ss"))</f>
        <v>[…]12/07/2019 09:38:32</v>
      </c>
      <c r="I238" s="141" t="str">
        <f t="shared" ca="1" si="6"/>
        <v>[…]12/07/2019 09:38:32</v>
      </c>
      <c r="J238" s="141" t="str">
        <f t="shared" ca="1" si="6"/>
        <v>[…]12/07/2019 09:38:32</v>
      </c>
      <c r="K238" s="141" t="str">
        <f t="shared" ca="1" si="6"/>
        <v>[…]12/07/2019 09:38:32</v>
      </c>
      <c r="L238" s="141" t="str">
        <f t="shared" ca="1" si="6"/>
        <v>[…]12/07/2019 09:38:32</v>
      </c>
    </row>
    <row r="239" spans="1:12" x14ac:dyDescent="0.2">
      <c r="A239" s="9" t="s">
        <v>5</v>
      </c>
      <c r="B239" s="9" t="s">
        <v>57</v>
      </c>
      <c r="C239" s="10" t="str">
        <f t="shared" si="5"/>
        <v>NESPR19QA_CA008_OUT_1</v>
      </c>
      <c r="D239" s="140" t="s">
        <v>117</v>
      </c>
      <c r="E239" s="140"/>
      <c r="F239" s="142" t="s">
        <v>56</v>
      </c>
      <c r="G239" s="140" t="s">
        <v>50</v>
      </c>
      <c r="H239" s="141" t="str">
        <f t="shared" ca="1" si="7"/>
        <v>[…]12/07/2019 09:38:32</v>
      </c>
      <c r="I239" s="141" t="str">
        <f t="shared" ca="1" si="6"/>
        <v>[…]12/07/2019 09:38:32</v>
      </c>
      <c r="J239" s="141" t="str">
        <f t="shared" ca="1" si="6"/>
        <v>[…]12/07/2019 09:38:32</v>
      </c>
      <c r="K239" s="141" t="str">
        <f t="shared" ca="1" si="6"/>
        <v>[…]12/07/2019 09:38:32</v>
      </c>
      <c r="L239" s="141" t="str">
        <f t="shared" ca="1" si="6"/>
        <v>[…]12/07/2019 09:38:32</v>
      </c>
    </row>
    <row r="240" spans="1:12" x14ac:dyDescent="0.2">
      <c r="A240" s="9" t="s">
        <v>6</v>
      </c>
      <c r="B240" s="9" t="s">
        <v>57</v>
      </c>
      <c r="C240" s="10" t="str">
        <f t="shared" si="5"/>
        <v>NWTPR19QA_CA008_OUT_1</v>
      </c>
      <c r="D240" s="140" t="s">
        <v>117</v>
      </c>
      <c r="E240" s="140"/>
      <c r="F240" s="142" t="s">
        <v>56</v>
      </c>
      <c r="G240" s="140" t="s">
        <v>50</v>
      </c>
      <c r="H240" s="141" t="str">
        <f t="shared" ca="1" si="7"/>
        <v>[…]12/07/2019 09:38:32</v>
      </c>
      <c r="I240" s="141" t="str">
        <f t="shared" ca="1" si="6"/>
        <v>[…]12/07/2019 09:38:32</v>
      </c>
      <c r="J240" s="141" t="str">
        <f t="shared" ca="1" si="6"/>
        <v>[…]12/07/2019 09:38:32</v>
      </c>
      <c r="K240" s="141" t="str">
        <f t="shared" ca="1" si="6"/>
        <v>[…]12/07/2019 09:38:32</v>
      </c>
      <c r="L240" s="141" t="str">
        <f t="shared" ca="1" si="6"/>
        <v>[…]12/07/2019 09:38:32</v>
      </c>
    </row>
    <row r="241" spans="1:12" x14ac:dyDescent="0.2">
      <c r="A241" s="9" t="s">
        <v>7</v>
      </c>
      <c r="B241" s="9" t="s">
        <v>57</v>
      </c>
      <c r="C241" s="10" t="str">
        <f t="shared" si="5"/>
        <v>SRNPR19QA_CA008_OUT_1</v>
      </c>
      <c r="D241" s="9" t="s">
        <v>117</v>
      </c>
      <c r="E241" s="9"/>
      <c r="F241" s="135" t="s">
        <v>56</v>
      </c>
      <c r="G241" s="140" t="s">
        <v>50</v>
      </c>
      <c r="H241" s="141" t="str">
        <f t="shared" ca="1" si="7"/>
        <v>[…]12/07/2019 09:38:32</v>
      </c>
      <c r="I241" s="141" t="str">
        <f t="shared" ca="1" si="6"/>
        <v>[…]12/07/2019 09:38:32</v>
      </c>
      <c r="J241" s="141" t="str">
        <f t="shared" ca="1" si="6"/>
        <v>[…]12/07/2019 09:38:32</v>
      </c>
      <c r="K241" s="141" t="str">
        <f t="shared" ca="1" si="6"/>
        <v>[…]12/07/2019 09:38:32</v>
      </c>
      <c r="L241" s="141" t="str">
        <f t="shared" ca="1" si="6"/>
        <v>[…]12/07/2019 09:38:32</v>
      </c>
    </row>
    <row r="242" spans="1:12" x14ac:dyDescent="0.2">
      <c r="A242" s="9" t="s">
        <v>116</v>
      </c>
      <c r="B242" s="9" t="s">
        <v>57</v>
      </c>
      <c r="C242" s="10" t="str">
        <f t="shared" si="5"/>
        <v>SVEPR19QA_CA008_OUT_1</v>
      </c>
      <c r="D242" s="9" t="s">
        <v>117</v>
      </c>
      <c r="E242" s="9"/>
      <c r="F242" s="135" t="s">
        <v>56</v>
      </c>
      <c r="G242" s="140" t="s">
        <v>50</v>
      </c>
      <c r="H242" s="141" t="str">
        <f t="shared" ca="1" si="7"/>
        <v>[…]12/07/2019 09:38:32</v>
      </c>
      <c r="I242" s="141" t="str">
        <f t="shared" ca="1" si="6"/>
        <v>[…]12/07/2019 09:38:32</v>
      </c>
      <c r="J242" s="141" t="str">
        <f t="shared" ca="1" si="6"/>
        <v>[…]12/07/2019 09:38:32</v>
      </c>
      <c r="K242" s="141" t="str">
        <f t="shared" ca="1" si="6"/>
        <v>[…]12/07/2019 09:38:32</v>
      </c>
      <c r="L242" s="141" t="str">
        <f t="shared" ca="1" si="6"/>
        <v>[…]12/07/2019 09:38:32</v>
      </c>
    </row>
    <row r="243" spans="1:12" x14ac:dyDescent="0.2">
      <c r="A243" s="9" t="s">
        <v>101</v>
      </c>
      <c r="B243" s="9" t="s">
        <v>57</v>
      </c>
      <c r="C243" s="10" t="str">
        <f t="shared" si="5"/>
        <v>SVHPR19QA_CA008_OUT_1</v>
      </c>
      <c r="D243" s="9" t="s">
        <v>117</v>
      </c>
      <c r="E243" s="9"/>
      <c r="F243" s="135" t="s">
        <v>56</v>
      </c>
      <c r="G243" s="140" t="s">
        <v>50</v>
      </c>
      <c r="H243" s="141" t="str">
        <f t="shared" ca="1" si="7"/>
        <v>[…]12/07/2019 09:38:32</v>
      </c>
      <c r="I243" s="141" t="str">
        <f t="shared" ca="1" si="6"/>
        <v>[…]12/07/2019 09:38:32</v>
      </c>
      <c r="J243" s="141" t="str">
        <f t="shared" ca="1" si="6"/>
        <v>[…]12/07/2019 09:38:32</v>
      </c>
      <c r="K243" s="141" t="str">
        <f t="shared" ca="1" si="6"/>
        <v>[…]12/07/2019 09:38:32</v>
      </c>
      <c r="L243" s="141" t="str">
        <f t="shared" ca="1" si="6"/>
        <v>[…]12/07/2019 09:38:32</v>
      </c>
    </row>
    <row r="244" spans="1:12" x14ac:dyDescent="0.2">
      <c r="A244" s="9" t="s">
        <v>8</v>
      </c>
      <c r="B244" s="9" t="s">
        <v>57</v>
      </c>
      <c r="C244" s="10" t="str">
        <f t="shared" si="5"/>
        <v>SVTPR19QA_CA008_OUT_1</v>
      </c>
      <c r="D244" s="9" t="s">
        <v>117</v>
      </c>
      <c r="E244" s="9"/>
      <c r="F244" s="135" t="s">
        <v>56</v>
      </c>
      <c r="G244" s="120"/>
      <c r="H244" s="141" t="str">
        <f t="shared" ca="1" si="7"/>
        <v>[…]12/07/2019 09:38:32</v>
      </c>
      <c r="I244" s="141" t="str">
        <f t="shared" ca="1" si="6"/>
        <v>[…]12/07/2019 09:38:32</v>
      </c>
      <c r="J244" s="141" t="str">
        <f t="shared" ca="1" si="6"/>
        <v>[…]12/07/2019 09:38:32</v>
      </c>
      <c r="K244" s="141" t="str">
        <f t="shared" ca="1" si="6"/>
        <v>[…]12/07/2019 09:38:32</v>
      </c>
      <c r="L244" s="141" t="str">
        <f t="shared" ca="1" si="6"/>
        <v>[…]12/07/2019 09:38:32</v>
      </c>
    </row>
    <row r="245" spans="1:12" x14ac:dyDescent="0.2">
      <c r="A245" s="9" t="s">
        <v>12</v>
      </c>
      <c r="B245" s="9" t="s">
        <v>57</v>
      </c>
      <c r="C245" s="10" t="str">
        <f t="shared" si="5"/>
        <v>SWBPR19QA_CA008_OUT_1</v>
      </c>
      <c r="D245" s="9" t="s">
        <v>117</v>
      </c>
      <c r="E245" s="9"/>
      <c r="F245" s="135" t="s">
        <v>56</v>
      </c>
      <c r="G245" s="120"/>
      <c r="H245" s="141" t="str">
        <f t="shared" ca="1" si="7"/>
        <v>[…]12/07/2019 09:38:32</v>
      </c>
      <c r="I245" s="141" t="str">
        <f t="shared" ca="1" si="6"/>
        <v>[…]12/07/2019 09:38:32</v>
      </c>
      <c r="J245" s="141" t="str">
        <f t="shared" ca="1" si="6"/>
        <v>[…]12/07/2019 09:38:32</v>
      </c>
      <c r="K245" s="141" t="str">
        <f t="shared" ca="1" si="6"/>
        <v>[…]12/07/2019 09:38:32</v>
      </c>
      <c r="L245" s="141" t="str">
        <f t="shared" ca="1" si="6"/>
        <v>[…]12/07/2019 09:38:32</v>
      </c>
    </row>
    <row r="246" spans="1:12" x14ac:dyDescent="0.2">
      <c r="A246" s="9" t="s">
        <v>9</v>
      </c>
      <c r="B246" s="9" t="s">
        <v>57</v>
      </c>
      <c r="C246" s="10" t="str">
        <f t="shared" si="5"/>
        <v>TMSPR19QA_CA008_OUT_1</v>
      </c>
      <c r="D246" s="9" t="s">
        <v>117</v>
      </c>
      <c r="E246" s="9"/>
      <c r="F246" s="135" t="s">
        <v>56</v>
      </c>
      <c r="G246" s="120"/>
      <c r="H246" s="141" t="str">
        <f t="shared" ca="1" si="7"/>
        <v>[…]12/07/2019 09:38:32</v>
      </c>
      <c r="I246" s="141" t="str">
        <f t="shared" ca="1" si="6"/>
        <v>[…]12/07/2019 09:38:32</v>
      </c>
      <c r="J246" s="141" t="str">
        <f t="shared" ca="1" si="6"/>
        <v>[…]12/07/2019 09:38:32</v>
      </c>
      <c r="K246" s="141" t="str">
        <f t="shared" ca="1" si="6"/>
        <v>[…]12/07/2019 09:38:32</v>
      </c>
      <c r="L246" s="141" t="str">
        <f t="shared" ca="1" si="6"/>
        <v>[…]12/07/2019 09:38:32</v>
      </c>
    </row>
    <row r="247" spans="1:12" x14ac:dyDescent="0.2">
      <c r="A247" s="9" t="s">
        <v>15</v>
      </c>
      <c r="B247" s="9" t="s">
        <v>57</v>
      </c>
      <c r="C247" s="10" t="str">
        <f t="shared" si="5"/>
        <v>WSHPR19QA_CA008_OUT_1</v>
      </c>
      <c r="D247" s="9" t="s">
        <v>117</v>
      </c>
      <c r="E247" s="9"/>
      <c r="F247" s="135" t="s">
        <v>56</v>
      </c>
      <c r="G247" s="120"/>
      <c r="H247" s="141" t="str">
        <f t="shared" ca="1" si="7"/>
        <v>[…]12/07/2019 09:38:32</v>
      </c>
      <c r="I247" s="141" t="str">
        <f t="shared" ca="1" si="6"/>
        <v>[…]12/07/2019 09:38:32</v>
      </c>
      <c r="J247" s="141" t="str">
        <f t="shared" ca="1" si="6"/>
        <v>[…]12/07/2019 09:38:32</v>
      </c>
      <c r="K247" s="141" t="str">
        <f t="shared" ca="1" si="6"/>
        <v>[…]12/07/2019 09:38:32</v>
      </c>
      <c r="L247" s="141" t="str">
        <f t="shared" ca="1" si="6"/>
        <v>[…]12/07/2019 09:38:32</v>
      </c>
    </row>
    <row r="248" spans="1:12" x14ac:dyDescent="0.2">
      <c r="A248" s="9" t="s">
        <v>10</v>
      </c>
      <c r="B248" s="9" t="s">
        <v>57</v>
      </c>
      <c r="C248" s="10" t="str">
        <f t="shared" si="5"/>
        <v>WSXPR19QA_CA008_OUT_1</v>
      </c>
      <c r="D248" s="9" t="s">
        <v>117</v>
      </c>
      <c r="E248" s="9"/>
      <c r="F248" s="135" t="s">
        <v>56</v>
      </c>
      <c r="G248" s="120"/>
      <c r="H248" s="141" t="str">
        <f t="shared" ca="1" si="7"/>
        <v>[…]12/07/2019 09:38:32</v>
      </c>
      <c r="I248" s="141" t="str">
        <f t="shared" ca="1" si="6"/>
        <v>[…]12/07/2019 09:38:32</v>
      </c>
      <c r="J248" s="141" t="str">
        <f t="shared" ca="1" si="6"/>
        <v>[…]12/07/2019 09:38:32</v>
      </c>
      <c r="K248" s="141" t="str">
        <f t="shared" ca="1" si="6"/>
        <v>[…]12/07/2019 09:38:32</v>
      </c>
      <c r="L248" s="141" t="str">
        <f t="shared" ca="1" si="6"/>
        <v>[…]12/07/2019 09:38:32</v>
      </c>
    </row>
    <row r="249" spans="1:12" x14ac:dyDescent="0.2">
      <c r="A249" s="9" t="s">
        <v>11</v>
      </c>
      <c r="B249" s="9" t="s">
        <v>57</v>
      </c>
      <c r="C249" s="10" t="str">
        <f t="shared" si="5"/>
        <v>YKYPR19QA_CA008_OUT_1</v>
      </c>
      <c r="D249" s="9" t="s">
        <v>117</v>
      </c>
      <c r="E249" s="9"/>
      <c r="F249" s="135" t="s">
        <v>56</v>
      </c>
      <c r="G249" s="120"/>
      <c r="H249" s="141" t="str">
        <f t="shared" ca="1" si="7"/>
        <v>[…]12/07/2019 09:38:32</v>
      </c>
      <c r="I249" s="141" t="str">
        <f t="shared" ca="1" si="6"/>
        <v>[…]12/07/2019 09:38:32</v>
      </c>
      <c r="J249" s="141" t="str">
        <f t="shared" ca="1" si="6"/>
        <v>[…]12/07/2019 09:38:32</v>
      </c>
      <c r="K249" s="141" t="str">
        <f t="shared" ca="1" si="6"/>
        <v>[…]12/07/2019 09:38:32</v>
      </c>
      <c r="L249" s="141" t="str">
        <f t="shared" ca="1" si="6"/>
        <v>[…]12/07/2019 09:38:32</v>
      </c>
    </row>
    <row r="250" spans="1:12" x14ac:dyDescent="0.2">
      <c r="A250" s="9" t="s">
        <v>4</v>
      </c>
      <c r="B250" s="9" t="s">
        <v>58</v>
      </c>
      <c r="C250" s="10" t="str">
        <f t="shared" si="5"/>
        <v>ANHPR19QA_CA008_OUT_2</v>
      </c>
      <c r="D250" s="9" t="s">
        <v>118</v>
      </c>
      <c r="E250" s="9"/>
      <c r="F250" s="135" t="s">
        <v>56</v>
      </c>
      <c r="G250" s="120"/>
      <c r="H250" s="141" t="str">
        <f ca="1">MID(CELL("filename",$E$1),SEARCH("[",CELL("filename",$E$1))+1,SEARCH(".",CELL("filename",$E$1))-1-SEARCH("[",CELL("filename",$E$1)))</f>
        <v>FM_WWW4_ST_DD</v>
      </c>
      <c r="I250" s="141" t="str">
        <f t="shared" ref="I250:L262" ca="1" si="8">MID(CELL("filename",$E$1),SEARCH("[",CELL("filename",$E$1))+1,SEARCH(".",CELL("filename",$E$1))-1-SEARCH("[",CELL("filename",$E$1)))</f>
        <v>FM_WWW4_ST_DD</v>
      </c>
      <c r="J250" s="141" t="str">
        <f t="shared" ca="1" si="8"/>
        <v>FM_WWW4_ST_DD</v>
      </c>
      <c r="K250" s="141" t="str">
        <f t="shared" ca="1" si="8"/>
        <v>FM_WWW4_ST_DD</v>
      </c>
      <c r="L250" s="141" t="str">
        <f t="shared" ca="1" si="8"/>
        <v>FM_WWW4_ST_DD</v>
      </c>
    </row>
    <row r="251" spans="1:12" x14ac:dyDescent="0.2">
      <c r="A251" s="9" t="s">
        <v>87</v>
      </c>
      <c r="B251" s="9" t="s">
        <v>58</v>
      </c>
      <c r="C251" s="10" t="str">
        <f t="shared" si="5"/>
        <v>HDDPR19QA_CA008_OUT_2</v>
      </c>
      <c r="D251" s="9" t="s">
        <v>118</v>
      </c>
      <c r="E251" s="9"/>
      <c r="F251" s="135" t="s">
        <v>56</v>
      </c>
      <c r="G251" s="120"/>
      <c r="H251" s="141" t="str">
        <f t="shared" ref="H251:H262" ca="1" si="9">MID(CELL("filename",$E$1),SEARCH("[",CELL("filename",$E$1))+1,SEARCH(".",CELL("filename",$E$1))-1-SEARCH("[",CELL("filename",$E$1)))</f>
        <v>FM_WWW4_ST_DD</v>
      </c>
      <c r="I251" s="141" t="str">
        <f t="shared" ca="1" si="8"/>
        <v>FM_WWW4_ST_DD</v>
      </c>
      <c r="J251" s="141" t="str">
        <f t="shared" ca="1" si="8"/>
        <v>FM_WWW4_ST_DD</v>
      </c>
      <c r="K251" s="141" t="str">
        <f t="shared" ca="1" si="8"/>
        <v>FM_WWW4_ST_DD</v>
      </c>
      <c r="L251" s="141" t="str">
        <f t="shared" ca="1" si="8"/>
        <v>FM_WWW4_ST_DD</v>
      </c>
    </row>
    <row r="252" spans="1:12" x14ac:dyDescent="0.2">
      <c r="A252" s="9" t="s">
        <v>5</v>
      </c>
      <c r="B252" s="9" t="s">
        <v>58</v>
      </c>
      <c r="C252" s="10" t="str">
        <f t="shared" si="5"/>
        <v>NESPR19QA_CA008_OUT_2</v>
      </c>
      <c r="D252" s="9" t="s">
        <v>118</v>
      </c>
      <c r="E252" s="9"/>
      <c r="F252" s="135" t="s">
        <v>56</v>
      </c>
      <c r="G252" s="120"/>
      <c r="H252" s="141" t="str">
        <f t="shared" ca="1" si="9"/>
        <v>FM_WWW4_ST_DD</v>
      </c>
      <c r="I252" s="141" t="str">
        <f t="shared" ca="1" si="8"/>
        <v>FM_WWW4_ST_DD</v>
      </c>
      <c r="J252" s="141" t="str">
        <f t="shared" ca="1" si="8"/>
        <v>FM_WWW4_ST_DD</v>
      </c>
      <c r="K252" s="141" t="str">
        <f t="shared" ca="1" si="8"/>
        <v>FM_WWW4_ST_DD</v>
      </c>
      <c r="L252" s="141" t="str">
        <f t="shared" ca="1" si="8"/>
        <v>FM_WWW4_ST_DD</v>
      </c>
    </row>
    <row r="253" spans="1:12" x14ac:dyDescent="0.2">
      <c r="A253" s="9" t="s">
        <v>6</v>
      </c>
      <c r="B253" s="9" t="s">
        <v>58</v>
      </c>
      <c r="C253" s="10" t="str">
        <f t="shared" si="5"/>
        <v>NWTPR19QA_CA008_OUT_2</v>
      </c>
      <c r="D253" s="9" t="s">
        <v>118</v>
      </c>
      <c r="E253" s="9"/>
      <c r="F253" s="135" t="s">
        <v>56</v>
      </c>
      <c r="G253" s="120"/>
      <c r="H253" s="141" t="str">
        <f t="shared" ca="1" si="9"/>
        <v>FM_WWW4_ST_DD</v>
      </c>
      <c r="I253" s="141" t="str">
        <f t="shared" ca="1" si="8"/>
        <v>FM_WWW4_ST_DD</v>
      </c>
      <c r="J253" s="141" t="str">
        <f t="shared" ca="1" si="8"/>
        <v>FM_WWW4_ST_DD</v>
      </c>
      <c r="K253" s="141" t="str">
        <f t="shared" ca="1" si="8"/>
        <v>FM_WWW4_ST_DD</v>
      </c>
      <c r="L253" s="141" t="str">
        <f t="shared" ca="1" si="8"/>
        <v>FM_WWW4_ST_DD</v>
      </c>
    </row>
    <row r="254" spans="1:12" x14ac:dyDescent="0.2">
      <c r="A254" s="9" t="s">
        <v>7</v>
      </c>
      <c r="B254" s="9" t="s">
        <v>58</v>
      </c>
      <c r="C254" s="10" t="str">
        <f t="shared" si="5"/>
        <v>SRNPR19QA_CA008_OUT_2</v>
      </c>
      <c r="D254" s="9" t="s">
        <v>118</v>
      </c>
      <c r="E254" s="9"/>
      <c r="F254" s="135" t="s">
        <v>56</v>
      </c>
      <c r="G254" s="120"/>
      <c r="H254" s="141" t="str">
        <f t="shared" ca="1" si="9"/>
        <v>FM_WWW4_ST_DD</v>
      </c>
      <c r="I254" s="141" t="str">
        <f t="shared" ca="1" si="8"/>
        <v>FM_WWW4_ST_DD</v>
      </c>
      <c r="J254" s="141" t="str">
        <f t="shared" ca="1" si="8"/>
        <v>FM_WWW4_ST_DD</v>
      </c>
      <c r="K254" s="141" t="str">
        <f t="shared" ca="1" si="8"/>
        <v>FM_WWW4_ST_DD</v>
      </c>
      <c r="L254" s="141" t="str">
        <f t="shared" ca="1" si="8"/>
        <v>FM_WWW4_ST_DD</v>
      </c>
    </row>
    <row r="255" spans="1:12" x14ac:dyDescent="0.2">
      <c r="A255" s="9" t="s">
        <v>116</v>
      </c>
      <c r="B255" s="9" t="s">
        <v>58</v>
      </c>
      <c r="C255" s="10" t="str">
        <f t="shared" si="5"/>
        <v>SVEPR19QA_CA008_OUT_2</v>
      </c>
      <c r="D255" s="9" t="s">
        <v>118</v>
      </c>
      <c r="E255" s="9"/>
      <c r="F255" s="135" t="s">
        <v>56</v>
      </c>
      <c r="G255" s="120"/>
      <c r="H255" s="141" t="str">
        <f t="shared" ca="1" si="9"/>
        <v>FM_WWW4_ST_DD</v>
      </c>
      <c r="I255" s="141" t="str">
        <f t="shared" ca="1" si="8"/>
        <v>FM_WWW4_ST_DD</v>
      </c>
      <c r="J255" s="141" t="str">
        <f t="shared" ca="1" si="8"/>
        <v>FM_WWW4_ST_DD</v>
      </c>
      <c r="K255" s="141" t="str">
        <f t="shared" ca="1" si="8"/>
        <v>FM_WWW4_ST_DD</v>
      </c>
      <c r="L255" s="141" t="str">
        <f t="shared" ca="1" si="8"/>
        <v>FM_WWW4_ST_DD</v>
      </c>
    </row>
    <row r="256" spans="1:12" x14ac:dyDescent="0.2">
      <c r="A256" s="9" t="s">
        <v>101</v>
      </c>
      <c r="B256" s="9" t="s">
        <v>58</v>
      </c>
      <c r="C256" s="10" t="str">
        <f t="shared" si="5"/>
        <v>SVHPR19QA_CA008_OUT_2</v>
      </c>
      <c r="D256" s="9" t="s">
        <v>118</v>
      </c>
      <c r="E256" s="9"/>
      <c r="F256" s="135" t="s">
        <v>56</v>
      </c>
      <c r="G256" s="120"/>
      <c r="H256" s="141" t="str">
        <f t="shared" ca="1" si="9"/>
        <v>FM_WWW4_ST_DD</v>
      </c>
      <c r="I256" s="141" t="str">
        <f t="shared" ca="1" si="8"/>
        <v>FM_WWW4_ST_DD</v>
      </c>
      <c r="J256" s="141" t="str">
        <f t="shared" ca="1" si="8"/>
        <v>FM_WWW4_ST_DD</v>
      </c>
      <c r="K256" s="141" t="str">
        <f t="shared" ca="1" si="8"/>
        <v>FM_WWW4_ST_DD</v>
      </c>
      <c r="L256" s="141" t="str">
        <f t="shared" ca="1" si="8"/>
        <v>FM_WWW4_ST_DD</v>
      </c>
    </row>
    <row r="257" spans="1:12" x14ac:dyDescent="0.2">
      <c r="A257" s="9" t="s">
        <v>8</v>
      </c>
      <c r="B257" s="9" t="s">
        <v>58</v>
      </c>
      <c r="C257" s="10" t="str">
        <f t="shared" si="5"/>
        <v>SVTPR19QA_CA008_OUT_2</v>
      </c>
      <c r="D257" s="9" t="s">
        <v>118</v>
      </c>
      <c r="E257" s="9"/>
      <c r="F257" s="135" t="s">
        <v>56</v>
      </c>
      <c r="G257" s="120"/>
      <c r="H257" s="141" t="str">
        <f t="shared" ca="1" si="9"/>
        <v>FM_WWW4_ST_DD</v>
      </c>
      <c r="I257" s="141" t="str">
        <f t="shared" ca="1" si="8"/>
        <v>FM_WWW4_ST_DD</v>
      </c>
      <c r="J257" s="141" t="str">
        <f t="shared" ca="1" si="8"/>
        <v>FM_WWW4_ST_DD</v>
      </c>
      <c r="K257" s="141" t="str">
        <f t="shared" ca="1" si="8"/>
        <v>FM_WWW4_ST_DD</v>
      </c>
      <c r="L257" s="141" t="str">
        <f t="shared" ca="1" si="8"/>
        <v>FM_WWW4_ST_DD</v>
      </c>
    </row>
    <row r="258" spans="1:12" x14ac:dyDescent="0.2">
      <c r="A258" s="9" t="s">
        <v>12</v>
      </c>
      <c r="B258" s="9" t="s">
        <v>58</v>
      </c>
      <c r="C258" s="10" t="str">
        <f t="shared" si="5"/>
        <v>SWBPR19QA_CA008_OUT_2</v>
      </c>
      <c r="D258" s="9" t="s">
        <v>118</v>
      </c>
      <c r="E258" s="9"/>
      <c r="F258" s="135" t="s">
        <v>56</v>
      </c>
      <c r="G258" s="120"/>
      <c r="H258" s="141" t="str">
        <f t="shared" ca="1" si="9"/>
        <v>FM_WWW4_ST_DD</v>
      </c>
      <c r="I258" s="141" t="str">
        <f t="shared" ca="1" si="8"/>
        <v>FM_WWW4_ST_DD</v>
      </c>
      <c r="J258" s="141" t="str">
        <f t="shared" ca="1" si="8"/>
        <v>FM_WWW4_ST_DD</v>
      </c>
      <c r="K258" s="141" t="str">
        <f t="shared" ca="1" si="8"/>
        <v>FM_WWW4_ST_DD</v>
      </c>
      <c r="L258" s="141" t="str">
        <f t="shared" ca="1" si="8"/>
        <v>FM_WWW4_ST_DD</v>
      </c>
    </row>
    <row r="259" spans="1:12" x14ac:dyDescent="0.2">
      <c r="A259" s="9" t="s">
        <v>9</v>
      </c>
      <c r="B259" s="9" t="s">
        <v>58</v>
      </c>
      <c r="C259" s="10" t="str">
        <f t="shared" si="5"/>
        <v>TMSPR19QA_CA008_OUT_2</v>
      </c>
      <c r="D259" s="9" t="s">
        <v>118</v>
      </c>
      <c r="E259" s="9"/>
      <c r="F259" s="135" t="s">
        <v>56</v>
      </c>
      <c r="G259" s="120"/>
      <c r="H259" s="141" t="str">
        <f t="shared" ca="1" si="9"/>
        <v>FM_WWW4_ST_DD</v>
      </c>
      <c r="I259" s="141" t="str">
        <f t="shared" ca="1" si="8"/>
        <v>FM_WWW4_ST_DD</v>
      </c>
      <c r="J259" s="141" t="str">
        <f t="shared" ca="1" si="8"/>
        <v>FM_WWW4_ST_DD</v>
      </c>
      <c r="K259" s="141" t="str">
        <f t="shared" ca="1" si="8"/>
        <v>FM_WWW4_ST_DD</v>
      </c>
      <c r="L259" s="141" t="str">
        <f t="shared" ca="1" si="8"/>
        <v>FM_WWW4_ST_DD</v>
      </c>
    </row>
    <row r="260" spans="1:12" x14ac:dyDescent="0.2">
      <c r="A260" s="9" t="s">
        <v>15</v>
      </c>
      <c r="B260" s="9" t="s">
        <v>58</v>
      </c>
      <c r="C260" s="10" t="str">
        <f t="shared" si="5"/>
        <v>WSHPR19QA_CA008_OUT_2</v>
      </c>
      <c r="D260" s="9" t="s">
        <v>118</v>
      </c>
      <c r="E260" s="9"/>
      <c r="F260" s="135" t="s">
        <v>56</v>
      </c>
      <c r="G260" s="120"/>
      <c r="H260" s="141" t="str">
        <f t="shared" ca="1" si="9"/>
        <v>FM_WWW4_ST_DD</v>
      </c>
      <c r="I260" s="141" t="str">
        <f t="shared" ca="1" si="8"/>
        <v>FM_WWW4_ST_DD</v>
      </c>
      <c r="J260" s="141" t="str">
        <f t="shared" ca="1" si="8"/>
        <v>FM_WWW4_ST_DD</v>
      </c>
      <c r="K260" s="141" t="str">
        <f t="shared" ca="1" si="8"/>
        <v>FM_WWW4_ST_DD</v>
      </c>
      <c r="L260" s="141" t="str">
        <f t="shared" ca="1" si="8"/>
        <v>FM_WWW4_ST_DD</v>
      </c>
    </row>
    <row r="261" spans="1:12" x14ac:dyDescent="0.2">
      <c r="A261" s="9" t="s">
        <v>10</v>
      </c>
      <c r="B261" s="9" t="s">
        <v>58</v>
      </c>
      <c r="C261" s="10" t="str">
        <f t="shared" si="5"/>
        <v>WSXPR19QA_CA008_OUT_2</v>
      </c>
      <c r="D261" s="9" t="s">
        <v>118</v>
      </c>
      <c r="E261" s="9"/>
      <c r="F261" s="135" t="s">
        <v>56</v>
      </c>
      <c r="G261" s="120"/>
      <c r="H261" s="141" t="str">
        <f t="shared" ca="1" si="9"/>
        <v>FM_WWW4_ST_DD</v>
      </c>
      <c r="I261" s="141" t="str">
        <f t="shared" ca="1" si="8"/>
        <v>FM_WWW4_ST_DD</v>
      </c>
      <c r="J261" s="141" t="str">
        <f t="shared" ca="1" si="8"/>
        <v>FM_WWW4_ST_DD</v>
      </c>
      <c r="K261" s="141" t="str">
        <f t="shared" ca="1" si="8"/>
        <v>FM_WWW4_ST_DD</v>
      </c>
      <c r="L261" s="141" t="str">
        <f t="shared" ca="1" si="8"/>
        <v>FM_WWW4_ST_DD</v>
      </c>
    </row>
    <row r="262" spans="1:12" x14ac:dyDescent="0.2">
      <c r="A262" s="9" t="s">
        <v>11</v>
      </c>
      <c r="B262" s="9" t="s">
        <v>58</v>
      </c>
      <c r="C262" s="10" t="str">
        <f t="shared" si="5"/>
        <v>YKYPR19QA_CA008_OUT_2</v>
      </c>
      <c r="D262" s="9" t="s">
        <v>118</v>
      </c>
      <c r="E262" s="9"/>
      <c r="F262" s="135" t="s">
        <v>56</v>
      </c>
      <c r="G262" s="120"/>
      <c r="H262" s="141" t="str">
        <f t="shared" ca="1" si="9"/>
        <v>FM_WWW4_ST_DD</v>
      </c>
      <c r="I262" s="141" t="str">
        <f t="shared" ca="1" si="8"/>
        <v>FM_WWW4_ST_DD</v>
      </c>
      <c r="J262" s="141" t="str">
        <f t="shared" ca="1" si="8"/>
        <v>FM_WWW4_ST_DD</v>
      </c>
      <c r="K262" s="141" t="str">
        <f t="shared" ca="1" si="8"/>
        <v>FM_WWW4_ST_DD</v>
      </c>
      <c r="L262" s="141" t="str">
        <f t="shared" ca="1" si="8"/>
        <v>FM_WWW4_ST_DD</v>
      </c>
    </row>
    <row r="263" spans="1:12" x14ac:dyDescent="0.2">
      <c r="A263" s="9" t="s">
        <v>4</v>
      </c>
      <c r="B263" s="9" t="s">
        <v>251</v>
      </c>
      <c r="C263" s="10" t="str">
        <f t="shared" si="5"/>
        <v>ANHC_WWNOPEX_PR19CA008</v>
      </c>
      <c r="D263" s="120" t="s">
        <v>241</v>
      </c>
      <c r="E263" s="120"/>
      <c r="F263" s="143" t="s">
        <v>2</v>
      </c>
      <c r="G263" s="120"/>
      <c r="H263" s="120">
        <f>_xlfn.IFNA(INDEX('Financial model inputs '!$A$3:$AJ$59,MATCH(F_Interface!$A263&amp;RIGHT(F_Interface!H$2,2),'Financial model inputs '!$A$3:$A$59,0),MATCH(F_Interface!$B263,'Financial model inputs '!$A$3:$AJ$3,0)),0)</f>
        <v>216.96543716014963</v>
      </c>
      <c r="I263" s="120">
        <f>_xlfn.IFNA(INDEX('Financial model inputs '!$A$3:$AJ$59,MATCH(F_Interface!$A263&amp;RIGHT(F_Interface!I$2,2),'Financial model inputs '!$A$3:$A$59,0),MATCH(F_Interface!$B263,'Financial model inputs '!$A$3:$AJ$3,0)),0)</f>
        <v>217.44704899164844</v>
      </c>
      <c r="J263" s="120">
        <f>_xlfn.IFNA(INDEX('Financial model inputs '!$A$3:$AJ$59,MATCH(F_Interface!$A263&amp;RIGHT(F_Interface!J$2,2),'Financial model inputs '!$A$3:$A$59,0),MATCH(F_Interface!$B263,'Financial model inputs '!$A$3:$AJ$3,0)),0)</f>
        <v>247.59486051596895</v>
      </c>
      <c r="K263" s="120">
        <f>_xlfn.IFNA(INDEX('Financial model inputs '!$A$3:$AJ$59,MATCH(F_Interface!$A263&amp;RIGHT(F_Interface!K$2,2),'Financial model inputs '!$A$3:$A$59,0),MATCH(F_Interface!$B263,'Financial model inputs '!$A$3:$AJ$3,0)),0)</f>
        <v>249.10891603236141</v>
      </c>
      <c r="L263" s="120">
        <f>_xlfn.IFNA(INDEX('Financial model inputs '!$A$3:$AJ$59,MATCH(F_Interface!$A263&amp;RIGHT(F_Interface!L$2,2),'Financial model inputs '!$A$3:$A$59,0),MATCH(F_Interface!$B263,'Financial model inputs '!$A$3:$AJ$3,0)),0)</f>
        <v>227.72709519102338</v>
      </c>
    </row>
    <row r="264" spans="1:12" x14ac:dyDescent="0.2">
      <c r="A264" s="9" t="s">
        <v>87</v>
      </c>
      <c r="B264" s="9" t="s">
        <v>251</v>
      </c>
      <c r="C264" s="10" t="str">
        <f t="shared" si="5"/>
        <v>HDDC_WWNOPEX_PR19CA008</v>
      </c>
      <c r="D264" s="120" t="s">
        <v>241</v>
      </c>
      <c r="E264" s="120"/>
      <c r="F264" s="143" t="s">
        <v>2</v>
      </c>
      <c r="G264" s="120"/>
      <c r="H264" s="120">
        <f>_xlfn.IFNA(INDEX('Financial model inputs '!$A$3:$AJ$59,MATCH(F_Interface!$A264&amp;RIGHT(F_Interface!H$2,2),'Financial model inputs '!$A$3:$A$59,0),MATCH(F_Interface!$B264,'Financial model inputs '!$A$3:$AJ$3,0)),0)</f>
        <v>2.6246191603755458</v>
      </c>
      <c r="I264" s="120">
        <f>_xlfn.IFNA(INDEX('Financial model inputs '!$A$3:$AJ$59,MATCH(F_Interface!$A264&amp;RIGHT(F_Interface!I$2,2),'Financial model inputs '!$A$3:$A$59,0),MATCH(F_Interface!$B264,'Financial model inputs '!$A$3:$AJ$3,0)),0)</f>
        <v>2.6273015495297272</v>
      </c>
      <c r="J264" s="120">
        <f>_xlfn.IFNA(INDEX('Financial model inputs '!$A$3:$AJ$59,MATCH(F_Interface!$A264&amp;RIGHT(F_Interface!J$2,2),'Financial model inputs '!$A$3:$A$59,0),MATCH(F_Interface!$B264,'Financial model inputs '!$A$3:$AJ$3,0)),0)</f>
        <v>2.6180557530854016</v>
      </c>
      <c r="K264" s="120">
        <f>_xlfn.IFNA(INDEX('Financial model inputs '!$A$3:$AJ$59,MATCH(F_Interface!$A264&amp;RIGHT(F_Interface!K$2,2),'Financial model inputs '!$A$3:$A$59,0),MATCH(F_Interface!$B264,'Financial model inputs '!$A$3:$AJ$3,0)),0)</f>
        <v>2.6135937159690013</v>
      </c>
      <c r="L264" s="120">
        <f>_xlfn.IFNA(INDEX('Financial model inputs '!$A$3:$AJ$59,MATCH(F_Interface!$A264&amp;RIGHT(F_Interface!L$2,2),'Financial model inputs '!$A$3:$A$59,0),MATCH(F_Interface!$B264,'Financial model inputs '!$A$3:$AJ$3,0)),0)</f>
        <v>2.6150179650681009</v>
      </c>
    </row>
    <row r="265" spans="1:12" x14ac:dyDescent="0.2">
      <c r="A265" s="9" t="s">
        <v>5</v>
      </c>
      <c r="B265" s="9" t="s">
        <v>251</v>
      </c>
      <c r="C265" s="10" t="str">
        <f t="shared" si="5"/>
        <v>NESC_WWNOPEX_PR19CA008</v>
      </c>
      <c r="D265" s="120" t="s">
        <v>241</v>
      </c>
      <c r="E265" s="120"/>
      <c r="F265" s="143" t="s">
        <v>2</v>
      </c>
      <c r="G265" s="120"/>
      <c r="H265" s="120">
        <f>_xlfn.IFNA(INDEX('Financial model inputs '!$A$3:$AJ$59,MATCH(F_Interface!$A265&amp;RIGHT(F_Interface!H$2,2),'Financial model inputs '!$A$3:$A$59,0),MATCH(F_Interface!$B265,'Financial model inputs '!$A$3:$AJ$3,0)),0)</f>
        <v>90.152831569314998</v>
      </c>
      <c r="I265" s="120">
        <f>_xlfn.IFNA(INDEX('Financial model inputs '!$A$3:$AJ$59,MATCH(F_Interface!$A265&amp;RIGHT(F_Interface!I$2,2),'Financial model inputs '!$A$3:$A$59,0),MATCH(F_Interface!$B265,'Financial model inputs '!$A$3:$AJ$3,0)),0)</f>
        <v>89.805574142684975</v>
      </c>
      <c r="J265" s="120">
        <f>_xlfn.IFNA(INDEX('Financial model inputs '!$A$3:$AJ$59,MATCH(F_Interface!$A265&amp;RIGHT(F_Interface!J$2,2),'Financial model inputs '!$A$3:$A$59,0),MATCH(F_Interface!$B265,'Financial model inputs '!$A$3:$AJ$3,0)),0)</f>
        <v>89.489508815157748</v>
      </c>
      <c r="K265" s="120">
        <f>_xlfn.IFNA(INDEX('Financial model inputs '!$A$3:$AJ$59,MATCH(F_Interface!$A265&amp;RIGHT(F_Interface!K$2,2),'Financial model inputs '!$A$3:$A$59,0),MATCH(F_Interface!$B265,'Financial model inputs '!$A$3:$AJ$3,0)),0)</f>
        <v>89.209685826530588</v>
      </c>
      <c r="L265" s="120">
        <f>_xlfn.IFNA(INDEX('Financial model inputs '!$A$3:$AJ$59,MATCH(F_Interface!$A265&amp;RIGHT(F_Interface!L$2,2),'Financial model inputs '!$A$3:$A$59,0),MATCH(F_Interface!$B265,'Financial model inputs '!$A$3:$AJ$3,0)),0)</f>
        <v>89.002637556655543</v>
      </c>
    </row>
    <row r="266" spans="1:12" x14ac:dyDescent="0.2">
      <c r="A266" s="9" t="s">
        <v>6</v>
      </c>
      <c r="B266" s="9" t="s">
        <v>251</v>
      </c>
      <c r="C266" s="10" t="str">
        <f t="shared" si="5"/>
        <v>NWTC_WWNOPEX_PR19CA008</v>
      </c>
      <c r="D266" s="120" t="s">
        <v>241</v>
      </c>
      <c r="E266" s="120"/>
      <c r="F266" s="143" t="s">
        <v>2</v>
      </c>
      <c r="G266" s="120"/>
      <c r="H266" s="120">
        <f>_xlfn.IFNA(INDEX('Financial model inputs '!$A$3:$AJ$59,MATCH(F_Interface!$A266&amp;RIGHT(F_Interface!H$2,2),'Financial model inputs '!$A$3:$A$59,0),MATCH(F_Interface!$B266,'Financial model inputs '!$A$3:$AJ$3,0)),0)</f>
        <v>259.84878537574644</v>
      </c>
      <c r="I266" s="120">
        <f>_xlfn.IFNA(INDEX('Financial model inputs '!$A$3:$AJ$59,MATCH(F_Interface!$A266&amp;RIGHT(F_Interface!I$2,2),'Financial model inputs '!$A$3:$A$59,0),MATCH(F_Interface!$B266,'Financial model inputs '!$A$3:$AJ$3,0)),0)</f>
        <v>250.86725297491498</v>
      </c>
      <c r="J266" s="120">
        <f>_xlfn.IFNA(INDEX('Financial model inputs '!$A$3:$AJ$59,MATCH(F_Interface!$A266&amp;RIGHT(F_Interface!J$2,2),'Financial model inputs '!$A$3:$A$59,0),MATCH(F_Interface!$B266,'Financial model inputs '!$A$3:$AJ$3,0)),0)</f>
        <v>254.17221321480994</v>
      </c>
      <c r="K266" s="120">
        <f>_xlfn.IFNA(INDEX('Financial model inputs '!$A$3:$AJ$59,MATCH(F_Interface!$A266&amp;RIGHT(F_Interface!K$2,2),'Financial model inputs '!$A$3:$A$59,0),MATCH(F_Interface!$B266,'Financial model inputs '!$A$3:$AJ$3,0)),0)</f>
        <v>238.98265021470104</v>
      </c>
      <c r="L266" s="120">
        <f>_xlfn.IFNA(INDEX('Financial model inputs '!$A$3:$AJ$59,MATCH(F_Interface!$A266&amp;RIGHT(F_Interface!L$2,2),'Financial model inputs '!$A$3:$A$59,0),MATCH(F_Interface!$B266,'Financial model inputs '!$A$3:$AJ$3,0)),0)</f>
        <v>262.78863169487141</v>
      </c>
    </row>
    <row r="267" spans="1:12" x14ac:dyDescent="0.2">
      <c r="A267" s="9" t="s">
        <v>7</v>
      </c>
      <c r="B267" s="9" t="s">
        <v>251</v>
      </c>
      <c r="C267" s="10" t="str">
        <f t="shared" si="5"/>
        <v>SRNC_WWNOPEX_PR19CA008</v>
      </c>
      <c r="D267" s="120" t="s">
        <v>241</v>
      </c>
      <c r="E267" s="120"/>
      <c r="F267" s="143" t="s">
        <v>2</v>
      </c>
      <c r="G267" s="120"/>
      <c r="H267" s="120">
        <f>_xlfn.IFNA(INDEX('Financial model inputs '!$A$3:$AJ$59,MATCH(F_Interface!$A267&amp;RIGHT(F_Interface!H$2,2),'Financial model inputs '!$A$3:$A$59,0),MATCH(F_Interface!$B267,'Financial model inputs '!$A$3:$AJ$3,0)),0)</f>
        <v>157.94544316186636</v>
      </c>
      <c r="I267" s="120">
        <f>_xlfn.IFNA(INDEX('Financial model inputs '!$A$3:$AJ$59,MATCH(F_Interface!$A267&amp;RIGHT(F_Interface!I$2,2),'Financial model inputs '!$A$3:$A$59,0),MATCH(F_Interface!$B267,'Financial model inputs '!$A$3:$AJ$3,0)),0)</f>
        <v>147.42663197180053</v>
      </c>
      <c r="J267" s="120">
        <f>_xlfn.IFNA(INDEX('Financial model inputs '!$A$3:$AJ$59,MATCH(F_Interface!$A267&amp;RIGHT(F_Interface!J$2,2),'Financial model inputs '!$A$3:$A$59,0),MATCH(F_Interface!$B267,'Financial model inputs '!$A$3:$AJ$3,0)),0)</f>
        <v>139.32897212074079</v>
      </c>
      <c r="K267" s="120">
        <f>_xlfn.IFNA(INDEX('Financial model inputs '!$A$3:$AJ$59,MATCH(F_Interface!$A267&amp;RIGHT(F_Interface!K$2,2),'Financial model inputs '!$A$3:$A$59,0),MATCH(F_Interface!$B267,'Financial model inputs '!$A$3:$AJ$3,0)),0)</f>
        <v>129.02949815166866</v>
      </c>
      <c r="L267" s="120">
        <f>_xlfn.IFNA(INDEX('Financial model inputs '!$A$3:$AJ$59,MATCH(F_Interface!$A267&amp;RIGHT(F_Interface!L$2,2),'Financial model inputs '!$A$3:$A$59,0),MATCH(F_Interface!$B267,'Financial model inputs '!$A$3:$AJ$3,0)),0)</f>
        <v>139.47745418763435</v>
      </c>
    </row>
    <row r="268" spans="1:12" x14ac:dyDescent="0.2">
      <c r="A268" s="9" t="s">
        <v>116</v>
      </c>
      <c r="B268" s="9" t="s">
        <v>251</v>
      </c>
      <c r="C268" s="10" t="str">
        <f t="shared" si="5"/>
        <v>SVEC_WWNOPEX_PR19CA008</v>
      </c>
      <c r="D268" s="120" t="s">
        <v>241</v>
      </c>
      <c r="E268" s="120"/>
      <c r="F268" s="143" t="s">
        <v>2</v>
      </c>
      <c r="G268" s="120"/>
      <c r="H268" s="120">
        <f>_xlfn.IFNA(INDEX('Financial model inputs '!$A$3:$AJ$59,MATCH(F_Interface!$A268&amp;RIGHT(F_Interface!H$2,2),'Financial model inputs '!$A$3:$A$59,0),MATCH(F_Interface!$B268,'Financial model inputs '!$A$3:$AJ$3,0)),0)</f>
        <v>310.43286130256422</v>
      </c>
      <c r="I268" s="120">
        <f>_xlfn.IFNA(INDEX('Financial model inputs '!$A$3:$AJ$59,MATCH(F_Interface!$A268&amp;RIGHT(F_Interface!I$2,2),'Financial model inputs '!$A$3:$A$59,0),MATCH(F_Interface!$B268,'Financial model inputs '!$A$3:$AJ$3,0)),0)</f>
        <v>307.36162608952571</v>
      </c>
      <c r="J268" s="120">
        <f>_xlfn.IFNA(INDEX('Financial model inputs '!$A$3:$AJ$59,MATCH(F_Interface!$A268&amp;RIGHT(F_Interface!J$2,2),'Financial model inputs '!$A$3:$A$59,0),MATCH(F_Interface!$B268,'Financial model inputs '!$A$3:$AJ$3,0)),0)</f>
        <v>303.39315462525968</v>
      </c>
      <c r="K268" s="120">
        <f>_xlfn.IFNA(INDEX('Financial model inputs '!$A$3:$AJ$59,MATCH(F_Interface!$A268&amp;RIGHT(F_Interface!K$2,2),'Financial model inputs '!$A$3:$A$59,0),MATCH(F_Interface!$B268,'Financial model inputs '!$A$3:$AJ$3,0)),0)</f>
        <v>306.90810267339464</v>
      </c>
      <c r="L268" s="120">
        <f>_xlfn.IFNA(INDEX('Financial model inputs '!$A$3:$AJ$59,MATCH(F_Interface!$A268&amp;RIGHT(F_Interface!L$2,2),'Financial model inputs '!$A$3:$A$59,0),MATCH(F_Interface!$B268,'Financial model inputs '!$A$3:$AJ$3,0)),0)</f>
        <v>314.63059298476128</v>
      </c>
    </row>
    <row r="269" spans="1:12" x14ac:dyDescent="0.2">
      <c r="A269" s="9" t="s">
        <v>101</v>
      </c>
      <c r="B269" s="9" t="s">
        <v>251</v>
      </c>
      <c r="C269" s="10" t="str">
        <f t="shared" si="5"/>
        <v>SVHC_WWNOPEX_PR19CA008</v>
      </c>
      <c r="D269" s="120" t="s">
        <v>241</v>
      </c>
      <c r="E269" s="120"/>
      <c r="F269" s="143" t="s">
        <v>2</v>
      </c>
      <c r="G269" s="120"/>
      <c r="H269" s="120">
        <f>_xlfn.IFNA(INDEX('Financial model inputs '!$A$3:$AJ$59,MATCH(F_Interface!$A269&amp;RIGHT(F_Interface!H$2,2),'Financial model inputs '!$A$3:$A$59,0),MATCH(F_Interface!$B269,'Financial model inputs '!$A$3:$AJ$3,0)),0)</f>
        <v>0</v>
      </c>
      <c r="I269" s="120">
        <f>_xlfn.IFNA(INDEX('Financial model inputs '!$A$3:$AJ$59,MATCH(F_Interface!$A269&amp;RIGHT(F_Interface!I$2,2),'Financial model inputs '!$A$3:$A$59,0),MATCH(F_Interface!$B269,'Financial model inputs '!$A$3:$AJ$3,0)),0)</f>
        <v>0</v>
      </c>
      <c r="J269" s="120">
        <f>_xlfn.IFNA(INDEX('Financial model inputs '!$A$3:$AJ$59,MATCH(F_Interface!$A269&amp;RIGHT(F_Interface!J$2,2),'Financial model inputs '!$A$3:$A$59,0),MATCH(F_Interface!$B269,'Financial model inputs '!$A$3:$AJ$3,0)),0)</f>
        <v>0</v>
      </c>
      <c r="K269" s="120">
        <f>_xlfn.IFNA(INDEX('Financial model inputs '!$A$3:$AJ$59,MATCH(F_Interface!$A269&amp;RIGHT(F_Interface!K$2,2),'Financial model inputs '!$A$3:$A$59,0),MATCH(F_Interface!$B269,'Financial model inputs '!$A$3:$AJ$3,0)),0)</f>
        <v>0</v>
      </c>
      <c r="L269" s="120">
        <f>_xlfn.IFNA(INDEX('Financial model inputs '!$A$3:$AJ$59,MATCH(F_Interface!$A269&amp;RIGHT(F_Interface!L$2,2),'Financial model inputs '!$A$3:$A$59,0),MATCH(F_Interface!$B269,'Financial model inputs '!$A$3:$AJ$3,0)),0)</f>
        <v>0</v>
      </c>
    </row>
    <row r="270" spans="1:12" x14ac:dyDescent="0.2">
      <c r="A270" s="9" t="s">
        <v>8</v>
      </c>
      <c r="B270" s="9" t="s">
        <v>251</v>
      </c>
      <c r="C270" s="10" t="str">
        <f t="shared" si="5"/>
        <v>SVTC_WWNOPEX_PR19CA008</v>
      </c>
      <c r="D270" s="120" t="s">
        <v>241</v>
      </c>
      <c r="E270" s="120"/>
      <c r="F270" s="143" t="s">
        <v>2</v>
      </c>
      <c r="G270" s="120"/>
      <c r="H270" s="120">
        <f>_xlfn.IFNA(INDEX('Financial model inputs '!$A$3:$AJ$59,MATCH(F_Interface!$A270&amp;RIGHT(F_Interface!H$2,2),'Financial model inputs '!$A$3:$A$59,0),MATCH(F_Interface!$B270,'Financial model inputs '!$A$3:$AJ$3,0)),0)</f>
        <v>0</v>
      </c>
      <c r="I270" s="120">
        <f>_xlfn.IFNA(INDEX('Financial model inputs '!$A$3:$AJ$59,MATCH(F_Interface!$A270&amp;RIGHT(F_Interface!I$2,2),'Financial model inputs '!$A$3:$A$59,0),MATCH(F_Interface!$B270,'Financial model inputs '!$A$3:$AJ$3,0)),0)</f>
        <v>0</v>
      </c>
      <c r="J270" s="120">
        <f>_xlfn.IFNA(INDEX('Financial model inputs '!$A$3:$AJ$59,MATCH(F_Interface!$A270&amp;RIGHT(F_Interface!J$2,2),'Financial model inputs '!$A$3:$A$59,0),MATCH(F_Interface!$B270,'Financial model inputs '!$A$3:$AJ$3,0)),0)</f>
        <v>0</v>
      </c>
      <c r="K270" s="120">
        <f>_xlfn.IFNA(INDEX('Financial model inputs '!$A$3:$AJ$59,MATCH(F_Interface!$A270&amp;RIGHT(F_Interface!K$2,2),'Financial model inputs '!$A$3:$A$59,0),MATCH(F_Interface!$B270,'Financial model inputs '!$A$3:$AJ$3,0)),0)</f>
        <v>0</v>
      </c>
      <c r="L270" s="120">
        <f>_xlfn.IFNA(INDEX('Financial model inputs '!$A$3:$AJ$59,MATCH(F_Interface!$A270&amp;RIGHT(F_Interface!L$2,2),'Financial model inputs '!$A$3:$A$59,0),MATCH(F_Interface!$B270,'Financial model inputs '!$A$3:$AJ$3,0)),0)</f>
        <v>0</v>
      </c>
    </row>
    <row r="271" spans="1:12" x14ac:dyDescent="0.2">
      <c r="A271" s="9" t="s">
        <v>12</v>
      </c>
      <c r="B271" s="9" t="s">
        <v>251</v>
      </c>
      <c r="C271" s="10" t="str">
        <f t="shared" si="5"/>
        <v>SWBC_WWNOPEX_PR19CA008</v>
      </c>
      <c r="D271" s="120" t="s">
        <v>241</v>
      </c>
      <c r="E271" s="120"/>
      <c r="F271" s="143" t="s">
        <v>2</v>
      </c>
      <c r="G271" s="120"/>
      <c r="H271" s="120">
        <f>_xlfn.IFNA(INDEX('Financial model inputs '!$A$3:$AJ$59,MATCH(F_Interface!$A271&amp;RIGHT(F_Interface!H$2,2),'Financial model inputs '!$A$3:$A$59,0),MATCH(F_Interface!$B271,'Financial model inputs '!$A$3:$AJ$3,0)),0)</f>
        <v>84.535844689720975</v>
      </c>
      <c r="I271" s="120">
        <f>_xlfn.IFNA(INDEX('Financial model inputs '!$A$3:$AJ$59,MATCH(F_Interface!$A271&amp;RIGHT(F_Interface!I$2,2),'Financial model inputs '!$A$3:$A$59,0),MATCH(F_Interface!$B271,'Financial model inputs '!$A$3:$AJ$3,0)),0)</f>
        <v>82.108263090927267</v>
      </c>
      <c r="J271" s="120">
        <f>_xlfn.IFNA(INDEX('Financial model inputs '!$A$3:$AJ$59,MATCH(F_Interface!$A271&amp;RIGHT(F_Interface!J$2,2),'Financial model inputs '!$A$3:$A$59,0),MATCH(F_Interface!$B271,'Financial model inputs '!$A$3:$AJ$3,0)),0)</f>
        <v>87.494772277951569</v>
      </c>
      <c r="K271" s="120">
        <f>_xlfn.IFNA(INDEX('Financial model inputs '!$A$3:$AJ$59,MATCH(F_Interface!$A271&amp;RIGHT(F_Interface!K$2,2),'Financial model inputs '!$A$3:$A$59,0),MATCH(F_Interface!$B271,'Financial model inputs '!$A$3:$AJ$3,0)),0)</f>
        <v>86.457003329645744</v>
      </c>
      <c r="L271" s="120">
        <f>_xlfn.IFNA(INDEX('Financial model inputs '!$A$3:$AJ$59,MATCH(F_Interface!$A271&amp;RIGHT(F_Interface!L$2,2),'Financial model inputs '!$A$3:$A$59,0),MATCH(F_Interface!$B271,'Financial model inputs '!$A$3:$AJ$3,0)),0)</f>
        <v>86.248140755548562</v>
      </c>
    </row>
    <row r="272" spans="1:12" x14ac:dyDescent="0.2">
      <c r="A272" s="9" t="s">
        <v>9</v>
      </c>
      <c r="B272" s="9" t="s">
        <v>251</v>
      </c>
      <c r="C272" s="10" t="str">
        <f t="shared" si="5"/>
        <v>TMSC_WWNOPEX_PR19CA008</v>
      </c>
      <c r="D272" s="120" t="s">
        <v>241</v>
      </c>
      <c r="E272" s="120"/>
      <c r="F272" s="143" t="s">
        <v>2</v>
      </c>
      <c r="G272" s="120"/>
      <c r="H272" s="120">
        <f>_xlfn.IFNA(INDEX('Financial model inputs '!$A$3:$AJ$59,MATCH(F_Interface!$A272&amp;RIGHT(F_Interface!H$2,2),'Financial model inputs '!$A$3:$A$59,0),MATCH(F_Interface!$B272,'Financial model inputs '!$A$3:$AJ$3,0)),0)</f>
        <v>353.45761333279177</v>
      </c>
      <c r="I272" s="120">
        <f>_xlfn.IFNA(INDEX('Financial model inputs '!$A$3:$AJ$59,MATCH(F_Interface!$A272&amp;RIGHT(F_Interface!I$2,2),'Financial model inputs '!$A$3:$A$59,0),MATCH(F_Interface!$B272,'Financial model inputs '!$A$3:$AJ$3,0)),0)</f>
        <v>310.85913268286129</v>
      </c>
      <c r="J272" s="120">
        <f>_xlfn.IFNA(INDEX('Financial model inputs '!$A$3:$AJ$59,MATCH(F_Interface!$A272&amp;RIGHT(F_Interface!J$2,2),'Financial model inputs '!$A$3:$A$59,0),MATCH(F_Interface!$B272,'Financial model inputs '!$A$3:$AJ$3,0)),0)</f>
        <v>321.25072900858032</v>
      </c>
      <c r="K272" s="120">
        <f>_xlfn.IFNA(INDEX('Financial model inputs '!$A$3:$AJ$59,MATCH(F_Interface!$A272&amp;RIGHT(F_Interface!K$2,2),'Financial model inputs '!$A$3:$A$59,0),MATCH(F_Interface!$B272,'Financial model inputs '!$A$3:$AJ$3,0)),0)</f>
        <v>344.17539621735551</v>
      </c>
      <c r="L272" s="120">
        <f>_xlfn.IFNA(INDEX('Financial model inputs '!$A$3:$AJ$59,MATCH(F_Interface!$A272&amp;RIGHT(F_Interface!L$2,2),'Financial model inputs '!$A$3:$A$59,0),MATCH(F_Interface!$B272,'Financial model inputs '!$A$3:$AJ$3,0)),0)</f>
        <v>371.43976277593583</v>
      </c>
    </row>
    <row r="273" spans="1:12" x14ac:dyDescent="0.2">
      <c r="A273" s="9" t="s">
        <v>15</v>
      </c>
      <c r="B273" s="9" t="s">
        <v>251</v>
      </c>
      <c r="C273" s="10" t="str">
        <f t="shared" si="5"/>
        <v>WSHC_WWNOPEX_PR19CA008</v>
      </c>
      <c r="D273" s="120" t="s">
        <v>241</v>
      </c>
      <c r="E273" s="120"/>
      <c r="F273" s="143" t="s">
        <v>2</v>
      </c>
      <c r="G273" s="120"/>
      <c r="H273" s="120">
        <f>_xlfn.IFNA(INDEX('Financial model inputs '!$A$3:$AJ$59,MATCH(F_Interface!$A273&amp;RIGHT(F_Interface!H$2,2),'Financial model inputs '!$A$3:$A$59,0),MATCH(F_Interface!$B273,'Financial model inputs '!$A$3:$AJ$3,0)),0)</f>
        <v>130.01502797466893</v>
      </c>
      <c r="I273" s="120">
        <f>_xlfn.IFNA(INDEX('Financial model inputs '!$A$3:$AJ$59,MATCH(F_Interface!$A273&amp;RIGHT(F_Interface!I$2,2),'Financial model inputs '!$A$3:$A$59,0),MATCH(F_Interface!$B273,'Financial model inputs '!$A$3:$AJ$3,0)),0)</f>
        <v>133.04865276255205</v>
      </c>
      <c r="J273" s="120">
        <f>_xlfn.IFNA(INDEX('Financial model inputs '!$A$3:$AJ$59,MATCH(F_Interface!$A273&amp;RIGHT(F_Interface!J$2,2),'Financial model inputs '!$A$3:$A$59,0),MATCH(F_Interface!$B273,'Financial model inputs '!$A$3:$AJ$3,0)),0)</f>
        <v>131.60136078552719</v>
      </c>
      <c r="K273" s="120">
        <f>_xlfn.IFNA(INDEX('Financial model inputs '!$A$3:$AJ$59,MATCH(F_Interface!$A273&amp;RIGHT(F_Interface!K$2,2),'Financial model inputs '!$A$3:$A$59,0),MATCH(F_Interface!$B273,'Financial model inputs '!$A$3:$AJ$3,0)),0)</f>
        <v>131.68227570374981</v>
      </c>
      <c r="L273" s="120">
        <f>_xlfn.IFNA(INDEX('Financial model inputs '!$A$3:$AJ$59,MATCH(F_Interface!$A273&amp;RIGHT(F_Interface!L$2,2),'Financial model inputs '!$A$3:$A$59,0),MATCH(F_Interface!$B273,'Financial model inputs '!$A$3:$AJ$3,0)),0)</f>
        <v>133.89667777465831</v>
      </c>
    </row>
    <row r="274" spans="1:12" x14ac:dyDescent="0.2">
      <c r="A274" s="9" t="s">
        <v>10</v>
      </c>
      <c r="B274" s="9" t="s">
        <v>251</v>
      </c>
      <c r="C274" s="10" t="str">
        <f t="shared" si="5"/>
        <v>WSXC_WWNOPEX_PR19CA008</v>
      </c>
      <c r="D274" s="120" t="s">
        <v>241</v>
      </c>
      <c r="E274" s="120"/>
      <c r="F274" s="143" t="s">
        <v>2</v>
      </c>
      <c r="G274" s="120"/>
      <c r="H274" s="120">
        <f>_xlfn.IFNA(INDEX('Financial model inputs '!$A$3:$AJ$59,MATCH(F_Interface!$A274&amp;RIGHT(F_Interface!H$2,2),'Financial model inputs '!$A$3:$A$59,0),MATCH(F_Interface!$B274,'Financial model inputs '!$A$3:$AJ$3,0)),0)</f>
        <v>96.049444725797088</v>
      </c>
      <c r="I274" s="120">
        <f>_xlfn.IFNA(INDEX('Financial model inputs '!$A$3:$AJ$59,MATCH(F_Interface!$A274&amp;RIGHT(F_Interface!I$2,2),'Financial model inputs '!$A$3:$A$59,0),MATCH(F_Interface!$B274,'Financial model inputs '!$A$3:$AJ$3,0)),0)</f>
        <v>94.104729454489444</v>
      </c>
      <c r="J274" s="120">
        <f>_xlfn.IFNA(INDEX('Financial model inputs '!$A$3:$AJ$59,MATCH(F_Interface!$A274&amp;RIGHT(F_Interface!J$2,2),'Financial model inputs '!$A$3:$A$59,0),MATCH(F_Interface!$B274,'Financial model inputs '!$A$3:$AJ$3,0)),0)</f>
        <v>97.072844642806018</v>
      </c>
      <c r="K274" s="120">
        <f>_xlfn.IFNA(INDEX('Financial model inputs '!$A$3:$AJ$59,MATCH(F_Interface!$A274&amp;RIGHT(F_Interface!K$2,2),'Financial model inputs '!$A$3:$A$59,0),MATCH(F_Interface!$B274,'Financial model inputs '!$A$3:$AJ$3,0)),0)</f>
        <v>99.975942880719899</v>
      </c>
      <c r="L274" s="120">
        <f>_xlfn.IFNA(INDEX('Financial model inputs '!$A$3:$AJ$59,MATCH(F_Interface!$A274&amp;RIGHT(F_Interface!L$2,2),'Financial model inputs '!$A$3:$A$59,0),MATCH(F_Interface!$B274,'Financial model inputs '!$A$3:$AJ$3,0)),0)</f>
        <v>101.13548862649185</v>
      </c>
    </row>
    <row r="275" spans="1:12" x14ac:dyDescent="0.2">
      <c r="A275" s="9" t="s">
        <v>11</v>
      </c>
      <c r="B275" s="9" t="s">
        <v>251</v>
      </c>
      <c r="C275" s="10" t="str">
        <f t="shared" si="5"/>
        <v>YKYC_WWNOPEX_PR19CA008</v>
      </c>
      <c r="D275" s="120" t="s">
        <v>241</v>
      </c>
      <c r="E275" s="120"/>
      <c r="F275" s="143" t="s">
        <v>2</v>
      </c>
      <c r="G275" s="120"/>
      <c r="H275" s="120">
        <f>_xlfn.IFNA(INDEX('Financial model inputs '!$A$3:$AJ$59,MATCH(F_Interface!$A275&amp;RIGHT(F_Interface!H$2,2),'Financial model inputs '!$A$3:$A$59,0),MATCH(F_Interface!$B275,'Financial model inputs '!$A$3:$AJ$3,0)),0)</f>
        <v>99.730849247938991</v>
      </c>
      <c r="I275" s="120">
        <f>_xlfn.IFNA(INDEX('Financial model inputs '!$A$3:$AJ$59,MATCH(F_Interface!$A275&amp;RIGHT(F_Interface!I$2,2),'Financial model inputs '!$A$3:$A$59,0),MATCH(F_Interface!$B275,'Financial model inputs '!$A$3:$AJ$3,0)),0)</f>
        <v>110.8514141927776</v>
      </c>
      <c r="J275" s="120">
        <f>_xlfn.IFNA(INDEX('Financial model inputs '!$A$3:$AJ$59,MATCH(F_Interface!$A275&amp;RIGHT(F_Interface!J$2,2),'Financial model inputs '!$A$3:$A$59,0),MATCH(F_Interface!$B275,'Financial model inputs '!$A$3:$AJ$3,0)),0)</f>
        <v>126.22832708756071</v>
      </c>
      <c r="K275" s="120">
        <f>_xlfn.IFNA(INDEX('Financial model inputs '!$A$3:$AJ$59,MATCH(F_Interface!$A275&amp;RIGHT(F_Interface!K$2,2),'Financial model inputs '!$A$3:$A$59,0),MATCH(F_Interface!$B275,'Financial model inputs '!$A$3:$AJ$3,0)),0)</f>
        <v>147.0930112275297</v>
      </c>
      <c r="L275" s="120">
        <f>_xlfn.IFNA(INDEX('Financial model inputs '!$A$3:$AJ$59,MATCH(F_Interface!$A275&amp;RIGHT(F_Interface!L$2,2),'Financial model inputs '!$A$3:$A$59,0),MATCH(F_Interface!$B275,'Financial model inputs '!$A$3:$AJ$3,0)),0)</f>
        <v>166.63200230821491</v>
      </c>
    </row>
    <row r="276" spans="1:12" x14ac:dyDescent="0.2">
      <c r="A276" s="9" t="s">
        <v>4</v>
      </c>
      <c r="B276" s="9" t="s">
        <v>252</v>
      </c>
      <c r="C276" s="10" t="str">
        <f t="shared" si="5"/>
        <v>ANHC_WWNCAPEX_PR19CA008</v>
      </c>
      <c r="D276" s="120" t="s">
        <v>242</v>
      </c>
      <c r="E276" s="120"/>
      <c r="F276" s="143" t="s">
        <v>2</v>
      </c>
      <c r="G276" s="120"/>
      <c r="H276" s="120">
        <f>_xlfn.IFNA(INDEX('Financial model inputs '!$A$3:$AJ$59,MATCH(F_Interface!$A276&amp;RIGHT(F_Interface!H$2,2),'Financial model inputs '!$A$3:$A$59,0),MATCH(F_Interface!$B276,'Financial model inputs '!$A$3:$AJ$3,0)),0)</f>
        <v>285.89877698333794</v>
      </c>
      <c r="I276" s="120">
        <f>_xlfn.IFNA(INDEX('Financial model inputs '!$A$3:$AJ$59,MATCH(F_Interface!$A276&amp;RIGHT(F_Interface!I$2,2),'Financial model inputs '!$A$3:$A$59,0),MATCH(F_Interface!$B276,'Financial model inputs '!$A$3:$AJ$3,0)),0)</f>
        <v>285.41716515183919</v>
      </c>
      <c r="J276" s="120">
        <f>_xlfn.IFNA(INDEX('Financial model inputs '!$A$3:$AJ$59,MATCH(F_Interface!$A276&amp;RIGHT(F_Interface!J$2,2),'Financial model inputs '!$A$3:$A$59,0),MATCH(F_Interface!$B276,'Financial model inputs '!$A$3:$AJ$3,0)),0)</f>
        <v>255.26935362751868</v>
      </c>
      <c r="K276" s="120">
        <f>_xlfn.IFNA(INDEX('Financial model inputs '!$A$3:$AJ$59,MATCH(F_Interface!$A276&amp;RIGHT(F_Interface!K$2,2),'Financial model inputs '!$A$3:$A$59,0),MATCH(F_Interface!$B276,'Financial model inputs '!$A$3:$AJ$3,0)),0)</f>
        <v>253.75529811112622</v>
      </c>
      <c r="L276" s="120">
        <f>_xlfn.IFNA(INDEX('Financial model inputs '!$A$3:$AJ$59,MATCH(F_Interface!$A276&amp;RIGHT(F_Interface!L$2,2),'Financial model inputs '!$A$3:$A$59,0),MATCH(F_Interface!$B276,'Financial model inputs '!$A$3:$AJ$3,0)),0)</f>
        <v>275.13711895246422</v>
      </c>
    </row>
    <row r="277" spans="1:12" x14ac:dyDescent="0.2">
      <c r="A277" s="9" t="s">
        <v>87</v>
      </c>
      <c r="B277" s="9" t="s">
        <v>252</v>
      </c>
      <c r="C277" s="10" t="str">
        <f t="shared" si="5"/>
        <v>HDDC_WWNCAPEX_PR19CA008</v>
      </c>
      <c r="D277" s="120" t="s">
        <v>242</v>
      </c>
      <c r="E277" s="120"/>
      <c r="F277" s="143" t="s">
        <v>2</v>
      </c>
      <c r="G277" s="120"/>
      <c r="H277" s="120">
        <f>_xlfn.IFNA(INDEX('Financial model inputs '!$A$3:$AJ$59,MATCH(F_Interface!$A277&amp;RIGHT(F_Interface!H$2,2),'Financial model inputs '!$A$3:$A$59,0),MATCH(F_Interface!$B277,'Financial model inputs '!$A$3:$AJ$3,0)),0)</f>
        <v>1.9136008701699012</v>
      </c>
      <c r="I277" s="120">
        <f>_xlfn.IFNA(INDEX('Financial model inputs '!$A$3:$AJ$59,MATCH(F_Interface!$A277&amp;RIGHT(F_Interface!I$2,2),'Financial model inputs '!$A$3:$A$59,0),MATCH(F_Interface!$B277,'Financial model inputs '!$A$3:$AJ$3,0)),0)</f>
        <v>1.9109184810157196</v>
      </c>
      <c r="J277" s="120">
        <f>_xlfn.IFNA(INDEX('Financial model inputs '!$A$3:$AJ$59,MATCH(F_Interface!$A277&amp;RIGHT(F_Interface!J$2,2),'Financial model inputs '!$A$3:$A$59,0),MATCH(F_Interface!$B277,'Financial model inputs '!$A$3:$AJ$3,0)),0)</f>
        <v>1.9201642774600456</v>
      </c>
      <c r="K277" s="120">
        <f>_xlfn.IFNA(INDEX('Financial model inputs '!$A$3:$AJ$59,MATCH(F_Interface!$A277&amp;RIGHT(F_Interface!K$2,2),'Financial model inputs '!$A$3:$A$59,0),MATCH(F_Interface!$B277,'Financial model inputs '!$A$3:$AJ$3,0)),0)</f>
        <v>1.9246263145764462</v>
      </c>
      <c r="L277" s="120">
        <f>_xlfn.IFNA(INDEX('Financial model inputs '!$A$3:$AJ$59,MATCH(F_Interface!$A277&amp;RIGHT(F_Interface!L$2,2),'Financial model inputs '!$A$3:$A$59,0),MATCH(F_Interface!$B277,'Financial model inputs '!$A$3:$AJ$3,0)),0)</f>
        <v>1.9232020654773458</v>
      </c>
    </row>
    <row r="278" spans="1:12" x14ac:dyDescent="0.2">
      <c r="A278" s="9" t="s">
        <v>5</v>
      </c>
      <c r="B278" s="9" t="s">
        <v>252</v>
      </c>
      <c r="C278" s="10" t="str">
        <f t="shared" si="5"/>
        <v>NESC_WWNCAPEX_PR19CA008</v>
      </c>
      <c r="D278" s="120" t="s">
        <v>242</v>
      </c>
      <c r="E278" s="120"/>
      <c r="F278" s="143" t="s">
        <v>2</v>
      </c>
      <c r="G278" s="120"/>
      <c r="H278" s="120">
        <f>_xlfn.IFNA(INDEX('Financial model inputs '!$A$3:$AJ$59,MATCH(F_Interface!$A278&amp;RIGHT(F_Interface!H$2,2),'Financial model inputs '!$A$3:$A$59,0),MATCH(F_Interface!$B278,'Financial model inputs '!$A$3:$AJ$3,0)),0)</f>
        <v>95.576219904552957</v>
      </c>
      <c r="I278" s="120">
        <f>_xlfn.IFNA(INDEX('Financial model inputs '!$A$3:$AJ$59,MATCH(F_Interface!$A278&amp;RIGHT(F_Interface!I$2,2),'Financial model inputs '!$A$3:$A$59,0),MATCH(F_Interface!$B278,'Financial model inputs '!$A$3:$AJ$3,0)),0)</f>
        <v>95.923477331183008</v>
      </c>
      <c r="J278" s="120">
        <f>_xlfn.IFNA(INDEX('Financial model inputs '!$A$3:$AJ$59,MATCH(F_Interface!$A278&amp;RIGHT(F_Interface!J$2,2),'Financial model inputs '!$A$3:$A$59,0),MATCH(F_Interface!$B278,'Financial model inputs '!$A$3:$AJ$3,0)),0)</f>
        <v>96.239542658710221</v>
      </c>
      <c r="K278" s="120">
        <f>_xlfn.IFNA(INDEX('Financial model inputs '!$A$3:$AJ$59,MATCH(F_Interface!$A278&amp;RIGHT(F_Interface!K$2,2),'Financial model inputs '!$A$3:$A$59,0),MATCH(F_Interface!$B278,'Financial model inputs '!$A$3:$AJ$3,0)),0)</f>
        <v>96.519365647337395</v>
      </c>
      <c r="L278" s="120">
        <f>_xlfn.IFNA(INDEX('Financial model inputs '!$A$3:$AJ$59,MATCH(F_Interface!$A278&amp;RIGHT(F_Interface!L$2,2),'Financial model inputs '!$A$3:$A$59,0),MATCH(F_Interface!$B278,'Financial model inputs '!$A$3:$AJ$3,0)),0)</f>
        <v>96.726413917212398</v>
      </c>
    </row>
    <row r="279" spans="1:12" x14ac:dyDescent="0.2">
      <c r="A279" s="9" t="s">
        <v>6</v>
      </c>
      <c r="B279" s="9" t="s">
        <v>252</v>
      </c>
      <c r="C279" s="10" t="str">
        <f t="shared" si="5"/>
        <v>NWTC_WWNCAPEX_PR19CA008</v>
      </c>
      <c r="D279" s="120" t="s">
        <v>242</v>
      </c>
      <c r="E279" s="120"/>
      <c r="F279" s="143" t="s">
        <v>2</v>
      </c>
      <c r="G279" s="120"/>
      <c r="H279" s="120">
        <f>_xlfn.IFNA(INDEX('Financial model inputs '!$A$3:$AJ$59,MATCH(F_Interface!$A279&amp;RIGHT(F_Interface!H$2,2),'Financial model inputs '!$A$3:$A$59,0),MATCH(F_Interface!$B279,'Financial model inputs '!$A$3:$AJ$3,0)),0)</f>
        <v>234.65360764322108</v>
      </c>
      <c r="I279" s="120">
        <f>_xlfn.IFNA(INDEX('Financial model inputs '!$A$3:$AJ$59,MATCH(F_Interface!$A279&amp;RIGHT(F_Interface!I$2,2),'Financial model inputs '!$A$3:$A$59,0),MATCH(F_Interface!$B279,'Financial model inputs '!$A$3:$AJ$3,0)),0)</f>
        <v>243.63514004405258</v>
      </c>
      <c r="J279" s="120">
        <f>_xlfn.IFNA(INDEX('Financial model inputs '!$A$3:$AJ$59,MATCH(F_Interface!$A279&amp;RIGHT(F_Interface!J$2,2),'Financial model inputs '!$A$3:$A$59,0),MATCH(F_Interface!$B279,'Financial model inputs '!$A$3:$AJ$3,0)),0)</f>
        <v>240.33017980415764</v>
      </c>
      <c r="K279" s="120">
        <f>_xlfn.IFNA(INDEX('Financial model inputs '!$A$3:$AJ$59,MATCH(F_Interface!$A279&amp;RIGHT(F_Interface!K$2,2),'Financial model inputs '!$A$3:$A$59,0),MATCH(F_Interface!$B279,'Financial model inputs '!$A$3:$AJ$3,0)),0)</f>
        <v>255.51974280426646</v>
      </c>
      <c r="L279" s="120">
        <f>_xlfn.IFNA(INDEX('Financial model inputs '!$A$3:$AJ$59,MATCH(F_Interface!$A279&amp;RIGHT(F_Interface!L$2,2),'Financial model inputs '!$A$3:$A$59,0),MATCH(F_Interface!$B279,'Financial model inputs '!$A$3:$AJ$3,0)),0)</f>
        <v>231.71376132409605</v>
      </c>
    </row>
    <row r="280" spans="1:12" x14ac:dyDescent="0.2">
      <c r="A280" s="9" t="s">
        <v>7</v>
      </c>
      <c r="B280" s="9" t="s">
        <v>252</v>
      </c>
      <c r="C280" s="10" t="str">
        <f t="shared" si="5"/>
        <v>SRNC_WWNCAPEX_PR19CA008</v>
      </c>
      <c r="D280" s="120" t="s">
        <v>242</v>
      </c>
      <c r="E280" s="120"/>
      <c r="F280" s="143" t="s">
        <v>2</v>
      </c>
      <c r="G280" s="120"/>
      <c r="H280" s="120">
        <f>_xlfn.IFNA(INDEX('Financial model inputs '!$A$3:$AJ$59,MATCH(F_Interface!$A280&amp;RIGHT(F_Interface!H$2,2),'Financial model inputs '!$A$3:$A$59,0),MATCH(F_Interface!$B280,'Financial model inputs '!$A$3:$AJ$3,0)),0)</f>
        <v>230.48034827217373</v>
      </c>
      <c r="I280" s="120">
        <f>_xlfn.IFNA(INDEX('Financial model inputs '!$A$3:$AJ$59,MATCH(F_Interface!$A280&amp;RIGHT(F_Interface!I$2,2),'Financial model inputs '!$A$3:$A$59,0),MATCH(F_Interface!$B280,'Financial model inputs '!$A$3:$AJ$3,0)),0)</f>
        <v>240.99915946223959</v>
      </c>
      <c r="J280" s="120">
        <f>_xlfn.IFNA(INDEX('Financial model inputs '!$A$3:$AJ$59,MATCH(F_Interface!$A280&amp;RIGHT(F_Interface!J$2,2),'Financial model inputs '!$A$3:$A$59,0),MATCH(F_Interface!$B280,'Financial model inputs '!$A$3:$AJ$3,0)),0)</f>
        <v>249.09681931329931</v>
      </c>
      <c r="K280" s="120">
        <f>_xlfn.IFNA(INDEX('Financial model inputs '!$A$3:$AJ$59,MATCH(F_Interface!$A280&amp;RIGHT(F_Interface!K$2,2),'Financial model inputs '!$A$3:$A$59,0),MATCH(F_Interface!$B280,'Financial model inputs '!$A$3:$AJ$3,0)),0)</f>
        <v>259.39629328237146</v>
      </c>
      <c r="L280" s="120">
        <f>_xlfn.IFNA(INDEX('Financial model inputs '!$A$3:$AJ$59,MATCH(F_Interface!$A280&amp;RIGHT(F_Interface!L$2,2),'Financial model inputs '!$A$3:$A$59,0),MATCH(F_Interface!$B280,'Financial model inputs '!$A$3:$AJ$3,0)),0)</f>
        <v>248.9483372464058</v>
      </c>
    </row>
    <row r="281" spans="1:12" x14ac:dyDescent="0.2">
      <c r="A281" s="9" t="s">
        <v>116</v>
      </c>
      <c r="B281" s="9" t="s">
        <v>252</v>
      </c>
      <c r="C281" s="10" t="str">
        <f t="shared" si="5"/>
        <v>SVEC_WWNCAPEX_PR19CA008</v>
      </c>
      <c r="D281" s="120" t="s">
        <v>242</v>
      </c>
      <c r="E281" s="120"/>
      <c r="F281" s="143" t="s">
        <v>2</v>
      </c>
      <c r="G281" s="120"/>
      <c r="H281" s="120">
        <f>_xlfn.IFNA(INDEX('Financial model inputs '!$A$3:$AJ$59,MATCH(F_Interface!$A281&amp;RIGHT(F_Interface!H$2,2),'Financial model inputs '!$A$3:$A$59,0),MATCH(F_Interface!$B281,'Financial model inputs '!$A$3:$AJ$3,0)),0)</f>
        <v>227.22541810992209</v>
      </c>
      <c r="I281" s="120">
        <f>_xlfn.IFNA(INDEX('Financial model inputs '!$A$3:$AJ$59,MATCH(F_Interface!$A281&amp;RIGHT(F_Interface!I$2,2),'Financial model inputs '!$A$3:$A$59,0),MATCH(F_Interface!$B281,'Financial model inputs '!$A$3:$AJ$3,0)),0)</f>
        <v>230.29665332296059</v>
      </c>
      <c r="J281" s="120">
        <f>_xlfn.IFNA(INDEX('Financial model inputs '!$A$3:$AJ$59,MATCH(F_Interface!$A281&amp;RIGHT(F_Interface!J$2,2),'Financial model inputs '!$A$3:$A$59,0),MATCH(F_Interface!$B281,'Financial model inputs '!$A$3:$AJ$3,0)),0)</f>
        <v>234.26512478722668</v>
      </c>
      <c r="K281" s="120">
        <f>_xlfn.IFNA(INDEX('Financial model inputs '!$A$3:$AJ$59,MATCH(F_Interface!$A281&amp;RIGHT(F_Interface!K$2,2),'Financial model inputs '!$A$3:$A$59,0),MATCH(F_Interface!$B281,'Financial model inputs '!$A$3:$AJ$3,0)),0)</f>
        <v>230.75017673909173</v>
      </c>
      <c r="L281" s="120">
        <f>_xlfn.IFNA(INDEX('Financial model inputs '!$A$3:$AJ$59,MATCH(F_Interface!$A281&amp;RIGHT(F_Interface!L$2,2),'Financial model inputs '!$A$3:$A$59,0),MATCH(F_Interface!$B281,'Financial model inputs '!$A$3:$AJ$3,0)),0)</f>
        <v>223.02768642772509</v>
      </c>
    </row>
    <row r="282" spans="1:12" x14ac:dyDescent="0.2">
      <c r="A282" s="9" t="s">
        <v>101</v>
      </c>
      <c r="B282" s="9" t="s">
        <v>252</v>
      </c>
      <c r="C282" s="10" t="str">
        <f t="shared" si="5"/>
        <v>SVHC_WWNCAPEX_PR19CA008</v>
      </c>
      <c r="D282" s="120" t="s">
        <v>242</v>
      </c>
      <c r="E282" s="120"/>
      <c r="F282" s="143" t="s">
        <v>2</v>
      </c>
      <c r="G282" s="120"/>
      <c r="H282" s="120">
        <f>_xlfn.IFNA(INDEX('Financial model inputs '!$A$3:$AJ$59,MATCH(F_Interface!$A282&amp;RIGHT(F_Interface!H$2,2),'Financial model inputs '!$A$3:$A$59,0),MATCH(F_Interface!$B282,'Financial model inputs '!$A$3:$AJ$3,0)),0)</f>
        <v>0</v>
      </c>
      <c r="I282" s="120">
        <f>_xlfn.IFNA(INDEX('Financial model inputs '!$A$3:$AJ$59,MATCH(F_Interface!$A282&amp;RIGHT(F_Interface!I$2,2),'Financial model inputs '!$A$3:$A$59,0),MATCH(F_Interface!$B282,'Financial model inputs '!$A$3:$AJ$3,0)),0)</f>
        <v>0</v>
      </c>
      <c r="J282" s="120">
        <f>_xlfn.IFNA(INDEX('Financial model inputs '!$A$3:$AJ$59,MATCH(F_Interface!$A282&amp;RIGHT(F_Interface!J$2,2),'Financial model inputs '!$A$3:$A$59,0),MATCH(F_Interface!$B282,'Financial model inputs '!$A$3:$AJ$3,0)),0)</f>
        <v>0</v>
      </c>
      <c r="K282" s="120">
        <f>_xlfn.IFNA(INDEX('Financial model inputs '!$A$3:$AJ$59,MATCH(F_Interface!$A282&amp;RIGHT(F_Interface!K$2,2),'Financial model inputs '!$A$3:$A$59,0),MATCH(F_Interface!$B282,'Financial model inputs '!$A$3:$AJ$3,0)),0)</f>
        <v>0</v>
      </c>
      <c r="L282" s="120">
        <f>_xlfn.IFNA(INDEX('Financial model inputs '!$A$3:$AJ$59,MATCH(F_Interface!$A282&amp;RIGHT(F_Interface!L$2,2),'Financial model inputs '!$A$3:$A$59,0),MATCH(F_Interface!$B282,'Financial model inputs '!$A$3:$AJ$3,0)),0)</f>
        <v>0</v>
      </c>
    </row>
    <row r="283" spans="1:12" x14ac:dyDescent="0.2">
      <c r="A283" s="9" t="s">
        <v>8</v>
      </c>
      <c r="B283" s="9" t="s">
        <v>252</v>
      </c>
      <c r="C283" s="10" t="str">
        <f t="shared" si="5"/>
        <v>SVTC_WWNCAPEX_PR19CA008</v>
      </c>
      <c r="D283" s="120" t="s">
        <v>242</v>
      </c>
      <c r="E283" s="120"/>
      <c r="F283" s="143" t="s">
        <v>2</v>
      </c>
      <c r="G283" s="120"/>
      <c r="H283" s="120">
        <f>_xlfn.IFNA(INDEX('Financial model inputs '!$A$3:$AJ$59,MATCH(F_Interface!$A283&amp;RIGHT(F_Interface!H$2,2),'Financial model inputs '!$A$3:$A$59,0),MATCH(F_Interface!$B283,'Financial model inputs '!$A$3:$AJ$3,0)),0)</f>
        <v>0</v>
      </c>
      <c r="I283" s="120">
        <f>_xlfn.IFNA(INDEX('Financial model inputs '!$A$3:$AJ$59,MATCH(F_Interface!$A283&amp;RIGHT(F_Interface!I$2,2),'Financial model inputs '!$A$3:$A$59,0),MATCH(F_Interface!$B283,'Financial model inputs '!$A$3:$AJ$3,0)),0)</f>
        <v>0</v>
      </c>
      <c r="J283" s="120">
        <f>_xlfn.IFNA(INDEX('Financial model inputs '!$A$3:$AJ$59,MATCH(F_Interface!$A283&amp;RIGHT(F_Interface!J$2,2),'Financial model inputs '!$A$3:$A$59,0),MATCH(F_Interface!$B283,'Financial model inputs '!$A$3:$AJ$3,0)),0)</f>
        <v>0</v>
      </c>
      <c r="K283" s="120">
        <f>_xlfn.IFNA(INDEX('Financial model inputs '!$A$3:$AJ$59,MATCH(F_Interface!$A283&amp;RIGHT(F_Interface!K$2,2),'Financial model inputs '!$A$3:$A$59,0),MATCH(F_Interface!$B283,'Financial model inputs '!$A$3:$AJ$3,0)),0)</f>
        <v>0</v>
      </c>
      <c r="L283" s="120">
        <f>_xlfn.IFNA(INDEX('Financial model inputs '!$A$3:$AJ$59,MATCH(F_Interface!$A283&amp;RIGHT(F_Interface!L$2,2),'Financial model inputs '!$A$3:$A$59,0),MATCH(F_Interface!$B283,'Financial model inputs '!$A$3:$AJ$3,0)),0)</f>
        <v>0</v>
      </c>
    </row>
    <row r="284" spans="1:12" x14ac:dyDescent="0.2">
      <c r="A284" s="9" t="s">
        <v>12</v>
      </c>
      <c r="B284" s="9" t="s">
        <v>252</v>
      </c>
      <c r="C284" s="10" t="str">
        <f t="shared" si="5"/>
        <v>SWBC_WWNCAPEX_PR19CA008</v>
      </c>
      <c r="D284" s="120" t="s">
        <v>242</v>
      </c>
      <c r="E284" s="120"/>
      <c r="F284" s="143" t="s">
        <v>2</v>
      </c>
      <c r="G284" s="120"/>
      <c r="H284" s="120">
        <f>_xlfn.IFNA(INDEX('Financial model inputs '!$A$3:$AJ$59,MATCH(F_Interface!$A284&amp;RIGHT(F_Interface!H$2,2),'Financial model inputs '!$A$3:$A$59,0),MATCH(F_Interface!$B284,'Financial model inputs '!$A$3:$AJ$3,0)),0)</f>
        <v>78.725042596566325</v>
      </c>
      <c r="I284" s="120">
        <f>_xlfn.IFNA(INDEX('Financial model inputs '!$A$3:$AJ$59,MATCH(F_Interface!$A284&amp;RIGHT(F_Interface!I$2,2),'Financial model inputs '!$A$3:$A$59,0),MATCH(F_Interface!$B284,'Financial model inputs '!$A$3:$AJ$3,0)),0)</f>
        <v>81.152624195360033</v>
      </c>
      <c r="J284" s="120">
        <f>_xlfn.IFNA(INDEX('Financial model inputs '!$A$3:$AJ$59,MATCH(F_Interface!$A284&amp;RIGHT(F_Interface!J$2,2),'Financial model inputs '!$A$3:$A$59,0),MATCH(F_Interface!$B284,'Financial model inputs '!$A$3:$AJ$3,0)),0)</f>
        <v>75.766115008335717</v>
      </c>
      <c r="K284" s="120">
        <f>_xlfn.IFNA(INDEX('Financial model inputs '!$A$3:$AJ$59,MATCH(F_Interface!$A284&amp;RIGHT(F_Interface!K$2,2),'Financial model inputs '!$A$3:$A$59,0),MATCH(F_Interface!$B284,'Financial model inputs '!$A$3:$AJ$3,0)),0)</f>
        <v>76.803883956641556</v>
      </c>
      <c r="L284" s="120">
        <f>_xlfn.IFNA(INDEX('Financial model inputs '!$A$3:$AJ$59,MATCH(F_Interface!$A284&amp;RIGHT(F_Interface!L$2,2),'Financial model inputs '!$A$3:$A$59,0),MATCH(F_Interface!$B284,'Financial model inputs '!$A$3:$AJ$3,0)),0)</f>
        <v>77.012746530738738</v>
      </c>
    </row>
    <row r="285" spans="1:12" x14ac:dyDescent="0.2">
      <c r="A285" s="9" t="s">
        <v>9</v>
      </c>
      <c r="B285" s="9" t="s">
        <v>252</v>
      </c>
      <c r="C285" s="10" t="str">
        <f t="shared" si="5"/>
        <v>TMSC_WWNCAPEX_PR19CA008</v>
      </c>
      <c r="D285" s="120" t="s">
        <v>242</v>
      </c>
      <c r="E285" s="120"/>
      <c r="F285" s="143" t="s">
        <v>2</v>
      </c>
      <c r="G285" s="120"/>
      <c r="H285" s="120">
        <f>_xlfn.IFNA(INDEX('Financial model inputs '!$A$3:$AJ$59,MATCH(F_Interface!$A285&amp;RIGHT(F_Interface!H$2,2),'Financial model inputs '!$A$3:$A$59,0),MATCH(F_Interface!$B285,'Financial model inputs '!$A$3:$AJ$3,0)),0)</f>
        <v>371.0382303020923</v>
      </c>
      <c r="I285" s="120">
        <f>_xlfn.IFNA(INDEX('Financial model inputs '!$A$3:$AJ$59,MATCH(F_Interface!$A285&amp;RIGHT(F_Interface!I$2,2),'Financial model inputs '!$A$3:$A$59,0),MATCH(F_Interface!$B285,'Financial model inputs '!$A$3:$AJ$3,0)),0)</f>
        <v>413.63671095202278</v>
      </c>
      <c r="J285" s="120">
        <f>_xlfn.IFNA(INDEX('Financial model inputs '!$A$3:$AJ$59,MATCH(F_Interface!$A285&amp;RIGHT(F_Interface!J$2,2),'Financial model inputs '!$A$3:$A$59,0),MATCH(F_Interface!$B285,'Financial model inputs '!$A$3:$AJ$3,0)),0)</f>
        <v>403.2451146263038</v>
      </c>
      <c r="K285" s="120">
        <f>_xlfn.IFNA(INDEX('Financial model inputs '!$A$3:$AJ$59,MATCH(F_Interface!$A285&amp;RIGHT(F_Interface!K$2,2),'Financial model inputs '!$A$3:$A$59,0),MATCH(F_Interface!$B285,'Financial model inputs '!$A$3:$AJ$3,0)),0)</f>
        <v>380.32044741752861</v>
      </c>
      <c r="L285" s="120">
        <f>_xlfn.IFNA(INDEX('Financial model inputs '!$A$3:$AJ$59,MATCH(F_Interface!$A285&amp;RIGHT(F_Interface!L$2,2),'Financial model inputs '!$A$3:$A$59,0),MATCH(F_Interface!$B285,'Financial model inputs '!$A$3:$AJ$3,0)),0)</f>
        <v>353.05608085894823</v>
      </c>
    </row>
    <row r="286" spans="1:12" x14ac:dyDescent="0.2">
      <c r="A286" s="9" t="s">
        <v>15</v>
      </c>
      <c r="B286" s="9" t="s">
        <v>252</v>
      </c>
      <c r="C286" s="10" t="str">
        <f t="shared" si="5"/>
        <v>WSHC_WWNCAPEX_PR19CA008</v>
      </c>
      <c r="D286" s="120" t="s">
        <v>242</v>
      </c>
      <c r="E286" s="120"/>
      <c r="F286" s="143" t="s">
        <v>2</v>
      </c>
      <c r="G286" s="120"/>
      <c r="H286" s="120">
        <f>_xlfn.IFNA(INDEX('Financial model inputs '!$A$3:$AJ$59,MATCH(F_Interface!$A286&amp;RIGHT(F_Interface!H$2,2),'Financial model inputs '!$A$3:$A$59,0),MATCH(F_Interface!$B286,'Financial model inputs '!$A$3:$AJ$3,0)),0)</f>
        <v>115.74203050000011</v>
      </c>
      <c r="I286" s="120">
        <f>_xlfn.IFNA(INDEX('Financial model inputs '!$A$3:$AJ$59,MATCH(F_Interface!$A286&amp;RIGHT(F_Interface!I$2,2),'Financial model inputs '!$A$3:$A$59,0),MATCH(F_Interface!$B286,'Financial model inputs '!$A$3:$AJ$3,0)),0)</f>
        <v>112.70840571211704</v>
      </c>
      <c r="J286" s="120">
        <f>_xlfn.IFNA(INDEX('Financial model inputs '!$A$3:$AJ$59,MATCH(F_Interface!$A286&amp;RIGHT(F_Interface!J$2,2),'Financial model inputs '!$A$3:$A$59,0),MATCH(F_Interface!$B286,'Financial model inputs '!$A$3:$AJ$3,0)),0)</f>
        <v>114.15569768914189</v>
      </c>
      <c r="K286" s="120">
        <f>_xlfn.IFNA(INDEX('Financial model inputs '!$A$3:$AJ$59,MATCH(F_Interface!$A286&amp;RIGHT(F_Interface!K$2,2),'Financial model inputs '!$A$3:$A$59,0),MATCH(F_Interface!$B286,'Financial model inputs '!$A$3:$AJ$3,0)),0)</f>
        <v>114.07478277091926</v>
      </c>
      <c r="L286" s="120">
        <f>_xlfn.IFNA(INDEX('Financial model inputs '!$A$3:$AJ$59,MATCH(F_Interface!$A286&amp;RIGHT(F_Interface!L$2,2),'Financial model inputs '!$A$3:$A$59,0),MATCH(F_Interface!$B286,'Financial model inputs '!$A$3:$AJ$3,0)),0)</f>
        <v>111.86038070001075</v>
      </c>
    </row>
    <row r="287" spans="1:12" x14ac:dyDescent="0.2">
      <c r="A287" s="9" t="s">
        <v>10</v>
      </c>
      <c r="B287" s="9" t="s">
        <v>252</v>
      </c>
      <c r="C287" s="10" t="str">
        <f t="shared" si="5"/>
        <v>WSXC_WWNCAPEX_PR19CA008</v>
      </c>
      <c r="D287" s="120" t="s">
        <v>242</v>
      </c>
      <c r="E287" s="120"/>
      <c r="F287" s="143" t="s">
        <v>2</v>
      </c>
      <c r="G287" s="120"/>
      <c r="H287" s="120">
        <f>_xlfn.IFNA(INDEX('Financial model inputs '!$A$3:$AJ$59,MATCH(F_Interface!$A287&amp;RIGHT(F_Interface!H$2,2),'Financial model inputs '!$A$3:$A$59,0),MATCH(F_Interface!$B287,'Financial model inputs '!$A$3:$AJ$3,0)),0)</f>
        <v>150.97569383937929</v>
      </c>
      <c r="I287" s="120">
        <f>_xlfn.IFNA(INDEX('Financial model inputs '!$A$3:$AJ$59,MATCH(F_Interface!$A287&amp;RIGHT(F_Interface!I$2,2),'Financial model inputs '!$A$3:$A$59,0),MATCH(F_Interface!$B287,'Financial model inputs '!$A$3:$AJ$3,0)),0)</f>
        <v>152.92040911068696</v>
      </c>
      <c r="J287" s="120">
        <f>_xlfn.IFNA(INDEX('Financial model inputs '!$A$3:$AJ$59,MATCH(F_Interface!$A287&amp;RIGHT(F_Interface!J$2,2),'Financial model inputs '!$A$3:$A$59,0),MATCH(F_Interface!$B287,'Financial model inputs '!$A$3:$AJ$3,0)),0)</f>
        <v>149.95229392237036</v>
      </c>
      <c r="K287" s="120">
        <f>_xlfn.IFNA(INDEX('Financial model inputs '!$A$3:$AJ$59,MATCH(F_Interface!$A287&amp;RIGHT(F_Interface!K$2,2),'Financial model inputs '!$A$3:$A$59,0),MATCH(F_Interface!$B287,'Financial model inputs '!$A$3:$AJ$3,0)),0)</f>
        <v>147.04919568445646</v>
      </c>
      <c r="L287" s="120">
        <f>_xlfn.IFNA(INDEX('Financial model inputs '!$A$3:$AJ$59,MATCH(F_Interface!$A287&amp;RIGHT(F_Interface!L$2,2),'Financial model inputs '!$A$3:$A$59,0),MATCH(F_Interface!$B287,'Financial model inputs '!$A$3:$AJ$3,0)),0)</f>
        <v>145.8896499386845</v>
      </c>
    </row>
    <row r="288" spans="1:12" x14ac:dyDescent="0.2">
      <c r="A288" s="9" t="s">
        <v>11</v>
      </c>
      <c r="B288" s="9" t="s">
        <v>252</v>
      </c>
      <c r="C288" s="10" t="str">
        <f t="shared" si="5"/>
        <v>YKYC_WWNCAPEX_PR19CA008</v>
      </c>
      <c r="D288" s="120" t="s">
        <v>242</v>
      </c>
      <c r="E288" s="120"/>
      <c r="F288" s="143" t="s">
        <v>2</v>
      </c>
      <c r="G288" s="120"/>
      <c r="H288" s="120">
        <f>_xlfn.IFNA(INDEX('Financial model inputs '!$A$3:$AJ$59,MATCH(F_Interface!$A288&amp;RIGHT(F_Interface!H$2,2),'Financial model inputs '!$A$3:$A$59,0),MATCH(F_Interface!$B288,'Financial model inputs '!$A$3:$AJ$3,0)),0)</f>
        <v>300.31242709502442</v>
      </c>
      <c r="I288" s="120">
        <f>_xlfn.IFNA(INDEX('Financial model inputs '!$A$3:$AJ$59,MATCH(F_Interface!$A288&amp;RIGHT(F_Interface!I$2,2),'Financial model inputs '!$A$3:$A$59,0),MATCH(F_Interface!$B288,'Financial model inputs '!$A$3:$AJ$3,0)),0)</f>
        <v>289.19186215018578</v>
      </c>
      <c r="J288" s="120">
        <f>_xlfn.IFNA(INDEX('Financial model inputs '!$A$3:$AJ$59,MATCH(F_Interface!$A288&amp;RIGHT(F_Interface!J$2,2),'Financial model inputs '!$A$3:$A$59,0),MATCH(F_Interface!$B288,'Financial model inputs '!$A$3:$AJ$3,0)),0)</f>
        <v>273.81494925540267</v>
      </c>
      <c r="K288" s="120">
        <f>_xlfn.IFNA(INDEX('Financial model inputs '!$A$3:$AJ$59,MATCH(F_Interface!$A288&amp;RIGHT(F_Interface!K$2,2),'Financial model inputs '!$A$3:$A$59,0),MATCH(F_Interface!$B288,'Financial model inputs '!$A$3:$AJ$3,0)),0)</f>
        <v>252.95026511543367</v>
      </c>
      <c r="L288" s="120">
        <f>_xlfn.IFNA(INDEX('Financial model inputs '!$A$3:$AJ$59,MATCH(F_Interface!$A288&amp;RIGHT(F_Interface!L$2,2),'Financial model inputs '!$A$3:$A$59,0),MATCH(F_Interface!$B288,'Financial model inputs '!$A$3:$AJ$3,0)),0)</f>
        <v>233.41127403474849</v>
      </c>
    </row>
    <row r="289" spans="1:12" x14ac:dyDescent="0.2">
      <c r="A289" s="9" t="s">
        <v>4</v>
      </c>
      <c r="B289" s="9" t="s">
        <v>253</v>
      </c>
      <c r="C289" s="10" t="str">
        <f t="shared" si="5"/>
        <v>ANHC_WWNTOTEXFM_PR19CA008</v>
      </c>
      <c r="D289" s="120" t="s">
        <v>243</v>
      </c>
      <c r="E289" s="120"/>
      <c r="F289" s="143" t="s">
        <v>2</v>
      </c>
      <c r="G289" s="120"/>
      <c r="H289" s="120">
        <f>_xlfn.IFNA(INDEX('Financial model inputs '!$A$3:$AJ$59,MATCH(F_Interface!$A289&amp;RIGHT(F_Interface!H$2,2),'Financial model inputs '!$A$3:$A$59,0),MATCH(F_Interface!$B289,'Financial model inputs '!$A$3:$AJ$3,0)),0)</f>
        <v>510.44502282982529</v>
      </c>
      <c r="I289" s="120">
        <f>_xlfn.IFNA(INDEX('Financial model inputs '!$A$3:$AJ$59,MATCH(F_Interface!$A289&amp;RIGHT(F_Interface!I$2,2),'Financial model inputs '!$A$3:$A$59,0),MATCH(F_Interface!$B289,'Financial model inputs '!$A$3:$AJ$3,0)),0)</f>
        <v>510.44502282982529</v>
      </c>
      <c r="J289" s="120">
        <f>_xlfn.IFNA(INDEX('Financial model inputs '!$A$3:$AJ$59,MATCH(F_Interface!$A289&amp;RIGHT(F_Interface!J$2,2),'Financial model inputs '!$A$3:$A$59,0),MATCH(F_Interface!$B289,'Financial model inputs '!$A$3:$AJ$3,0)),0)</f>
        <v>510.44502282982529</v>
      </c>
      <c r="K289" s="120">
        <f>_xlfn.IFNA(INDEX('Financial model inputs '!$A$3:$AJ$59,MATCH(F_Interface!$A289&amp;RIGHT(F_Interface!K$2,2),'Financial model inputs '!$A$3:$A$59,0),MATCH(F_Interface!$B289,'Financial model inputs '!$A$3:$AJ$3,0)),0)</f>
        <v>510.44502282982529</v>
      </c>
      <c r="L289" s="120">
        <f>_xlfn.IFNA(INDEX('Financial model inputs '!$A$3:$AJ$59,MATCH(F_Interface!$A289&amp;RIGHT(F_Interface!L$2,2),'Financial model inputs '!$A$3:$A$59,0),MATCH(F_Interface!$B289,'Financial model inputs '!$A$3:$AJ$3,0)),0)</f>
        <v>510.44502282982529</v>
      </c>
    </row>
    <row r="290" spans="1:12" x14ac:dyDescent="0.2">
      <c r="A290" s="9" t="s">
        <v>87</v>
      </c>
      <c r="B290" s="9" t="s">
        <v>253</v>
      </c>
      <c r="C290" s="10" t="str">
        <f t="shared" si="5"/>
        <v>HDDC_WWNTOTEXFM_PR19CA008</v>
      </c>
      <c r="D290" s="120" t="s">
        <v>243</v>
      </c>
      <c r="E290" s="120"/>
      <c r="F290" s="143" t="s">
        <v>2</v>
      </c>
      <c r="G290" s="120"/>
      <c r="H290" s="120">
        <f>_xlfn.IFNA(INDEX('Financial model inputs '!$A$3:$AJ$59,MATCH(F_Interface!$A290&amp;RIGHT(F_Interface!H$2,2),'Financial model inputs '!$A$3:$A$59,0),MATCH(F_Interface!$B290,'Financial model inputs '!$A$3:$AJ$3,0)),0)</f>
        <v>4.5382200305454479</v>
      </c>
      <c r="I290" s="120">
        <f>_xlfn.IFNA(INDEX('Financial model inputs '!$A$3:$AJ$59,MATCH(F_Interface!$A290&amp;RIGHT(F_Interface!I$2,2),'Financial model inputs '!$A$3:$A$59,0),MATCH(F_Interface!$B290,'Financial model inputs '!$A$3:$AJ$3,0)),0)</f>
        <v>4.5382200305454479</v>
      </c>
      <c r="J290" s="120">
        <f>_xlfn.IFNA(INDEX('Financial model inputs '!$A$3:$AJ$59,MATCH(F_Interface!$A290&amp;RIGHT(F_Interface!J$2,2),'Financial model inputs '!$A$3:$A$59,0),MATCH(F_Interface!$B290,'Financial model inputs '!$A$3:$AJ$3,0)),0)</f>
        <v>4.5382200305454479</v>
      </c>
      <c r="K290" s="120">
        <f>_xlfn.IFNA(INDEX('Financial model inputs '!$A$3:$AJ$59,MATCH(F_Interface!$A290&amp;RIGHT(F_Interface!K$2,2),'Financial model inputs '!$A$3:$A$59,0),MATCH(F_Interface!$B290,'Financial model inputs '!$A$3:$AJ$3,0)),0)</f>
        <v>4.5382200305454479</v>
      </c>
      <c r="L290" s="120">
        <f>_xlfn.IFNA(INDEX('Financial model inputs '!$A$3:$AJ$59,MATCH(F_Interface!$A290&amp;RIGHT(F_Interface!L$2,2),'Financial model inputs '!$A$3:$A$59,0),MATCH(F_Interface!$B290,'Financial model inputs '!$A$3:$AJ$3,0)),0)</f>
        <v>4.5382200305454479</v>
      </c>
    </row>
    <row r="291" spans="1:12" x14ac:dyDescent="0.2">
      <c r="A291" s="9" t="s">
        <v>5</v>
      </c>
      <c r="B291" s="9" t="s">
        <v>253</v>
      </c>
      <c r="C291" s="10" t="str">
        <f t="shared" si="5"/>
        <v>NESC_WWNTOTEXFM_PR19CA008</v>
      </c>
      <c r="D291" s="120" t="s">
        <v>243</v>
      </c>
      <c r="E291" s="120"/>
      <c r="F291" s="143" t="s">
        <v>2</v>
      </c>
      <c r="G291" s="120"/>
      <c r="H291" s="120">
        <f>_xlfn.IFNA(INDEX('Financial model inputs '!$A$3:$AJ$59,MATCH(F_Interface!$A291&amp;RIGHT(F_Interface!H$2,2),'Financial model inputs '!$A$3:$A$59,0),MATCH(F_Interface!$B291,'Financial model inputs '!$A$3:$AJ$3,0)),0)</f>
        <v>188.0108183893939</v>
      </c>
      <c r="I291" s="120">
        <f>_xlfn.IFNA(INDEX('Financial model inputs '!$A$3:$AJ$59,MATCH(F_Interface!$A291&amp;RIGHT(F_Interface!I$2,2),'Financial model inputs '!$A$3:$A$59,0),MATCH(F_Interface!$B291,'Financial model inputs '!$A$3:$AJ$3,0)),0)</f>
        <v>188.0108183893939</v>
      </c>
      <c r="J291" s="120">
        <f>_xlfn.IFNA(INDEX('Financial model inputs '!$A$3:$AJ$59,MATCH(F_Interface!$A291&amp;RIGHT(F_Interface!J$2,2),'Financial model inputs '!$A$3:$A$59,0),MATCH(F_Interface!$B291,'Financial model inputs '!$A$3:$AJ$3,0)),0)</f>
        <v>188.0108183893939</v>
      </c>
      <c r="K291" s="120">
        <f>_xlfn.IFNA(INDEX('Financial model inputs '!$A$3:$AJ$59,MATCH(F_Interface!$A291&amp;RIGHT(F_Interface!K$2,2),'Financial model inputs '!$A$3:$A$59,0),MATCH(F_Interface!$B291,'Financial model inputs '!$A$3:$AJ$3,0)),0)</f>
        <v>188.0108183893939</v>
      </c>
      <c r="L291" s="120">
        <f>_xlfn.IFNA(INDEX('Financial model inputs '!$A$3:$AJ$59,MATCH(F_Interface!$A291&amp;RIGHT(F_Interface!L$2,2),'Financial model inputs '!$A$3:$A$59,0),MATCH(F_Interface!$B291,'Financial model inputs '!$A$3:$AJ$3,0)),0)</f>
        <v>188.0108183893939</v>
      </c>
    </row>
    <row r="292" spans="1:12" x14ac:dyDescent="0.2">
      <c r="A292" s="9" t="s">
        <v>6</v>
      </c>
      <c r="B292" s="9" t="s">
        <v>253</v>
      </c>
      <c r="C292" s="10" t="str">
        <f t="shared" si="5"/>
        <v>NWTC_WWNTOTEXFM_PR19CA008</v>
      </c>
      <c r="D292" s="120" t="s">
        <v>243</v>
      </c>
      <c r="E292" s="120"/>
      <c r="F292" s="143" t="s">
        <v>2</v>
      </c>
      <c r="G292" s="120"/>
      <c r="H292" s="120">
        <f>_xlfn.IFNA(INDEX('Financial model inputs '!$A$3:$AJ$59,MATCH(F_Interface!$A292&amp;RIGHT(F_Interface!H$2,2),'Financial model inputs '!$A$3:$A$59,0),MATCH(F_Interface!$B292,'Financial model inputs '!$A$3:$AJ$3,0)),0)</f>
        <v>494.63006198298456</v>
      </c>
      <c r="I292" s="120">
        <f>_xlfn.IFNA(INDEX('Financial model inputs '!$A$3:$AJ$59,MATCH(F_Interface!$A292&amp;RIGHT(F_Interface!I$2,2),'Financial model inputs '!$A$3:$A$59,0),MATCH(F_Interface!$B292,'Financial model inputs '!$A$3:$AJ$3,0)),0)</f>
        <v>494.63006198298456</v>
      </c>
      <c r="J292" s="120">
        <f>_xlfn.IFNA(INDEX('Financial model inputs '!$A$3:$AJ$59,MATCH(F_Interface!$A292&amp;RIGHT(F_Interface!J$2,2),'Financial model inputs '!$A$3:$A$59,0),MATCH(F_Interface!$B292,'Financial model inputs '!$A$3:$AJ$3,0)),0)</f>
        <v>494.63006198298456</v>
      </c>
      <c r="K292" s="120">
        <f>_xlfn.IFNA(INDEX('Financial model inputs '!$A$3:$AJ$59,MATCH(F_Interface!$A292&amp;RIGHT(F_Interface!K$2,2),'Financial model inputs '!$A$3:$A$59,0),MATCH(F_Interface!$B292,'Financial model inputs '!$A$3:$AJ$3,0)),0)</f>
        <v>494.63006198298456</v>
      </c>
      <c r="L292" s="120">
        <f>_xlfn.IFNA(INDEX('Financial model inputs '!$A$3:$AJ$59,MATCH(F_Interface!$A292&amp;RIGHT(F_Interface!L$2,2),'Financial model inputs '!$A$3:$A$59,0),MATCH(F_Interface!$B292,'Financial model inputs '!$A$3:$AJ$3,0)),0)</f>
        <v>494.63006198298456</v>
      </c>
    </row>
    <row r="293" spans="1:12" x14ac:dyDescent="0.2">
      <c r="A293" s="9" t="s">
        <v>7</v>
      </c>
      <c r="B293" s="9" t="s">
        <v>253</v>
      </c>
      <c r="C293" s="10" t="str">
        <f t="shared" si="5"/>
        <v>SRNC_WWNTOTEXFM_PR19CA008</v>
      </c>
      <c r="D293" s="120" t="s">
        <v>243</v>
      </c>
      <c r="E293" s="120"/>
      <c r="F293" s="143" t="s">
        <v>2</v>
      </c>
      <c r="G293" s="120"/>
      <c r="H293" s="120">
        <f>_xlfn.IFNA(INDEX('Financial model inputs '!$A$3:$AJ$59,MATCH(F_Interface!$A293&amp;RIGHT(F_Interface!H$2,2),'Financial model inputs '!$A$3:$A$59,0),MATCH(F_Interface!$B293,'Financial model inputs '!$A$3:$AJ$3,0)),0)</f>
        <v>396.02455871808058</v>
      </c>
      <c r="I293" s="120">
        <f>_xlfn.IFNA(INDEX('Financial model inputs '!$A$3:$AJ$59,MATCH(F_Interface!$A293&amp;RIGHT(F_Interface!I$2,2),'Financial model inputs '!$A$3:$A$59,0),MATCH(F_Interface!$B293,'Financial model inputs '!$A$3:$AJ$3,0)),0)</f>
        <v>396.02455871808058</v>
      </c>
      <c r="J293" s="120">
        <f>_xlfn.IFNA(INDEX('Financial model inputs '!$A$3:$AJ$59,MATCH(F_Interface!$A293&amp;RIGHT(F_Interface!J$2,2),'Financial model inputs '!$A$3:$A$59,0),MATCH(F_Interface!$B293,'Financial model inputs '!$A$3:$AJ$3,0)),0)</f>
        <v>396.02455871808058</v>
      </c>
      <c r="K293" s="120">
        <f>_xlfn.IFNA(INDEX('Financial model inputs '!$A$3:$AJ$59,MATCH(F_Interface!$A293&amp;RIGHT(F_Interface!K$2,2),'Financial model inputs '!$A$3:$A$59,0),MATCH(F_Interface!$B293,'Financial model inputs '!$A$3:$AJ$3,0)),0)</f>
        <v>396.02455871808058</v>
      </c>
      <c r="L293" s="120">
        <f>_xlfn.IFNA(INDEX('Financial model inputs '!$A$3:$AJ$59,MATCH(F_Interface!$A293&amp;RIGHT(F_Interface!L$2,2),'Financial model inputs '!$A$3:$A$59,0),MATCH(F_Interface!$B293,'Financial model inputs '!$A$3:$AJ$3,0)),0)</f>
        <v>396.02455871808058</v>
      </c>
    </row>
    <row r="294" spans="1:12" x14ac:dyDescent="0.2">
      <c r="A294" s="9" t="s">
        <v>116</v>
      </c>
      <c r="B294" s="9" t="s">
        <v>253</v>
      </c>
      <c r="C294" s="10" t="str">
        <f t="shared" si="5"/>
        <v>SVEC_WWNTOTEXFM_PR19CA008</v>
      </c>
      <c r="D294" s="120" t="s">
        <v>243</v>
      </c>
      <c r="E294" s="120"/>
      <c r="F294" s="143" t="s">
        <v>2</v>
      </c>
      <c r="G294" s="120"/>
      <c r="H294" s="120">
        <f>_xlfn.IFNA(INDEX('Financial model inputs '!$A$3:$AJ$59,MATCH(F_Interface!$A294&amp;RIGHT(F_Interface!H$2,2),'Financial model inputs '!$A$3:$A$59,0),MATCH(F_Interface!$B294,'Financial model inputs '!$A$3:$AJ$3,0)),0)</f>
        <v>541.91375417236691</v>
      </c>
      <c r="I294" s="120">
        <f>_xlfn.IFNA(INDEX('Financial model inputs '!$A$3:$AJ$59,MATCH(F_Interface!$A294&amp;RIGHT(F_Interface!I$2,2),'Financial model inputs '!$A$3:$A$59,0),MATCH(F_Interface!$B294,'Financial model inputs '!$A$3:$AJ$3,0)),0)</f>
        <v>541.91375417236691</v>
      </c>
      <c r="J294" s="120">
        <f>_xlfn.IFNA(INDEX('Financial model inputs '!$A$3:$AJ$59,MATCH(F_Interface!$A294&amp;RIGHT(F_Interface!J$2,2),'Financial model inputs '!$A$3:$A$59,0),MATCH(F_Interface!$B294,'Financial model inputs '!$A$3:$AJ$3,0)),0)</f>
        <v>541.91375417236691</v>
      </c>
      <c r="K294" s="120">
        <f>_xlfn.IFNA(INDEX('Financial model inputs '!$A$3:$AJ$59,MATCH(F_Interface!$A294&amp;RIGHT(F_Interface!K$2,2),'Financial model inputs '!$A$3:$A$59,0),MATCH(F_Interface!$B294,'Financial model inputs '!$A$3:$AJ$3,0)),0)</f>
        <v>541.91375417236691</v>
      </c>
      <c r="L294" s="120">
        <f>_xlfn.IFNA(INDEX('Financial model inputs '!$A$3:$AJ$59,MATCH(F_Interface!$A294&amp;RIGHT(F_Interface!L$2,2),'Financial model inputs '!$A$3:$A$59,0),MATCH(F_Interface!$B294,'Financial model inputs '!$A$3:$AJ$3,0)),0)</f>
        <v>541.91375417236691</v>
      </c>
    </row>
    <row r="295" spans="1:12" x14ac:dyDescent="0.2">
      <c r="A295" s="9" t="s">
        <v>101</v>
      </c>
      <c r="B295" s="9" t="s">
        <v>253</v>
      </c>
      <c r="C295" s="10" t="str">
        <f t="shared" si="5"/>
        <v>SVHC_WWNTOTEXFM_PR19CA008</v>
      </c>
      <c r="D295" s="120" t="s">
        <v>243</v>
      </c>
      <c r="E295" s="120"/>
      <c r="F295" s="143" t="s">
        <v>2</v>
      </c>
      <c r="G295" s="120"/>
      <c r="H295" s="120">
        <f>_xlfn.IFNA(INDEX('Financial model inputs '!$A$3:$AJ$59,MATCH(F_Interface!$A295&amp;RIGHT(F_Interface!H$2,2),'Financial model inputs '!$A$3:$A$59,0),MATCH(F_Interface!$B295,'Financial model inputs '!$A$3:$AJ$3,0)),0)</f>
        <v>0</v>
      </c>
      <c r="I295" s="120">
        <f>_xlfn.IFNA(INDEX('Financial model inputs '!$A$3:$AJ$59,MATCH(F_Interface!$A295&amp;RIGHT(F_Interface!I$2,2),'Financial model inputs '!$A$3:$A$59,0),MATCH(F_Interface!$B295,'Financial model inputs '!$A$3:$AJ$3,0)),0)</f>
        <v>0</v>
      </c>
      <c r="J295" s="120">
        <f>_xlfn.IFNA(INDEX('Financial model inputs '!$A$3:$AJ$59,MATCH(F_Interface!$A295&amp;RIGHT(F_Interface!J$2,2),'Financial model inputs '!$A$3:$A$59,0),MATCH(F_Interface!$B295,'Financial model inputs '!$A$3:$AJ$3,0)),0)</f>
        <v>0</v>
      </c>
      <c r="K295" s="120">
        <f>_xlfn.IFNA(INDEX('Financial model inputs '!$A$3:$AJ$59,MATCH(F_Interface!$A295&amp;RIGHT(F_Interface!K$2,2),'Financial model inputs '!$A$3:$A$59,0),MATCH(F_Interface!$B295,'Financial model inputs '!$A$3:$AJ$3,0)),0)</f>
        <v>0</v>
      </c>
      <c r="L295" s="120">
        <f>_xlfn.IFNA(INDEX('Financial model inputs '!$A$3:$AJ$59,MATCH(F_Interface!$A295&amp;RIGHT(F_Interface!L$2,2),'Financial model inputs '!$A$3:$A$59,0),MATCH(F_Interface!$B295,'Financial model inputs '!$A$3:$AJ$3,0)),0)</f>
        <v>0</v>
      </c>
    </row>
    <row r="296" spans="1:12" x14ac:dyDescent="0.2">
      <c r="A296" s="9" t="s">
        <v>8</v>
      </c>
      <c r="B296" s="9" t="s">
        <v>253</v>
      </c>
      <c r="C296" s="10" t="str">
        <f t="shared" si="5"/>
        <v>SVTC_WWNTOTEXFM_PR19CA008</v>
      </c>
      <c r="D296" s="120" t="s">
        <v>243</v>
      </c>
      <c r="E296" s="120"/>
      <c r="F296" s="143" t="s">
        <v>2</v>
      </c>
      <c r="G296" s="120"/>
      <c r="H296" s="120">
        <f>_xlfn.IFNA(INDEX('Financial model inputs '!$A$3:$AJ$59,MATCH(F_Interface!$A296&amp;RIGHT(F_Interface!H$2,2),'Financial model inputs '!$A$3:$A$59,0),MATCH(F_Interface!$B296,'Financial model inputs '!$A$3:$AJ$3,0)),0)</f>
        <v>0</v>
      </c>
      <c r="I296" s="120">
        <f>_xlfn.IFNA(INDEX('Financial model inputs '!$A$3:$AJ$59,MATCH(F_Interface!$A296&amp;RIGHT(F_Interface!I$2,2),'Financial model inputs '!$A$3:$A$59,0),MATCH(F_Interface!$B296,'Financial model inputs '!$A$3:$AJ$3,0)),0)</f>
        <v>0</v>
      </c>
      <c r="J296" s="120">
        <f>_xlfn.IFNA(INDEX('Financial model inputs '!$A$3:$AJ$59,MATCH(F_Interface!$A296&amp;RIGHT(F_Interface!J$2,2),'Financial model inputs '!$A$3:$A$59,0),MATCH(F_Interface!$B296,'Financial model inputs '!$A$3:$AJ$3,0)),0)</f>
        <v>0</v>
      </c>
      <c r="K296" s="120">
        <f>_xlfn.IFNA(INDEX('Financial model inputs '!$A$3:$AJ$59,MATCH(F_Interface!$A296&amp;RIGHT(F_Interface!K$2,2),'Financial model inputs '!$A$3:$A$59,0),MATCH(F_Interface!$B296,'Financial model inputs '!$A$3:$AJ$3,0)),0)</f>
        <v>0</v>
      </c>
      <c r="L296" s="120">
        <f>_xlfn.IFNA(INDEX('Financial model inputs '!$A$3:$AJ$59,MATCH(F_Interface!$A296&amp;RIGHT(F_Interface!L$2,2),'Financial model inputs '!$A$3:$A$59,0),MATCH(F_Interface!$B296,'Financial model inputs '!$A$3:$AJ$3,0)),0)</f>
        <v>0</v>
      </c>
    </row>
    <row r="297" spans="1:12" x14ac:dyDescent="0.2">
      <c r="A297" s="9" t="s">
        <v>12</v>
      </c>
      <c r="B297" s="9" t="s">
        <v>253</v>
      </c>
      <c r="C297" s="10" t="str">
        <f t="shared" si="5"/>
        <v>SWBC_WWNTOTEXFM_PR19CA008</v>
      </c>
      <c r="D297" s="120" t="s">
        <v>243</v>
      </c>
      <c r="E297" s="120"/>
      <c r="F297" s="143" t="s">
        <v>2</v>
      </c>
      <c r="G297" s="120"/>
      <c r="H297" s="120">
        <f>_xlfn.IFNA(INDEX('Financial model inputs '!$A$3:$AJ$59,MATCH(F_Interface!$A297&amp;RIGHT(F_Interface!H$2,2),'Financial model inputs '!$A$3:$A$59,0),MATCH(F_Interface!$B297,'Financial model inputs '!$A$3:$AJ$3,0)),0)</f>
        <v>166.4706950761541</v>
      </c>
      <c r="I297" s="120">
        <f>_xlfn.IFNA(INDEX('Financial model inputs '!$A$3:$AJ$59,MATCH(F_Interface!$A297&amp;RIGHT(F_Interface!I$2,2),'Financial model inputs '!$A$3:$A$59,0),MATCH(F_Interface!$B297,'Financial model inputs '!$A$3:$AJ$3,0)),0)</f>
        <v>166.4706950761541</v>
      </c>
      <c r="J297" s="120">
        <f>_xlfn.IFNA(INDEX('Financial model inputs '!$A$3:$AJ$59,MATCH(F_Interface!$A297&amp;RIGHT(F_Interface!J$2,2),'Financial model inputs '!$A$3:$A$59,0),MATCH(F_Interface!$B297,'Financial model inputs '!$A$3:$AJ$3,0)),0)</f>
        <v>166.4706950761541</v>
      </c>
      <c r="K297" s="120">
        <f>_xlfn.IFNA(INDEX('Financial model inputs '!$A$3:$AJ$59,MATCH(F_Interface!$A297&amp;RIGHT(F_Interface!K$2,2),'Financial model inputs '!$A$3:$A$59,0),MATCH(F_Interface!$B297,'Financial model inputs '!$A$3:$AJ$3,0)),0)</f>
        <v>166.4706950761541</v>
      </c>
      <c r="L297" s="120">
        <f>_xlfn.IFNA(INDEX('Financial model inputs '!$A$3:$AJ$59,MATCH(F_Interface!$A297&amp;RIGHT(F_Interface!L$2,2),'Financial model inputs '!$A$3:$A$59,0),MATCH(F_Interface!$B297,'Financial model inputs '!$A$3:$AJ$3,0)),0)</f>
        <v>166.4706950761541</v>
      </c>
    </row>
    <row r="298" spans="1:12" x14ac:dyDescent="0.2">
      <c r="A298" s="9" t="s">
        <v>9</v>
      </c>
      <c r="B298" s="9" t="s">
        <v>253</v>
      </c>
      <c r="C298" s="10" t="str">
        <f t="shared" ref="C298:C361" si="10">A298&amp;B298</f>
        <v>TMSC_WWNTOTEXFM_PR19CA008</v>
      </c>
      <c r="D298" s="120" t="s">
        <v>243</v>
      </c>
      <c r="E298" s="120"/>
      <c r="F298" s="143" t="s">
        <v>2</v>
      </c>
      <c r="G298" s="120"/>
      <c r="H298" s="120">
        <f>_xlfn.IFNA(INDEX('Financial model inputs '!$A$3:$AJ$59,MATCH(F_Interface!$A298&amp;RIGHT(F_Interface!H$2,2),'Financial model inputs '!$A$3:$A$59,0),MATCH(F_Interface!$B298,'Financial model inputs '!$A$3:$AJ$3,0)),0)</f>
        <v>733.24883124270457</v>
      </c>
      <c r="I298" s="120">
        <f>_xlfn.IFNA(INDEX('Financial model inputs '!$A$3:$AJ$59,MATCH(F_Interface!$A298&amp;RIGHT(F_Interface!I$2,2),'Financial model inputs '!$A$3:$A$59,0),MATCH(F_Interface!$B298,'Financial model inputs '!$A$3:$AJ$3,0)),0)</f>
        <v>733.24883124270457</v>
      </c>
      <c r="J298" s="120">
        <f>_xlfn.IFNA(INDEX('Financial model inputs '!$A$3:$AJ$59,MATCH(F_Interface!$A298&amp;RIGHT(F_Interface!J$2,2),'Financial model inputs '!$A$3:$A$59,0),MATCH(F_Interface!$B298,'Financial model inputs '!$A$3:$AJ$3,0)),0)</f>
        <v>733.24883124270457</v>
      </c>
      <c r="K298" s="120">
        <f>_xlfn.IFNA(INDEX('Financial model inputs '!$A$3:$AJ$59,MATCH(F_Interface!$A298&amp;RIGHT(F_Interface!K$2,2),'Financial model inputs '!$A$3:$A$59,0),MATCH(F_Interface!$B298,'Financial model inputs '!$A$3:$AJ$3,0)),0)</f>
        <v>733.24883124270457</v>
      </c>
      <c r="L298" s="120">
        <f>_xlfn.IFNA(INDEX('Financial model inputs '!$A$3:$AJ$59,MATCH(F_Interface!$A298&amp;RIGHT(F_Interface!L$2,2),'Financial model inputs '!$A$3:$A$59,0),MATCH(F_Interface!$B298,'Financial model inputs '!$A$3:$AJ$3,0)),0)</f>
        <v>733.24883124270457</v>
      </c>
    </row>
    <row r="299" spans="1:12" x14ac:dyDescent="0.2">
      <c r="A299" s="9" t="s">
        <v>15</v>
      </c>
      <c r="B299" s="9" t="s">
        <v>253</v>
      </c>
      <c r="C299" s="10" t="str">
        <f t="shared" si="10"/>
        <v>WSHC_WWNTOTEXFM_PR19CA008</v>
      </c>
      <c r="D299" s="120" t="s">
        <v>243</v>
      </c>
      <c r="E299" s="120"/>
      <c r="F299" s="143" t="s">
        <v>2</v>
      </c>
      <c r="G299" s="120"/>
      <c r="H299" s="120">
        <f>_xlfn.IFNA(INDEX('Financial model inputs '!$A$3:$AJ$59,MATCH(F_Interface!$A299&amp;RIGHT(F_Interface!H$2,2),'Financial model inputs '!$A$3:$A$59,0),MATCH(F_Interface!$B299,'Financial model inputs '!$A$3:$AJ$3,0)),0)</f>
        <v>245.95605847466905</v>
      </c>
      <c r="I299" s="120">
        <f>_xlfn.IFNA(INDEX('Financial model inputs '!$A$3:$AJ$59,MATCH(F_Interface!$A299&amp;RIGHT(F_Interface!I$2,2),'Financial model inputs '!$A$3:$A$59,0),MATCH(F_Interface!$B299,'Financial model inputs '!$A$3:$AJ$3,0)),0)</f>
        <v>245.95605847466905</v>
      </c>
      <c r="J299" s="120">
        <f>_xlfn.IFNA(INDEX('Financial model inputs '!$A$3:$AJ$59,MATCH(F_Interface!$A299&amp;RIGHT(F_Interface!J$2,2),'Financial model inputs '!$A$3:$A$59,0),MATCH(F_Interface!$B299,'Financial model inputs '!$A$3:$AJ$3,0)),0)</f>
        <v>245.95605847466905</v>
      </c>
      <c r="K299" s="120">
        <f>_xlfn.IFNA(INDEX('Financial model inputs '!$A$3:$AJ$59,MATCH(F_Interface!$A299&amp;RIGHT(F_Interface!K$2,2),'Financial model inputs '!$A$3:$A$59,0),MATCH(F_Interface!$B299,'Financial model inputs '!$A$3:$AJ$3,0)),0)</f>
        <v>245.95605847466905</v>
      </c>
      <c r="L299" s="120">
        <f>_xlfn.IFNA(INDEX('Financial model inputs '!$A$3:$AJ$59,MATCH(F_Interface!$A299&amp;RIGHT(F_Interface!L$2,2),'Financial model inputs '!$A$3:$A$59,0),MATCH(F_Interface!$B299,'Financial model inputs '!$A$3:$AJ$3,0)),0)</f>
        <v>245.95605847466905</v>
      </c>
    </row>
    <row r="300" spans="1:12" x14ac:dyDescent="0.2">
      <c r="A300" s="9" t="s">
        <v>10</v>
      </c>
      <c r="B300" s="9" t="s">
        <v>253</v>
      </c>
      <c r="C300" s="10" t="str">
        <f t="shared" si="10"/>
        <v>WSXC_WWNTOTEXFM_PR19CA008</v>
      </c>
      <c r="D300" s="120" t="s">
        <v>243</v>
      </c>
      <c r="E300" s="120"/>
      <c r="F300" s="143" t="s">
        <v>2</v>
      </c>
      <c r="G300" s="120"/>
      <c r="H300" s="120">
        <f>_xlfn.IFNA(INDEX('Financial model inputs '!$A$3:$AJ$59,MATCH(F_Interface!$A300&amp;RIGHT(F_Interface!H$2,2),'Financial model inputs '!$A$3:$A$59,0),MATCH(F_Interface!$B300,'Financial model inputs '!$A$3:$AJ$3,0)),0)</f>
        <v>248.49463173906989</v>
      </c>
      <c r="I300" s="120">
        <f>_xlfn.IFNA(INDEX('Financial model inputs '!$A$3:$AJ$59,MATCH(F_Interface!$A300&amp;RIGHT(F_Interface!I$2,2),'Financial model inputs '!$A$3:$A$59,0),MATCH(F_Interface!$B300,'Financial model inputs '!$A$3:$AJ$3,0)),0)</f>
        <v>248.49463173906989</v>
      </c>
      <c r="J300" s="120">
        <f>_xlfn.IFNA(INDEX('Financial model inputs '!$A$3:$AJ$59,MATCH(F_Interface!$A300&amp;RIGHT(F_Interface!J$2,2),'Financial model inputs '!$A$3:$A$59,0),MATCH(F_Interface!$B300,'Financial model inputs '!$A$3:$AJ$3,0)),0)</f>
        <v>248.49463173906989</v>
      </c>
      <c r="K300" s="120">
        <f>_xlfn.IFNA(INDEX('Financial model inputs '!$A$3:$AJ$59,MATCH(F_Interface!$A300&amp;RIGHT(F_Interface!K$2,2),'Financial model inputs '!$A$3:$A$59,0),MATCH(F_Interface!$B300,'Financial model inputs '!$A$3:$AJ$3,0)),0)</f>
        <v>248.49463173906989</v>
      </c>
      <c r="L300" s="120">
        <f>_xlfn.IFNA(INDEX('Financial model inputs '!$A$3:$AJ$59,MATCH(F_Interface!$A300&amp;RIGHT(F_Interface!L$2,2),'Financial model inputs '!$A$3:$A$59,0),MATCH(F_Interface!$B300,'Financial model inputs '!$A$3:$AJ$3,0)),0)</f>
        <v>248.49463173906989</v>
      </c>
    </row>
    <row r="301" spans="1:12" x14ac:dyDescent="0.2">
      <c r="A301" s="9" t="s">
        <v>11</v>
      </c>
      <c r="B301" s="9" t="s">
        <v>253</v>
      </c>
      <c r="C301" s="10" t="str">
        <f t="shared" si="10"/>
        <v>YKYC_WWNTOTEXFM_PR19CA008</v>
      </c>
      <c r="D301" s="120" t="s">
        <v>243</v>
      </c>
      <c r="E301" s="120"/>
      <c r="F301" s="143" t="s">
        <v>2</v>
      </c>
      <c r="G301" s="120"/>
      <c r="H301" s="120">
        <f>_xlfn.IFNA(INDEX('Financial model inputs '!$A$3:$AJ$59,MATCH(F_Interface!$A301&amp;RIGHT(F_Interface!H$2,2),'Financial model inputs '!$A$3:$A$59,0),MATCH(F_Interface!$B301,'Financial model inputs '!$A$3:$AJ$3,0)),0)</f>
        <v>402.22899330893409</v>
      </c>
      <c r="I301" s="120">
        <f>_xlfn.IFNA(INDEX('Financial model inputs '!$A$3:$AJ$59,MATCH(F_Interface!$A301&amp;RIGHT(F_Interface!I$2,2),'Financial model inputs '!$A$3:$A$59,0),MATCH(F_Interface!$B301,'Financial model inputs '!$A$3:$AJ$3,0)),0)</f>
        <v>402.22899330893409</v>
      </c>
      <c r="J301" s="120">
        <f>_xlfn.IFNA(INDEX('Financial model inputs '!$A$3:$AJ$59,MATCH(F_Interface!$A301&amp;RIGHT(F_Interface!J$2,2),'Financial model inputs '!$A$3:$A$59,0),MATCH(F_Interface!$B301,'Financial model inputs '!$A$3:$AJ$3,0)),0)</f>
        <v>402.22899330893409</v>
      </c>
      <c r="K301" s="120">
        <f>_xlfn.IFNA(INDEX('Financial model inputs '!$A$3:$AJ$59,MATCH(F_Interface!$A301&amp;RIGHT(F_Interface!K$2,2),'Financial model inputs '!$A$3:$A$59,0),MATCH(F_Interface!$B301,'Financial model inputs '!$A$3:$AJ$3,0)),0)</f>
        <v>402.22899330893409</v>
      </c>
      <c r="L301" s="120">
        <f>_xlfn.IFNA(INDEX('Financial model inputs '!$A$3:$AJ$59,MATCH(F_Interface!$A301&amp;RIGHT(F_Interface!L$2,2),'Financial model inputs '!$A$3:$A$59,0),MATCH(F_Interface!$B301,'Financial model inputs '!$A$3:$AJ$3,0)),0)</f>
        <v>402.22899330893409</v>
      </c>
    </row>
    <row r="302" spans="1:12" x14ac:dyDescent="0.2">
      <c r="A302" s="9" t="s">
        <v>4</v>
      </c>
      <c r="B302" s="9" t="s">
        <v>254</v>
      </c>
      <c r="C302" s="10" t="str">
        <f t="shared" si="10"/>
        <v>ANHC_BROPEX_PR19CA008</v>
      </c>
      <c r="D302" s="120" t="s">
        <v>244</v>
      </c>
      <c r="E302" s="120"/>
      <c r="F302" s="143" t="s">
        <v>2</v>
      </c>
      <c r="G302" s="120"/>
      <c r="H302" s="120">
        <f>_xlfn.IFNA(INDEX('Financial model inputs '!$A$3:$AJ$59,MATCH(F_Interface!$A302&amp;RIGHT(F_Interface!H$2,2),'Financial model inputs '!$A$3:$A$59,0),MATCH(F_Interface!$B302,'Financial model inputs '!$A$3:$AJ$3,0)),0)</f>
        <v>54.70300951159485</v>
      </c>
      <c r="I302" s="120">
        <f>_xlfn.IFNA(INDEX('Financial model inputs '!$A$3:$AJ$59,MATCH(F_Interface!$A302&amp;RIGHT(F_Interface!I$2,2),'Financial model inputs '!$A$3:$A$59,0),MATCH(F_Interface!$B302,'Financial model inputs '!$A$3:$AJ$3,0)),0)</f>
        <v>53.960952913146365</v>
      </c>
      <c r="J302" s="120">
        <f>_xlfn.IFNA(INDEX('Financial model inputs '!$A$3:$AJ$59,MATCH(F_Interface!$A302&amp;RIGHT(F_Interface!J$2,2),'Financial model inputs '!$A$3:$A$59,0),MATCH(F_Interface!$B302,'Financial model inputs '!$A$3:$AJ$3,0)),0)</f>
        <v>55.560538924580605</v>
      </c>
      <c r="K302" s="120">
        <f>_xlfn.IFNA(INDEX('Financial model inputs '!$A$3:$AJ$59,MATCH(F_Interface!$A302&amp;RIGHT(F_Interface!K$2,2),'Financial model inputs '!$A$3:$A$59,0),MATCH(F_Interface!$B302,'Financial model inputs '!$A$3:$AJ$3,0)),0)</f>
        <v>56.712869329681986</v>
      </c>
      <c r="L302" s="120">
        <f>_xlfn.IFNA(INDEX('Financial model inputs '!$A$3:$AJ$59,MATCH(F_Interface!$A302&amp;RIGHT(F_Interface!L$2,2),'Financial model inputs '!$A$3:$A$59,0),MATCH(F_Interface!$B302,'Financial model inputs '!$A$3:$AJ$3,0)),0)</f>
        <v>55.777298499536215</v>
      </c>
    </row>
    <row r="303" spans="1:12" x14ac:dyDescent="0.2">
      <c r="A303" s="9" t="s">
        <v>87</v>
      </c>
      <c r="B303" s="9" t="s">
        <v>254</v>
      </c>
      <c r="C303" s="10" t="str">
        <f t="shared" si="10"/>
        <v>HDDC_BROPEX_PR19CA008</v>
      </c>
      <c r="D303" s="120" t="s">
        <v>244</v>
      </c>
      <c r="E303" s="120"/>
      <c r="F303" s="143" t="s">
        <v>2</v>
      </c>
      <c r="G303" s="120"/>
      <c r="H303" s="120">
        <f>_xlfn.IFNA(INDEX('Financial model inputs '!$A$3:$AJ$59,MATCH(F_Interface!$A303&amp;RIGHT(F_Interface!H$2,2),'Financial model inputs '!$A$3:$A$59,0),MATCH(F_Interface!$B303,'Financial model inputs '!$A$3:$AJ$3,0)),0)</f>
        <v>1.0705975592581454</v>
      </c>
      <c r="I303" s="120">
        <f>_xlfn.IFNA(INDEX('Financial model inputs '!$A$3:$AJ$59,MATCH(F_Interface!$A303&amp;RIGHT(F_Interface!I$2,2),'Financial model inputs '!$A$3:$A$59,0),MATCH(F_Interface!$B303,'Financial model inputs '!$A$3:$AJ$3,0)),0)</f>
        <v>1.0705975592581454</v>
      </c>
      <c r="J303" s="120">
        <f>_xlfn.IFNA(INDEX('Financial model inputs '!$A$3:$AJ$59,MATCH(F_Interface!$A303&amp;RIGHT(F_Interface!J$2,2),'Financial model inputs '!$A$3:$A$59,0),MATCH(F_Interface!$B303,'Financial model inputs '!$A$3:$AJ$3,0)),0)</f>
        <v>1.0705975592581454</v>
      </c>
      <c r="K303" s="120">
        <f>_xlfn.IFNA(INDEX('Financial model inputs '!$A$3:$AJ$59,MATCH(F_Interface!$A303&amp;RIGHT(F_Interface!K$2,2),'Financial model inputs '!$A$3:$A$59,0),MATCH(F_Interface!$B303,'Financial model inputs '!$A$3:$AJ$3,0)),0)</f>
        <v>1.0705975592581454</v>
      </c>
      <c r="L303" s="120">
        <f>_xlfn.IFNA(INDEX('Financial model inputs '!$A$3:$AJ$59,MATCH(F_Interface!$A303&amp;RIGHT(F_Interface!L$2,2),'Financial model inputs '!$A$3:$A$59,0),MATCH(F_Interface!$B303,'Financial model inputs '!$A$3:$AJ$3,0)),0)</f>
        <v>1.0705975592581454</v>
      </c>
    </row>
    <row r="304" spans="1:12" x14ac:dyDescent="0.2">
      <c r="A304" s="9" t="s">
        <v>5</v>
      </c>
      <c r="B304" s="9" t="s">
        <v>254</v>
      </c>
      <c r="C304" s="10" t="str">
        <f t="shared" si="10"/>
        <v>NESC_BROPEX_PR19CA008</v>
      </c>
      <c r="D304" s="120" t="s">
        <v>244</v>
      </c>
      <c r="E304" s="120"/>
      <c r="F304" s="143" t="s">
        <v>2</v>
      </c>
      <c r="G304" s="120"/>
      <c r="H304" s="120">
        <f>_xlfn.IFNA(INDEX('Financial model inputs '!$A$3:$AJ$59,MATCH(F_Interface!$A304&amp;RIGHT(F_Interface!H$2,2),'Financial model inputs '!$A$3:$A$59,0),MATCH(F_Interface!$B304,'Financial model inputs '!$A$3:$AJ$3,0)),0)</f>
        <v>10.252803771546322</v>
      </c>
      <c r="I304" s="120">
        <f>_xlfn.IFNA(INDEX('Financial model inputs '!$A$3:$AJ$59,MATCH(F_Interface!$A304&amp;RIGHT(F_Interface!I$2,2),'Financial model inputs '!$A$3:$A$59,0),MATCH(F_Interface!$B304,'Financial model inputs '!$A$3:$AJ$3,0)),0)</f>
        <v>10.194707299647238</v>
      </c>
      <c r="J304" s="120">
        <f>_xlfn.IFNA(INDEX('Financial model inputs '!$A$3:$AJ$59,MATCH(F_Interface!$A304&amp;RIGHT(F_Interface!J$2,2),'Financial model inputs '!$A$3:$A$59,0),MATCH(F_Interface!$B304,'Financial model inputs '!$A$3:$AJ$3,0)),0)</f>
        <v>10.154408887438564</v>
      </c>
      <c r="K304" s="120">
        <f>_xlfn.IFNA(INDEX('Financial model inputs '!$A$3:$AJ$59,MATCH(F_Interface!$A304&amp;RIGHT(F_Interface!K$2,2),'Financial model inputs '!$A$3:$A$59,0),MATCH(F_Interface!$B304,'Financial model inputs '!$A$3:$AJ$3,0)),0)</f>
        <v>10.114950553140291</v>
      </c>
      <c r="L304" s="120">
        <f>_xlfn.IFNA(INDEX('Financial model inputs '!$A$3:$AJ$59,MATCH(F_Interface!$A304&amp;RIGHT(F_Interface!L$2,2),'Financial model inputs '!$A$3:$A$59,0),MATCH(F_Interface!$B304,'Financial model inputs '!$A$3:$AJ$3,0)),0)</f>
        <v>10.078758338190944</v>
      </c>
    </row>
    <row r="305" spans="1:12" x14ac:dyDescent="0.2">
      <c r="A305" s="9" t="s">
        <v>6</v>
      </c>
      <c r="B305" s="9" t="s">
        <v>254</v>
      </c>
      <c r="C305" s="10" t="str">
        <f t="shared" si="10"/>
        <v>NWTC_BROPEX_PR19CA008</v>
      </c>
      <c r="D305" s="120" t="s">
        <v>244</v>
      </c>
      <c r="E305" s="120"/>
      <c r="F305" s="143" t="s">
        <v>2</v>
      </c>
      <c r="G305" s="120"/>
      <c r="H305" s="120">
        <f>_xlfn.IFNA(INDEX('Financial model inputs '!$A$3:$AJ$59,MATCH(F_Interface!$A305&amp;RIGHT(F_Interface!H$2,2),'Financial model inputs '!$A$3:$A$59,0),MATCH(F_Interface!$B305,'Financial model inputs '!$A$3:$AJ$3,0)),0)</f>
        <v>42.275155496977007</v>
      </c>
      <c r="I305" s="120">
        <f>_xlfn.IFNA(INDEX('Financial model inputs '!$A$3:$AJ$59,MATCH(F_Interface!$A305&amp;RIGHT(F_Interface!I$2,2),'Financial model inputs '!$A$3:$A$59,0),MATCH(F_Interface!$B305,'Financial model inputs '!$A$3:$AJ$3,0)),0)</f>
        <v>40.80845769333785</v>
      </c>
      <c r="J305" s="120">
        <f>_xlfn.IFNA(INDEX('Financial model inputs '!$A$3:$AJ$59,MATCH(F_Interface!$A305&amp;RIGHT(F_Interface!J$2,2),'Financial model inputs '!$A$3:$A$59,0),MATCH(F_Interface!$B305,'Financial model inputs '!$A$3:$AJ$3,0)),0)</f>
        <v>43.148525272602349</v>
      </c>
      <c r="K305" s="120">
        <f>_xlfn.IFNA(INDEX('Financial model inputs '!$A$3:$AJ$59,MATCH(F_Interface!$A305&amp;RIGHT(F_Interface!K$2,2),'Financial model inputs '!$A$3:$A$59,0),MATCH(F_Interface!$B305,'Financial model inputs '!$A$3:$AJ$3,0)),0)</f>
        <v>45.612108906745476</v>
      </c>
      <c r="L305" s="120">
        <f>_xlfn.IFNA(INDEX('Financial model inputs '!$A$3:$AJ$59,MATCH(F_Interface!$A305&amp;RIGHT(F_Interface!L$2,2),'Financial model inputs '!$A$3:$A$59,0),MATCH(F_Interface!$B305,'Financial model inputs '!$A$3:$AJ$3,0)),0)</f>
        <v>44.248254068210784</v>
      </c>
    </row>
    <row r="306" spans="1:12" x14ac:dyDescent="0.2">
      <c r="A306" s="9" t="s">
        <v>7</v>
      </c>
      <c r="B306" s="9" t="s">
        <v>254</v>
      </c>
      <c r="C306" s="10" t="str">
        <f t="shared" si="10"/>
        <v>SRNC_BROPEX_PR19CA008</v>
      </c>
      <c r="D306" s="120" t="s">
        <v>244</v>
      </c>
      <c r="E306" s="120"/>
      <c r="F306" s="143" t="s">
        <v>2</v>
      </c>
      <c r="G306" s="120"/>
      <c r="H306" s="120">
        <f>_xlfn.IFNA(INDEX('Financial model inputs '!$A$3:$AJ$59,MATCH(F_Interface!$A306&amp;RIGHT(F_Interface!H$2,2),'Financial model inputs '!$A$3:$A$59,0),MATCH(F_Interface!$B306,'Financial model inputs '!$A$3:$AJ$3,0)),0)</f>
        <v>23.993224561083533</v>
      </c>
      <c r="I306" s="120">
        <f>_xlfn.IFNA(INDEX('Financial model inputs '!$A$3:$AJ$59,MATCH(F_Interface!$A306&amp;RIGHT(F_Interface!I$2,2),'Financial model inputs '!$A$3:$A$59,0),MATCH(F_Interface!$B306,'Financial model inputs '!$A$3:$AJ$3,0)),0)</f>
        <v>21.025124183710258</v>
      </c>
      <c r="J306" s="120">
        <f>_xlfn.IFNA(INDEX('Financial model inputs '!$A$3:$AJ$59,MATCH(F_Interface!$A306&amp;RIGHT(F_Interface!J$2,2),'Financial model inputs '!$A$3:$A$59,0),MATCH(F_Interface!$B306,'Financial model inputs '!$A$3:$AJ$3,0)),0)</f>
        <v>14.979912432681942</v>
      </c>
      <c r="K306" s="120">
        <f>_xlfn.IFNA(INDEX('Financial model inputs '!$A$3:$AJ$59,MATCH(F_Interface!$A306&amp;RIGHT(F_Interface!K$2,2),'Financial model inputs '!$A$3:$A$59,0),MATCH(F_Interface!$B306,'Financial model inputs '!$A$3:$AJ$3,0)),0)</f>
        <v>23.286847441771783</v>
      </c>
      <c r="L306" s="120">
        <f>_xlfn.IFNA(INDEX('Financial model inputs '!$A$3:$AJ$59,MATCH(F_Interface!$A306&amp;RIGHT(F_Interface!L$2,2),'Financial model inputs '!$A$3:$A$59,0),MATCH(F_Interface!$B306,'Financial model inputs '!$A$3:$AJ$3,0)),0)</f>
        <v>26.341909451835274</v>
      </c>
    </row>
    <row r="307" spans="1:12" x14ac:dyDescent="0.2">
      <c r="A307" s="9" t="s">
        <v>116</v>
      </c>
      <c r="B307" s="9" t="s">
        <v>254</v>
      </c>
      <c r="C307" s="10" t="str">
        <f t="shared" si="10"/>
        <v>SVEC_BROPEX_PR19CA008</v>
      </c>
      <c r="D307" s="120" t="s">
        <v>244</v>
      </c>
      <c r="E307" s="120"/>
      <c r="F307" s="143" t="s">
        <v>2</v>
      </c>
      <c r="G307" s="120"/>
      <c r="H307" s="120">
        <f>_xlfn.IFNA(INDEX('Financial model inputs '!$A$3:$AJ$59,MATCH(F_Interface!$A307&amp;RIGHT(F_Interface!H$2,2),'Financial model inputs '!$A$3:$A$59,0),MATCH(F_Interface!$B307,'Financial model inputs '!$A$3:$AJ$3,0)),0)</f>
        <v>29.989798943888829</v>
      </c>
      <c r="I307" s="120">
        <f>_xlfn.IFNA(INDEX('Financial model inputs '!$A$3:$AJ$59,MATCH(F_Interface!$A307&amp;RIGHT(F_Interface!I$2,2),'Financial model inputs '!$A$3:$A$59,0),MATCH(F_Interface!$B307,'Financial model inputs '!$A$3:$AJ$3,0)),0)</f>
        <v>30.912167510219181</v>
      </c>
      <c r="J307" s="120">
        <f>_xlfn.IFNA(INDEX('Financial model inputs '!$A$3:$AJ$59,MATCH(F_Interface!$A307&amp;RIGHT(F_Interface!J$2,2),'Financial model inputs '!$A$3:$A$59,0),MATCH(F_Interface!$B307,'Financial model inputs '!$A$3:$AJ$3,0)),0)</f>
        <v>29.893200228550082</v>
      </c>
      <c r="K307" s="120">
        <f>_xlfn.IFNA(INDEX('Financial model inputs '!$A$3:$AJ$59,MATCH(F_Interface!$A307&amp;RIGHT(F_Interface!K$2,2),'Financial model inputs '!$A$3:$A$59,0),MATCH(F_Interface!$B307,'Financial model inputs '!$A$3:$AJ$3,0)),0)</f>
        <v>31.469028717709818</v>
      </c>
      <c r="L307" s="120">
        <f>_xlfn.IFNA(INDEX('Financial model inputs '!$A$3:$AJ$59,MATCH(F_Interface!$A307&amp;RIGHT(F_Interface!L$2,2),'Financial model inputs '!$A$3:$A$59,0),MATCH(F_Interface!$B307,'Financial model inputs '!$A$3:$AJ$3,0)),0)</f>
        <v>34.367839051717063</v>
      </c>
    </row>
    <row r="308" spans="1:12" x14ac:dyDescent="0.2">
      <c r="A308" s="9" t="s">
        <v>101</v>
      </c>
      <c r="B308" s="9" t="s">
        <v>254</v>
      </c>
      <c r="C308" s="10" t="str">
        <f t="shared" si="10"/>
        <v>SVHC_BROPEX_PR19CA008</v>
      </c>
      <c r="D308" s="120" t="s">
        <v>244</v>
      </c>
      <c r="E308" s="120"/>
      <c r="F308" s="143" t="s">
        <v>2</v>
      </c>
      <c r="G308" s="120"/>
      <c r="H308" s="120">
        <f>_xlfn.IFNA(INDEX('Financial model inputs '!$A$3:$AJ$59,MATCH(F_Interface!$A308&amp;RIGHT(F_Interface!H$2,2),'Financial model inputs '!$A$3:$A$59,0),MATCH(F_Interface!$B308,'Financial model inputs '!$A$3:$AJ$3,0)),0)</f>
        <v>0</v>
      </c>
      <c r="I308" s="120">
        <f>_xlfn.IFNA(INDEX('Financial model inputs '!$A$3:$AJ$59,MATCH(F_Interface!$A308&amp;RIGHT(F_Interface!I$2,2),'Financial model inputs '!$A$3:$A$59,0),MATCH(F_Interface!$B308,'Financial model inputs '!$A$3:$AJ$3,0)),0)</f>
        <v>0</v>
      </c>
      <c r="J308" s="120">
        <f>_xlfn.IFNA(INDEX('Financial model inputs '!$A$3:$AJ$59,MATCH(F_Interface!$A308&amp;RIGHT(F_Interface!J$2,2),'Financial model inputs '!$A$3:$A$59,0),MATCH(F_Interface!$B308,'Financial model inputs '!$A$3:$AJ$3,0)),0)</f>
        <v>0</v>
      </c>
      <c r="K308" s="120">
        <f>_xlfn.IFNA(INDEX('Financial model inputs '!$A$3:$AJ$59,MATCH(F_Interface!$A308&amp;RIGHT(F_Interface!K$2,2),'Financial model inputs '!$A$3:$A$59,0),MATCH(F_Interface!$B308,'Financial model inputs '!$A$3:$AJ$3,0)),0)</f>
        <v>0</v>
      </c>
      <c r="L308" s="120">
        <f>_xlfn.IFNA(INDEX('Financial model inputs '!$A$3:$AJ$59,MATCH(F_Interface!$A308&amp;RIGHT(F_Interface!L$2,2),'Financial model inputs '!$A$3:$A$59,0),MATCH(F_Interface!$B308,'Financial model inputs '!$A$3:$AJ$3,0)),0)</f>
        <v>0</v>
      </c>
    </row>
    <row r="309" spans="1:12" x14ac:dyDescent="0.2">
      <c r="A309" s="9" t="s">
        <v>8</v>
      </c>
      <c r="B309" s="9" t="s">
        <v>254</v>
      </c>
      <c r="C309" s="10" t="str">
        <f t="shared" si="10"/>
        <v>SVTC_BROPEX_PR19CA008</v>
      </c>
      <c r="D309" s="120" t="s">
        <v>244</v>
      </c>
      <c r="E309" s="120"/>
      <c r="F309" s="143" t="s">
        <v>2</v>
      </c>
      <c r="G309" s="120"/>
      <c r="H309" s="120">
        <f>_xlfn.IFNA(INDEX('Financial model inputs '!$A$3:$AJ$59,MATCH(F_Interface!$A309&amp;RIGHT(F_Interface!H$2,2),'Financial model inputs '!$A$3:$A$59,0),MATCH(F_Interface!$B309,'Financial model inputs '!$A$3:$AJ$3,0)),0)</f>
        <v>0</v>
      </c>
      <c r="I309" s="120">
        <f>_xlfn.IFNA(INDEX('Financial model inputs '!$A$3:$AJ$59,MATCH(F_Interface!$A309&amp;RIGHT(F_Interface!I$2,2),'Financial model inputs '!$A$3:$A$59,0),MATCH(F_Interface!$B309,'Financial model inputs '!$A$3:$AJ$3,0)),0)</f>
        <v>0</v>
      </c>
      <c r="J309" s="120">
        <f>_xlfn.IFNA(INDEX('Financial model inputs '!$A$3:$AJ$59,MATCH(F_Interface!$A309&amp;RIGHT(F_Interface!J$2,2),'Financial model inputs '!$A$3:$A$59,0),MATCH(F_Interface!$B309,'Financial model inputs '!$A$3:$AJ$3,0)),0)</f>
        <v>0</v>
      </c>
      <c r="K309" s="120">
        <f>_xlfn.IFNA(INDEX('Financial model inputs '!$A$3:$AJ$59,MATCH(F_Interface!$A309&amp;RIGHT(F_Interface!K$2,2),'Financial model inputs '!$A$3:$A$59,0),MATCH(F_Interface!$B309,'Financial model inputs '!$A$3:$AJ$3,0)),0)</f>
        <v>0</v>
      </c>
      <c r="L309" s="120">
        <f>_xlfn.IFNA(INDEX('Financial model inputs '!$A$3:$AJ$59,MATCH(F_Interface!$A309&amp;RIGHT(F_Interface!L$2,2),'Financial model inputs '!$A$3:$A$59,0),MATCH(F_Interface!$B309,'Financial model inputs '!$A$3:$AJ$3,0)),0)</f>
        <v>0</v>
      </c>
    </row>
    <row r="310" spans="1:12" x14ac:dyDescent="0.2">
      <c r="A310" s="9" t="s">
        <v>12</v>
      </c>
      <c r="B310" s="9" t="s">
        <v>254</v>
      </c>
      <c r="C310" s="10" t="str">
        <f t="shared" si="10"/>
        <v>SWBC_BROPEX_PR19CA008</v>
      </c>
      <c r="D310" s="120" t="s">
        <v>244</v>
      </c>
      <c r="E310" s="120"/>
      <c r="F310" s="143" t="s">
        <v>2</v>
      </c>
      <c r="G310" s="120"/>
      <c r="H310" s="120">
        <f>_xlfn.IFNA(INDEX('Financial model inputs '!$A$3:$AJ$59,MATCH(F_Interface!$A310&amp;RIGHT(F_Interface!H$2,2),'Financial model inputs '!$A$3:$A$59,0),MATCH(F_Interface!$B310,'Financial model inputs '!$A$3:$AJ$3,0)),0)</f>
        <v>14.738702072830904</v>
      </c>
      <c r="I310" s="120">
        <f>_xlfn.IFNA(INDEX('Financial model inputs '!$A$3:$AJ$59,MATCH(F_Interface!$A310&amp;RIGHT(F_Interface!I$2,2),'Financial model inputs '!$A$3:$A$59,0),MATCH(F_Interface!$B310,'Financial model inputs '!$A$3:$AJ$3,0)),0)</f>
        <v>14.734660619078253</v>
      </c>
      <c r="J310" s="120">
        <f>_xlfn.IFNA(INDEX('Financial model inputs '!$A$3:$AJ$59,MATCH(F_Interface!$A310&amp;RIGHT(F_Interface!J$2,2),'Financial model inputs '!$A$3:$A$59,0),MATCH(F_Interface!$B310,'Financial model inputs '!$A$3:$AJ$3,0)),0)</f>
        <v>14.622209789366034</v>
      </c>
      <c r="K310" s="120">
        <f>_xlfn.IFNA(INDEX('Financial model inputs '!$A$3:$AJ$59,MATCH(F_Interface!$A310&amp;RIGHT(F_Interface!K$2,2),'Financial model inputs '!$A$3:$A$59,0),MATCH(F_Interface!$B310,'Financial model inputs '!$A$3:$AJ$3,0)),0)</f>
        <v>14.679476899967003</v>
      </c>
      <c r="L310" s="120">
        <f>_xlfn.IFNA(INDEX('Financial model inputs '!$A$3:$AJ$59,MATCH(F_Interface!$A310&amp;RIGHT(F_Interface!L$2,2),'Financial model inputs '!$A$3:$A$59,0),MATCH(F_Interface!$B310,'Financial model inputs '!$A$3:$AJ$3,0)),0)</f>
        <v>14.78644308424475</v>
      </c>
    </row>
    <row r="311" spans="1:12" x14ac:dyDescent="0.2">
      <c r="A311" s="9" t="s">
        <v>9</v>
      </c>
      <c r="B311" s="9" t="s">
        <v>254</v>
      </c>
      <c r="C311" s="10" t="str">
        <f t="shared" si="10"/>
        <v>TMSC_BROPEX_PR19CA008</v>
      </c>
      <c r="D311" s="120" t="s">
        <v>244</v>
      </c>
      <c r="E311" s="120"/>
      <c r="F311" s="143" t="s">
        <v>2</v>
      </c>
      <c r="G311" s="120"/>
      <c r="H311" s="120">
        <f>_xlfn.IFNA(INDEX('Financial model inputs '!$A$3:$AJ$59,MATCH(F_Interface!$A311&amp;RIGHT(F_Interface!H$2,2),'Financial model inputs '!$A$3:$A$59,0),MATCH(F_Interface!$B311,'Financial model inputs '!$A$3:$AJ$3,0)),0)</f>
        <v>65.709350610238459</v>
      </c>
      <c r="I311" s="120">
        <f>_xlfn.IFNA(INDEX('Financial model inputs '!$A$3:$AJ$59,MATCH(F_Interface!$A311&amp;RIGHT(F_Interface!I$2,2),'Financial model inputs '!$A$3:$A$59,0),MATCH(F_Interface!$B311,'Financial model inputs '!$A$3:$AJ$3,0)),0)</f>
        <v>50.902834967205472</v>
      </c>
      <c r="J311" s="120">
        <f>_xlfn.IFNA(INDEX('Financial model inputs '!$A$3:$AJ$59,MATCH(F_Interface!$A311&amp;RIGHT(F_Interface!J$2,2),'Financial model inputs '!$A$3:$A$59,0),MATCH(F_Interface!$B311,'Financial model inputs '!$A$3:$AJ$3,0)),0)</f>
        <v>51.473716247087047</v>
      </c>
      <c r="K311" s="120">
        <f>_xlfn.IFNA(INDEX('Financial model inputs '!$A$3:$AJ$59,MATCH(F_Interface!$A311&amp;RIGHT(F_Interface!K$2,2),'Financial model inputs '!$A$3:$A$59,0),MATCH(F_Interface!$B311,'Financial model inputs '!$A$3:$AJ$3,0)),0)</f>
        <v>56.671317247124222</v>
      </c>
      <c r="L311" s="120">
        <f>_xlfn.IFNA(INDEX('Financial model inputs '!$A$3:$AJ$59,MATCH(F_Interface!$A311&amp;RIGHT(F_Interface!L$2,2),'Financial model inputs '!$A$3:$A$59,0),MATCH(F_Interface!$B311,'Financial model inputs '!$A$3:$AJ$3,0)),0)</f>
        <v>69.007301011750826</v>
      </c>
    </row>
    <row r="312" spans="1:12" x14ac:dyDescent="0.2">
      <c r="A312" s="9" t="s">
        <v>15</v>
      </c>
      <c r="B312" s="9" t="s">
        <v>254</v>
      </c>
      <c r="C312" s="10" t="str">
        <f t="shared" si="10"/>
        <v>WSHC_BROPEX_PR19CA008</v>
      </c>
      <c r="D312" s="120" t="s">
        <v>244</v>
      </c>
      <c r="E312" s="120"/>
      <c r="F312" s="143" t="s">
        <v>2</v>
      </c>
      <c r="G312" s="120"/>
      <c r="H312" s="120">
        <f>_xlfn.IFNA(INDEX('Financial model inputs '!$A$3:$AJ$59,MATCH(F_Interface!$A312&amp;RIGHT(F_Interface!H$2,2),'Financial model inputs '!$A$3:$A$59,0),MATCH(F_Interface!$B312,'Financial model inputs '!$A$3:$AJ$3,0)),0)</f>
        <v>19.92508690597219</v>
      </c>
      <c r="I312" s="120">
        <f>_xlfn.IFNA(INDEX('Financial model inputs '!$A$3:$AJ$59,MATCH(F_Interface!$A312&amp;RIGHT(F_Interface!I$2,2),'Financial model inputs '!$A$3:$A$59,0),MATCH(F_Interface!$B312,'Financial model inputs '!$A$3:$AJ$3,0)),0)</f>
        <v>20.268718913054638</v>
      </c>
      <c r="J312" s="120">
        <f>_xlfn.IFNA(INDEX('Financial model inputs '!$A$3:$AJ$59,MATCH(F_Interface!$A312&amp;RIGHT(F_Interface!J$2,2),'Financial model inputs '!$A$3:$A$59,0),MATCH(F_Interface!$B312,'Financial model inputs '!$A$3:$AJ$3,0)),0)</f>
        <v>20.125782266559192</v>
      </c>
      <c r="K312" s="120">
        <f>_xlfn.IFNA(INDEX('Financial model inputs '!$A$3:$AJ$59,MATCH(F_Interface!$A312&amp;RIGHT(F_Interface!K$2,2),'Financial model inputs '!$A$3:$A$59,0),MATCH(F_Interface!$B312,'Financial model inputs '!$A$3:$AJ$3,0)),0)</f>
        <v>20.478227411936857</v>
      </c>
      <c r="L312" s="120">
        <f>_xlfn.IFNA(INDEX('Financial model inputs '!$A$3:$AJ$59,MATCH(F_Interface!$A312&amp;RIGHT(F_Interface!L$2,2),'Financial model inputs '!$A$3:$A$59,0),MATCH(F_Interface!$B312,'Financial model inputs '!$A$3:$AJ$3,0)),0)</f>
        <v>21.400964053029615</v>
      </c>
    </row>
    <row r="313" spans="1:12" x14ac:dyDescent="0.2">
      <c r="A313" s="9" t="s">
        <v>10</v>
      </c>
      <c r="B313" s="9" t="s">
        <v>254</v>
      </c>
      <c r="C313" s="10" t="str">
        <f t="shared" si="10"/>
        <v>WSXC_BROPEX_PR19CA008</v>
      </c>
      <c r="D313" s="120" t="s">
        <v>244</v>
      </c>
      <c r="E313" s="120"/>
      <c r="F313" s="143" t="s">
        <v>2</v>
      </c>
      <c r="G313" s="120"/>
      <c r="H313" s="120">
        <f>_xlfn.IFNA(INDEX('Financial model inputs '!$A$3:$AJ$59,MATCH(F_Interface!$A313&amp;RIGHT(F_Interface!H$2,2),'Financial model inputs '!$A$3:$A$59,0),MATCH(F_Interface!$B313,'Financial model inputs '!$A$3:$AJ$3,0)),0)</f>
        <v>19.900620362297619</v>
      </c>
      <c r="I313" s="120">
        <f>_xlfn.IFNA(INDEX('Financial model inputs '!$A$3:$AJ$59,MATCH(F_Interface!$A313&amp;RIGHT(F_Interface!I$2,2),'Financial model inputs '!$A$3:$A$59,0),MATCH(F_Interface!$B313,'Financial model inputs '!$A$3:$AJ$3,0)),0)</f>
        <v>20.626069762570413</v>
      </c>
      <c r="J313" s="120">
        <f>_xlfn.IFNA(INDEX('Financial model inputs '!$A$3:$AJ$59,MATCH(F_Interface!$A313&amp;RIGHT(F_Interface!J$2,2),'Financial model inputs '!$A$3:$A$59,0),MATCH(F_Interface!$B313,'Financial model inputs '!$A$3:$AJ$3,0)),0)</f>
        <v>18.911004366154927</v>
      </c>
      <c r="K313" s="120">
        <f>_xlfn.IFNA(INDEX('Financial model inputs '!$A$3:$AJ$59,MATCH(F_Interface!$A313&amp;RIGHT(F_Interface!K$2,2),'Financial model inputs '!$A$3:$A$59,0),MATCH(F_Interface!$B313,'Financial model inputs '!$A$3:$AJ$3,0)),0)</f>
        <v>20.8300729886688</v>
      </c>
      <c r="L313" s="120">
        <f>_xlfn.IFNA(INDEX('Financial model inputs '!$A$3:$AJ$59,MATCH(F_Interface!$A313&amp;RIGHT(F_Interface!L$2,2),'Financial model inputs '!$A$3:$A$59,0),MATCH(F_Interface!$B313,'Financial model inputs '!$A$3:$AJ$3,0)),0)</f>
        <v>19.360268429034747</v>
      </c>
    </row>
    <row r="314" spans="1:12" x14ac:dyDescent="0.2">
      <c r="A314" s="9" t="s">
        <v>11</v>
      </c>
      <c r="B314" s="9" t="s">
        <v>254</v>
      </c>
      <c r="C314" s="10" t="str">
        <f t="shared" si="10"/>
        <v>YKYC_BROPEX_PR19CA008</v>
      </c>
      <c r="D314" s="120" t="s">
        <v>244</v>
      </c>
      <c r="E314" s="120"/>
      <c r="F314" s="143" t="s">
        <v>2</v>
      </c>
      <c r="G314" s="120"/>
      <c r="H314" s="120">
        <f>_xlfn.IFNA(INDEX('Financial model inputs '!$A$3:$AJ$59,MATCH(F_Interface!$A314&amp;RIGHT(F_Interface!H$2,2),'Financial model inputs '!$A$3:$A$59,0),MATCH(F_Interface!$B314,'Financial model inputs '!$A$3:$AJ$3,0)),0)</f>
        <v>31.708710477410389</v>
      </c>
      <c r="I314" s="120">
        <f>_xlfn.IFNA(INDEX('Financial model inputs '!$A$3:$AJ$59,MATCH(F_Interface!$A314&amp;RIGHT(F_Interface!I$2,2),'Financial model inputs '!$A$3:$A$59,0),MATCH(F_Interface!$B314,'Financial model inputs '!$A$3:$AJ$3,0)),0)</f>
        <v>31.74171133881201</v>
      </c>
      <c r="J314" s="120">
        <f>_xlfn.IFNA(INDEX('Financial model inputs '!$A$3:$AJ$59,MATCH(F_Interface!$A314&amp;RIGHT(F_Interface!J$2,2),'Financial model inputs '!$A$3:$A$59,0),MATCH(F_Interface!$B314,'Financial model inputs '!$A$3:$AJ$3,0)),0)</f>
        <v>37.755135852022633</v>
      </c>
      <c r="K314" s="120">
        <f>_xlfn.IFNA(INDEX('Financial model inputs '!$A$3:$AJ$59,MATCH(F_Interface!$A314&amp;RIGHT(F_Interface!K$2,2),'Financial model inputs '!$A$3:$A$59,0),MATCH(F_Interface!$B314,'Financial model inputs '!$A$3:$AJ$3,0)),0)</f>
        <v>42.234050334559903</v>
      </c>
      <c r="L314" s="120">
        <f>_xlfn.IFNA(INDEX('Financial model inputs '!$A$3:$AJ$59,MATCH(F_Interface!$A314&amp;RIGHT(F_Interface!L$2,2),'Financial model inputs '!$A$3:$A$59,0),MATCH(F_Interface!$B314,'Financial model inputs '!$A$3:$AJ$3,0)),0)</f>
        <v>42.995838171061486</v>
      </c>
    </row>
    <row r="315" spans="1:12" x14ac:dyDescent="0.2">
      <c r="A315" s="9" t="s">
        <v>4</v>
      </c>
      <c r="B315" s="9" t="s">
        <v>255</v>
      </c>
      <c r="C315" s="10" t="str">
        <f t="shared" si="10"/>
        <v>ANHC_BRCAPEX_PR19CA008</v>
      </c>
      <c r="D315" s="120" t="s">
        <v>263</v>
      </c>
      <c r="E315" s="120"/>
      <c r="F315" s="143" t="s">
        <v>2</v>
      </c>
      <c r="G315" s="120"/>
      <c r="H315" s="120">
        <f>_xlfn.IFNA(INDEX('Financial model inputs '!$A$3:$AJ$59,MATCH(F_Interface!$A315&amp;RIGHT(F_Interface!H$2,2),'Financial model inputs '!$A$3:$A$59,0),MATCH(F_Interface!$B315,'Financial model inputs '!$A$3:$AJ$3,0)),0)</f>
        <v>10.917258428750714</v>
      </c>
      <c r="I315" s="120">
        <f>_xlfn.IFNA(INDEX('Financial model inputs '!$A$3:$AJ$59,MATCH(F_Interface!$A315&amp;RIGHT(F_Interface!I$2,2),'Financial model inputs '!$A$3:$A$59,0),MATCH(F_Interface!$B315,'Financial model inputs '!$A$3:$AJ$3,0)),0)</f>
        <v>11.65931502719919</v>
      </c>
      <c r="J315" s="120">
        <f>_xlfn.IFNA(INDEX('Financial model inputs '!$A$3:$AJ$59,MATCH(F_Interface!$A315&amp;RIGHT(F_Interface!J$2,2),'Financial model inputs '!$A$3:$A$59,0),MATCH(F_Interface!$B315,'Financial model inputs '!$A$3:$AJ$3,0)),0)</f>
        <v>10.059729015764955</v>
      </c>
      <c r="K315" s="120">
        <f>_xlfn.IFNA(INDEX('Financial model inputs '!$A$3:$AJ$59,MATCH(F_Interface!$A315&amp;RIGHT(F_Interface!K$2,2),'Financial model inputs '!$A$3:$A$59,0),MATCH(F_Interface!$B315,'Financial model inputs '!$A$3:$AJ$3,0)),0)</f>
        <v>8.9073986106635754</v>
      </c>
      <c r="L315" s="120">
        <f>_xlfn.IFNA(INDEX('Financial model inputs '!$A$3:$AJ$59,MATCH(F_Interface!$A315&amp;RIGHT(F_Interface!L$2,2),'Financial model inputs '!$A$3:$A$59,0),MATCH(F_Interface!$B315,'Financial model inputs '!$A$3:$AJ$3,0)),0)</f>
        <v>9.8429694408093411</v>
      </c>
    </row>
    <row r="316" spans="1:12" x14ac:dyDescent="0.2">
      <c r="A316" s="9" t="s">
        <v>87</v>
      </c>
      <c r="B316" s="9" t="s">
        <v>255</v>
      </c>
      <c r="C316" s="10" t="str">
        <f t="shared" si="10"/>
        <v>HDDC_BRCAPEX_PR19CA008</v>
      </c>
      <c r="D316" s="120" t="s">
        <v>263</v>
      </c>
      <c r="E316" s="120"/>
      <c r="F316" s="143" t="s">
        <v>2</v>
      </c>
      <c r="G316" s="120"/>
      <c r="H316" s="120">
        <f>_xlfn.IFNA(INDEX('Financial model inputs '!$A$3:$AJ$59,MATCH(F_Interface!$A316&amp;RIGHT(F_Interface!H$2,2),'Financial model inputs '!$A$3:$A$59,0),MATCH(F_Interface!$B316,'Financial model inputs '!$A$3:$AJ$3,0)),0)</f>
        <v>0</v>
      </c>
      <c r="I316" s="120">
        <f>_xlfn.IFNA(INDEX('Financial model inputs '!$A$3:$AJ$59,MATCH(F_Interface!$A316&amp;RIGHT(F_Interface!I$2,2),'Financial model inputs '!$A$3:$A$59,0),MATCH(F_Interface!$B316,'Financial model inputs '!$A$3:$AJ$3,0)),0)</f>
        <v>0</v>
      </c>
      <c r="J316" s="120">
        <f>_xlfn.IFNA(INDEX('Financial model inputs '!$A$3:$AJ$59,MATCH(F_Interface!$A316&amp;RIGHT(F_Interface!J$2,2),'Financial model inputs '!$A$3:$A$59,0),MATCH(F_Interface!$B316,'Financial model inputs '!$A$3:$AJ$3,0)),0)</f>
        <v>0</v>
      </c>
      <c r="K316" s="120">
        <f>_xlfn.IFNA(INDEX('Financial model inputs '!$A$3:$AJ$59,MATCH(F_Interface!$A316&amp;RIGHT(F_Interface!K$2,2),'Financial model inputs '!$A$3:$A$59,0),MATCH(F_Interface!$B316,'Financial model inputs '!$A$3:$AJ$3,0)),0)</f>
        <v>0</v>
      </c>
      <c r="L316" s="120">
        <f>_xlfn.IFNA(INDEX('Financial model inputs '!$A$3:$AJ$59,MATCH(F_Interface!$A316&amp;RIGHT(F_Interface!L$2,2),'Financial model inputs '!$A$3:$A$59,0),MATCH(F_Interface!$B316,'Financial model inputs '!$A$3:$AJ$3,0)),0)</f>
        <v>0</v>
      </c>
    </row>
    <row r="317" spans="1:12" x14ac:dyDescent="0.2">
      <c r="A317" s="9" t="s">
        <v>5</v>
      </c>
      <c r="B317" s="9" t="s">
        <v>255</v>
      </c>
      <c r="C317" s="10" t="str">
        <f t="shared" si="10"/>
        <v>NESC_BRCAPEX_PR19CA008</v>
      </c>
      <c r="D317" s="120" t="s">
        <v>263</v>
      </c>
      <c r="E317" s="120"/>
      <c r="F317" s="143" t="s">
        <v>2</v>
      </c>
      <c r="G317" s="120"/>
      <c r="H317" s="120">
        <f>_xlfn.IFNA(INDEX('Financial model inputs '!$A$3:$AJ$59,MATCH(F_Interface!$A317&amp;RIGHT(F_Interface!H$2,2),'Financial model inputs '!$A$3:$A$59,0),MATCH(F_Interface!$B317,'Financial model inputs '!$A$3:$AJ$3,0)),0)</f>
        <v>14.655156337423033</v>
      </c>
      <c r="I317" s="120">
        <f>_xlfn.IFNA(INDEX('Financial model inputs '!$A$3:$AJ$59,MATCH(F_Interface!$A317&amp;RIGHT(F_Interface!I$2,2),'Financial model inputs '!$A$3:$A$59,0),MATCH(F_Interface!$B317,'Financial model inputs '!$A$3:$AJ$3,0)),0)</f>
        <v>14.713252809322114</v>
      </c>
      <c r="J317" s="120">
        <f>_xlfn.IFNA(INDEX('Financial model inputs '!$A$3:$AJ$59,MATCH(F_Interface!$A317&amp;RIGHT(F_Interface!J$2,2),'Financial model inputs '!$A$3:$A$59,0),MATCH(F_Interface!$B317,'Financial model inputs '!$A$3:$AJ$3,0)),0)</f>
        <v>14.75355122153079</v>
      </c>
      <c r="K317" s="120">
        <f>_xlfn.IFNA(INDEX('Financial model inputs '!$A$3:$AJ$59,MATCH(F_Interface!$A317&amp;RIGHT(F_Interface!K$2,2),'Financial model inputs '!$A$3:$A$59,0),MATCH(F_Interface!$B317,'Financial model inputs '!$A$3:$AJ$3,0)),0)</f>
        <v>14.793009555829066</v>
      </c>
      <c r="L317" s="120">
        <f>_xlfn.IFNA(INDEX('Financial model inputs '!$A$3:$AJ$59,MATCH(F_Interface!$A317&amp;RIGHT(F_Interface!L$2,2),'Financial model inputs '!$A$3:$A$59,0),MATCH(F_Interface!$B317,'Financial model inputs '!$A$3:$AJ$3,0)),0)</f>
        <v>14.829201770778411</v>
      </c>
    </row>
    <row r="318" spans="1:12" x14ac:dyDescent="0.2">
      <c r="A318" s="9" t="s">
        <v>6</v>
      </c>
      <c r="B318" s="9" t="s">
        <v>255</v>
      </c>
      <c r="C318" s="10" t="str">
        <f t="shared" si="10"/>
        <v>NWTC_BRCAPEX_PR19CA008</v>
      </c>
      <c r="D318" s="120" t="s">
        <v>263</v>
      </c>
      <c r="E318" s="120"/>
      <c r="F318" s="143" t="s">
        <v>2</v>
      </c>
      <c r="G318" s="120"/>
      <c r="H318" s="120">
        <f>_xlfn.IFNA(INDEX('Financial model inputs '!$A$3:$AJ$59,MATCH(F_Interface!$A318&amp;RIGHT(F_Interface!H$2,2),'Financial model inputs '!$A$3:$A$59,0),MATCH(F_Interface!$B318,'Financial model inputs '!$A$3:$AJ$3,0)),0)</f>
        <v>35.751986817932334</v>
      </c>
      <c r="I318" s="120">
        <f>_xlfn.IFNA(INDEX('Financial model inputs '!$A$3:$AJ$59,MATCH(F_Interface!$A318&amp;RIGHT(F_Interface!I$2,2),'Financial model inputs '!$A$3:$A$59,0),MATCH(F_Interface!$B318,'Financial model inputs '!$A$3:$AJ$3,0)),0)</f>
        <v>37.218684621571491</v>
      </c>
      <c r="J318" s="120">
        <f>_xlfn.IFNA(INDEX('Financial model inputs '!$A$3:$AJ$59,MATCH(F_Interface!$A318&amp;RIGHT(F_Interface!J$2,2),'Financial model inputs '!$A$3:$A$59,0),MATCH(F_Interface!$B318,'Financial model inputs '!$A$3:$AJ$3,0)),0)</f>
        <v>34.878617042306992</v>
      </c>
      <c r="K318" s="120">
        <f>_xlfn.IFNA(INDEX('Financial model inputs '!$A$3:$AJ$59,MATCH(F_Interface!$A318&amp;RIGHT(F_Interface!K$2,2),'Financial model inputs '!$A$3:$A$59,0),MATCH(F_Interface!$B318,'Financial model inputs '!$A$3:$AJ$3,0)),0)</f>
        <v>32.415033408163858</v>
      </c>
      <c r="L318" s="120">
        <f>_xlfn.IFNA(INDEX('Financial model inputs '!$A$3:$AJ$59,MATCH(F_Interface!$A318&amp;RIGHT(F_Interface!L$2,2),'Financial model inputs '!$A$3:$A$59,0),MATCH(F_Interface!$B318,'Financial model inputs '!$A$3:$AJ$3,0)),0)</f>
        <v>33.778888246698564</v>
      </c>
    </row>
    <row r="319" spans="1:12" x14ac:dyDescent="0.2">
      <c r="A319" s="9" t="s">
        <v>7</v>
      </c>
      <c r="B319" s="9" t="s">
        <v>255</v>
      </c>
      <c r="C319" s="10" t="str">
        <f t="shared" si="10"/>
        <v>SRNC_BRCAPEX_PR19CA008</v>
      </c>
      <c r="D319" s="120" t="s">
        <v>263</v>
      </c>
      <c r="E319" s="120"/>
      <c r="F319" s="143" t="s">
        <v>2</v>
      </c>
      <c r="G319" s="120"/>
      <c r="H319" s="120">
        <f>_xlfn.IFNA(INDEX('Financial model inputs '!$A$3:$AJ$59,MATCH(F_Interface!$A319&amp;RIGHT(F_Interface!H$2,2),'Financial model inputs '!$A$3:$A$59,0),MATCH(F_Interface!$B319,'Financial model inputs '!$A$3:$AJ$3,0)),0)</f>
        <v>18.248380088167</v>
      </c>
      <c r="I319" s="120">
        <f>_xlfn.IFNA(INDEX('Financial model inputs '!$A$3:$AJ$59,MATCH(F_Interface!$A319&amp;RIGHT(F_Interface!I$2,2),'Financial model inputs '!$A$3:$A$59,0),MATCH(F_Interface!$B319,'Financial model inputs '!$A$3:$AJ$3,0)),0)</f>
        <v>21.216480465540272</v>
      </c>
      <c r="J319" s="120">
        <f>_xlfn.IFNA(INDEX('Financial model inputs '!$A$3:$AJ$59,MATCH(F_Interface!$A319&amp;RIGHT(F_Interface!J$2,2),'Financial model inputs '!$A$3:$A$59,0),MATCH(F_Interface!$B319,'Financial model inputs '!$A$3:$AJ$3,0)),0)</f>
        <v>27.261692216568584</v>
      </c>
      <c r="K319" s="120">
        <f>_xlfn.IFNA(INDEX('Financial model inputs '!$A$3:$AJ$59,MATCH(F_Interface!$A319&amp;RIGHT(F_Interface!K$2,2),'Financial model inputs '!$A$3:$A$59,0),MATCH(F_Interface!$B319,'Financial model inputs '!$A$3:$AJ$3,0)),0)</f>
        <v>18.95475720747875</v>
      </c>
      <c r="L319" s="120">
        <f>_xlfn.IFNA(INDEX('Financial model inputs '!$A$3:$AJ$59,MATCH(F_Interface!$A319&amp;RIGHT(F_Interface!L$2,2),'Financial model inputs '!$A$3:$A$59,0),MATCH(F_Interface!$B319,'Financial model inputs '!$A$3:$AJ$3,0)),0)</f>
        <v>15.89969519741526</v>
      </c>
    </row>
    <row r="320" spans="1:12" x14ac:dyDescent="0.2">
      <c r="A320" s="9" t="s">
        <v>116</v>
      </c>
      <c r="B320" s="9" t="s">
        <v>255</v>
      </c>
      <c r="C320" s="10" t="str">
        <f t="shared" si="10"/>
        <v>SVEC_BRCAPEX_PR19CA008</v>
      </c>
      <c r="D320" s="120" t="s">
        <v>263</v>
      </c>
      <c r="E320" s="120"/>
      <c r="F320" s="143" t="s">
        <v>2</v>
      </c>
      <c r="G320" s="120"/>
      <c r="H320" s="120">
        <f>_xlfn.IFNA(INDEX('Financial model inputs '!$A$3:$AJ$59,MATCH(F_Interface!$A320&amp;RIGHT(F_Interface!H$2,2),'Financial model inputs '!$A$3:$A$59,0),MATCH(F_Interface!$B320,'Financial model inputs '!$A$3:$AJ$3,0)),0)</f>
        <v>59.653652155056669</v>
      </c>
      <c r="I320" s="120">
        <f>_xlfn.IFNA(INDEX('Financial model inputs '!$A$3:$AJ$59,MATCH(F_Interface!$A320&amp;RIGHT(F_Interface!I$2,2),'Financial model inputs '!$A$3:$A$59,0),MATCH(F_Interface!$B320,'Financial model inputs '!$A$3:$AJ$3,0)),0)</f>
        <v>58.731283588726313</v>
      </c>
      <c r="J320" s="120">
        <f>_xlfn.IFNA(INDEX('Financial model inputs '!$A$3:$AJ$59,MATCH(F_Interface!$A320&amp;RIGHT(F_Interface!J$2,2),'Financial model inputs '!$A$3:$A$59,0),MATCH(F_Interface!$B320,'Financial model inputs '!$A$3:$AJ$3,0)),0)</f>
        <v>59.750250870395405</v>
      </c>
      <c r="K320" s="120">
        <f>_xlfn.IFNA(INDEX('Financial model inputs '!$A$3:$AJ$59,MATCH(F_Interface!$A320&amp;RIGHT(F_Interface!K$2,2),'Financial model inputs '!$A$3:$A$59,0),MATCH(F_Interface!$B320,'Financial model inputs '!$A$3:$AJ$3,0)),0)</f>
        <v>58.174422381235672</v>
      </c>
      <c r="L320" s="120">
        <f>_xlfn.IFNA(INDEX('Financial model inputs '!$A$3:$AJ$59,MATCH(F_Interface!$A320&amp;RIGHT(F_Interface!L$2,2),'Financial model inputs '!$A$3:$A$59,0),MATCH(F_Interface!$B320,'Financial model inputs '!$A$3:$AJ$3,0)),0)</f>
        <v>55.275612047228428</v>
      </c>
    </row>
    <row r="321" spans="1:12" x14ac:dyDescent="0.2">
      <c r="A321" s="9" t="s">
        <v>101</v>
      </c>
      <c r="B321" s="9" t="s">
        <v>255</v>
      </c>
      <c r="C321" s="10" t="str">
        <f t="shared" si="10"/>
        <v>SVHC_BRCAPEX_PR19CA008</v>
      </c>
      <c r="D321" s="120" t="s">
        <v>263</v>
      </c>
      <c r="E321" s="120"/>
      <c r="F321" s="143" t="s">
        <v>2</v>
      </c>
      <c r="G321" s="120"/>
      <c r="H321" s="120">
        <f>_xlfn.IFNA(INDEX('Financial model inputs '!$A$3:$AJ$59,MATCH(F_Interface!$A321&amp;RIGHT(F_Interface!H$2,2),'Financial model inputs '!$A$3:$A$59,0),MATCH(F_Interface!$B321,'Financial model inputs '!$A$3:$AJ$3,0)),0)</f>
        <v>0</v>
      </c>
      <c r="I321" s="120">
        <f>_xlfn.IFNA(INDEX('Financial model inputs '!$A$3:$AJ$59,MATCH(F_Interface!$A321&amp;RIGHT(F_Interface!I$2,2),'Financial model inputs '!$A$3:$A$59,0),MATCH(F_Interface!$B321,'Financial model inputs '!$A$3:$AJ$3,0)),0)</f>
        <v>0</v>
      </c>
      <c r="J321" s="120">
        <f>_xlfn.IFNA(INDEX('Financial model inputs '!$A$3:$AJ$59,MATCH(F_Interface!$A321&amp;RIGHT(F_Interface!J$2,2),'Financial model inputs '!$A$3:$A$59,0),MATCH(F_Interface!$B321,'Financial model inputs '!$A$3:$AJ$3,0)),0)</f>
        <v>0</v>
      </c>
      <c r="K321" s="120">
        <f>_xlfn.IFNA(INDEX('Financial model inputs '!$A$3:$AJ$59,MATCH(F_Interface!$A321&amp;RIGHT(F_Interface!K$2,2),'Financial model inputs '!$A$3:$A$59,0),MATCH(F_Interface!$B321,'Financial model inputs '!$A$3:$AJ$3,0)),0)</f>
        <v>0</v>
      </c>
      <c r="L321" s="120">
        <f>_xlfn.IFNA(INDEX('Financial model inputs '!$A$3:$AJ$59,MATCH(F_Interface!$A321&amp;RIGHT(F_Interface!L$2,2),'Financial model inputs '!$A$3:$A$59,0),MATCH(F_Interface!$B321,'Financial model inputs '!$A$3:$AJ$3,0)),0)</f>
        <v>0</v>
      </c>
    </row>
    <row r="322" spans="1:12" x14ac:dyDescent="0.2">
      <c r="A322" s="9" t="s">
        <v>8</v>
      </c>
      <c r="B322" s="9" t="s">
        <v>255</v>
      </c>
      <c r="C322" s="10" t="str">
        <f t="shared" si="10"/>
        <v>SVTC_BRCAPEX_PR19CA008</v>
      </c>
      <c r="D322" s="120" t="s">
        <v>263</v>
      </c>
      <c r="E322" s="120"/>
      <c r="F322" s="143" t="s">
        <v>2</v>
      </c>
      <c r="G322" s="120"/>
      <c r="H322" s="120">
        <f>_xlfn.IFNA(INDEX('Financial model inputs '!$A$3:$AJ$59,MATCH(F_Interface!$A322&amp;RIGHT(F_Interface!H$2,2),'Financial model inputs '!$A$3:$A$59,0),MATCH(F_Interface!$B322,'Financial model inputs '!$A$3:$AJ$3,0)),0)</f>
        <v>0</v>
      </c>
      <c r="I322" s="120">
        <f>_xlfn.IFNA(INDEX('Financial model inputs '!$A$3:$AJ$59,MATCH(F_Interface!$A322&amp;RIGHT(F_Interface!I$2,2),'Financial model inputs '!$A$3:$A$59,0),MATCH(F_Interface!$B322,'Financial model inputs '!$A$3:$AJ$3,0)),0)</f>
        <v>0</v>
      </c>
      <c r="J322" s="120">
        <f>_xlfn.IFNA(INDEX('Financial model inputs '!$A$3:$AJ$59,MATCH(F_Interface!$A322&amp;RIGHT(F_Interface!J$2,2),'Financial model inputs '!$A$3:$A$59,0),MATCH(F_Interface!$B322,'Financial model inputs '!$A$3:$AJ$3,0)),0)</f>
        <v>0</v>
      </c>
      <c r="K322" s="120">
        <f>_xlfn.IFNA(INDEX('Financial model inputs '!$A$3:$AJ$59,MATCH(F_Interface!$A322&amp;RIGHT(F_Interface!K$2,2),'Financial model inputs '!$A$3:$A$59,0),MATCH(F_Interface!$B322,'Financial model inputs '!$A$3:$AJ$3,0)),0)</f>
        <v>0</v>
      </c>
      <c r="L322" s="120">
        <f>_xlfn.IFNA(INDEX('Financial model inputs '!$A$3:$AJ$59,MATCH(F_Interface!$A322&amp;RIGHT(F_Interface!L$2,2),'Financial model inputs '!$A$3:$A$59,0),MATCH(F_Interface!$B322,'Financial model inputs '!$A$3:$AJ$3,0)),0)</f>
        <v>0</v>
      </c>
    </row>
    <row r="323" spans="1:12" x14ac:dyDescent="0.2">
      <c r="A323" s="9" t="s">
        <v>12</v>
      </c>
      <c r="B323" s="9" t="s">
        <v>255</v>
      </c>
      <c r="C323" s="10" t="str">
        <f t="shared" si="10"/>
        <v>SWBC_BRCAPEX_PR19CA008</v>
      </c>
      <c r="D323" s="120" t="s">
        <v>263</v>
      </c>
      <c r="E323" s="120"/>
      <c r="F323" s="143" t="s">
        <v>2</v>
      </c>
      <c r="G323" s="120"/>
      <c r="H323" s="120">
        <f>_xlfn.IFNA(INDEX('Financial model inputs '!$A$3:$AJ$59,MATCH(F_Interface!$A323&amp;RIGHT(F_Interface!H$2,2),'Financial model inputs '!$A$3:$A$59,0),MATCH(F_Interface!$B323,'Financial model inputs '!$A$3:$AJ$3,0)),0)</f>
        <v>4.7290752134939931</v>
      </c>
      <c r="I323" s="120">
        <f>_xlfn.IFNA(INDEX('Financial model inputs '!$A$3:$AJ$59,MATCH(F_Interface!$A323&amp;RIGHT(F_Interface!I$2,2),'Financial model inputs '!$A$3:$A$59,0),MATCH(F_Interface!$B323,'Financial model inputs '!$A$3:$AJ$3,0)),0)</f>
        <v>4.7331166672466418</v>
      </c>
      <c r="J323" s="120">
        <f>_xlfn.IFNA(INDEX('Financial model inputs '!$A$3:$AJ$59,MATCH(F_Interface!$A323&amp;RIGHT(F_Interface!J$2,2),'Financial model inputs '!$A$3:$A$59,0),MATCH(F_Interface!$B323,'Financial model inputs '!$A$3:$AJ$3,0)),0)</f>
        <v>4.8455674969588642</v>
      </c>
      <c r="K323" s="120">
        <f>_xlfn.IFNA(INDEX('Financial model inputs '!$A$3:$AJ$59,MATCH(F_Interface!$A323&amp;RIGHT(F_Interface!K$2,2),'Financial model inputs '!$A$3:$A$59,0),MATCH(F_Interface!$B323,'Financial model inputs '!$A$3:$AJ$3,0)),0)</f>
        <v>4.7883003863578919</v>
      </c>
      <c r="L323" s="120">
        <f>_xlfn.IFNA(INDEX('Financial model inputs '!$A$3:$AJ$59,MATCH(F_Interface!$A323&amp;RIGHT(F_Interface!L$2,2),'Financial model inputs '!$A$3:$A$59,0),MATCH(F_Interface!$B323,'Financial model inputs '!$A$3:$AJ$3,0)),0)</f>
        <v>4.6813342020801461</v>
      </c>
    </row>
    <row r="324" spans="1:12" x14ac:dyDescent="0.2">
      <c r="A324" s="9" t="s">
        <v>9</v>
      </c>
      <c r="B324" s="9" t="s">
        <v>255</v>
      </c>
      <c r="C324" s="10" t="str">
        <f t="shared" si="10"/>
        <v>TMSC_BRCAPEX_PR19CA008</v>
      </c>
      <c r="D324" s="120" t="s">
        <v>263</v>
      </c>
      <c r="E324" s="120"/>
      <c r="F324" s="143" t="s">
        <v>2</v>
      </c>
      <c r="G324" s="120"/>
      <c r="H324" s="120">
        <f>_xlfn.IFNA(INDEX('Financial model inputs '!$A$3:$AJ$59,MATCH(F_Interface!$A324&amp;RIGHT(F_Interface!H$2,2),'Financial model inputs '!$A$3:$A$59,0),MATCH(F_Interface!$B324,'Financial model inputs '!$A$3:$AJ$3,0)),0)</f>
        <v>78.987878771765565</v>
      </c>
      <c r="I324" s="120">
        <f>_xlfn.IFNA(INDEX('Financial model inputs '!$A$3:$AJ$59,MATCH(F_Interface!$A324&amp;RIGHT(F_Interface!I$2,2),'Financial model inputs '!$A$3:$A$59,0),MATCH(F_Interface!$B324,'Financial model inputs '!$A$3:$AJ$3,0)),0)</f>
        <v>93.79439441479856</v>
      </c>
      <c r="J324" s="120">
        <f>_xlfn.IFNA(INDEX('Financial model inputs '!$A$3:$AJ$59,MATCH(F_Interface!$A324&amp;RIGHT(F_Interface!J$2,2),'Financial model inputs '!$A$3:$A$59,0),MATCH(F_Interface!$B324,'Financial model inputs '!$A$3:$AJ$3,0)),0)</f>
        <v>93.223513134916999</v>
      </c>
      <c r="K324" s="120">
        <f>_xlfn.IFNA(INDEX('Financial model inputs '!$A$3:$AJ$59,MATCH(F_Interface!$A324&amp;RIGHT(F_Interface!K$2,2),'Financial model inputs '!$A$3:$A$59,0),MATCH(F_Interface!$B324,'Financial model inputs '!$A$3:$AJ$3,0)),0)</f>
        <v>88.025912134879789</v>
      </c>
      <c r="L324" s="120">
        <f>_xlfn.IFNA(INDEX('Financial model inputs '!$A$3:$AJ$59,MATCH(F_Interface!$A324&amp;RIGHT(F_Interface!L$2,2),'Financial model inputs '!$A$3:$A$59,0),MATCH(F_Interface!$B324,'Financial model inputs '!$A$3:$AJ$3,0)),0)</f>
        <v>75.689928370253199</v>
      </c>
    </row>
    <row r="325" spans="1:12" x14ac:dyDescent="0.2">
      <c r="A325" s="9" t="s">
        <v>15</v>
      </c>
      <c r="B325" s="9" t="s">
        <v>255</v>
      </c>
      <c r="C325" s="10" t="str">
        <f t="shared" si="10"/>
        <v>WSHC_BRCAPEX_PR19CA008</v>
      </c>
      <c r="D325" s="120" t="s">
        <v>263</v>
      </c>
      <c r="E325" s="120"/>
      <c r="F325" s="143" t="s">
        <v>2</v>
      </c>
      <c r="G325" s="120"/>
      <c r="H325" s="120">
        <f>_xlfn.IFNA(INDEX('Financial model inputs '!$A$3:$AJ$59,MATCH(F_Interface!$A325&amp;RIGHT(F_Interface!H$2,2),'Financial model inputs '!$A$3:$A$59,0),MATCH(F_Interface!$B325,'Financial model inputs '!$A$3:$AJ$3,0)),0)</f>
        <v>13.56379312286489</v>
      </c>
      <c r="I325" s="120">
        <f>_xlfn.IFNA(INDEX('Financial model inputs '!$A$3:$AJ$59,MATCH(F_Interface!$A325&amp;RIGHT(F_Interface!I$2,2),'Financial model inputs '!$A$3:$A$59,0),MATCH(F_Interface!$B325,'Financial model inputs '!$A$3:$AJ$3,0)),0)</f>
        <v>13.220161115782441</v>
      </c>
      <c r="J325" s="120">
        <f>_xlfn.IFNA(INDEX('Financial model inputs '!$A$3:$AJ$59,MATCH(F_Interface!$A325&amp;RIGHT(F_Interface!J$2,2),'Financial model inputs '!$A$3:$A$59,0),MATCH(F_Interface!$B325,'Financial model inputs '!$A$3:$AJ$3,0)),0)</f>
        <v>13.363097762277887</v>
      </c>
      <c r="K325" s="120">
        <f>_xlfn.IFNA(INDEX('Financial model inputs '!$A$3:$AJ$59,MATCH(F_Interface!$A325&amp;RIGHT(F_Interface!K$2,2),'Financial model inputs '!$A$3:$A$59,0),MATCH(F_Interface!$B325,'Financial model inputs '!$A$3:$AJ$3,0)),0)</f>
        <v>13.01065261690022</v>
      </c>
      <c r="L325" s="120">
        <f>_xlfn.IFNA(INDEX('Financial model inputs '!$A$3:$AJ$59,MATCH(F_Interface!$A325&amp;RIGHT(F_Interface!L$2,2),'Financial model inputs '!$A$3:$A$59,0),MATCH(F_Interface!$B325,'Financial model inputs '!$A$3:$AJ$3,0)),0)</f>
        <v>12.087915975807464</v>
      </c>
    </row>
    <row r="326" spans="1:12" x14ac:dyDescent="0.2">
      <c r="A326" s="9" t="s">
        <v>10</v>
      </c>
      <c r="B326" s="9" t="s">
        <v>255</v>
      </c>
      <c r="C326" s="10" t="str">
        <f t="shared" si="10"/>
        <v>WSXC_BRCAPEX_PR19CA008</v>
      </c>
      <c r="D326" s="120" t="s">
        <v>263</v>
      </c>
      <c r="E326" s="120"/>
      <c r="F326" s="143" t="s">
        <v>2</v>
      </c>
      <c r="G326" s="120"/>
      <c r="H326" s="120">
        <f>_xlfn.IFNA(INDEX('Financial model inputs '!$A$3:$AJ$59,MATCH(F_Interface!$A326&amp;RIGHT(F_Interface!H$2,2),'Financial model inputs '!$A$3:$A$59,0),MATCH(F_Interface!$B326,'Financial model inputs '!$A$3:$AJ$3,0)),0)</f>
        <v>7.9256326846692682</v>
      </c>
      <c r="I326" s="120">
        <f>_xlfn.IFNA(INDEX('Financial model inputs '!$A$3:$AJ$59,MATCH(F_Interface!$A326&amp;RIGHT(F_Interface!I$2,2),'Financial model inputs '!$A$3:$A$59,0),MATCH(F_Interface!$B326,'Financial model inputs '!$A$3:$AJ$3,0)),0)</f>
        <v>7.2001832843964761</v>
      </c>
      <c r="J326" s="120">
        <f>_xlfn.IFNA(INDEX('Financial model inputs '!$A$3:$AJ$59,MATCH(F_Interface!$A326&amp;RIGHT(F_Interface!J$2,2),'Financial model inputs '!$A$3:$A$59,0),MATCH(F_Interface!$B326,'Financial model inputs '!$A$3:$AJ$3,0)),0)</f>
        <v>8.9152486808119651</v>
      </c>
      <c r="K326" s="120">
        <f>_xlfn.IFNA(INDEX('Financial model inputs '!$A$3:$AJ$59,MATCH(F_Interface!$A326&amp;RIGHT(F_Interface!K$2,2),'Financial model inputs '!$A$3:$A$59,0),MATCH(F_Interface!$B326,'Financial model inputs '!$A$3:$AJ$3,0)),0)</f>
        <v>6.9961800582980871</v>
      </c>
      <c r="L326" s="120">
        <f>_xlfn.IFNA(INDEX('Financial model inputs '!$A$3:$AJ$59,MATCH(F_Interface!$A326&amp;RIGHT(F_Interface!L$2,2),'Financial model inputs '!$A$3:$A$59,0),MATCH(F_Interface!$B326,'Financial model inputs '!$A$3:$AJ$3,0)),0)</f>
        <v>8.4659846179321399</v>
      </c>
    </row>
    <row r="327" spans="1:12" x14ac:dyDescent="0.2">
      <c r="A327" s="9" t="s">
        <v>11</v>
      </c>
      <c r="B327" s="9" t="s">
        <v>255</v>
      </c>
      <c r="C327" s="10" t="str">
        <f t="shared" si="10"/>
        <v>YKYC_BRCAPEX_PR19CA008</v>
      </c>
      <c r="D327" s="120" t="s">
        <v>263</v>
      </c>
      <c r="E327" s="120"/>
      <c r="F327" s="143" t="s">
        <v>2</v>
      </c>
      <c r="G327" s="120"/>
      <c r="H327" s="120">
        <f>_xlfn.IFNA(INDEX('Financial model inputs '!$A$3:$AJ$59,MATCH(F_Interface!$A327&amp;RIGHT(F_Interface!H$2,2),'Financial model inputs '!$A$3:$A$59,0),MATCH(F_Interface!$B327,'Financial model inputs '!$A$3:$AJ$3,0)),0)</f>
        <v>31.155437743751101</v>
      </c>
      <c r="I327" s="120">
        <f>_xlfn.IFNA(INDEX('Financial model inputs '!$A$3:$AJ$59,MATCH(F_Interface!$A327&amp;RIGHT(F_Interface!I$2,2),'Financial model inputs '!$A$3:$A$59,0),MATCH(F_Interface!$B327,'Financial model inputs '!$A$3:$AJ$3,0)),0)</f>
        <v>31.122436882349483</v>
      </c>
      <c r="J327" s="120">
        <f>_xlfn.IFNA(INDEX('Financial model inputs '!$A$3:$AJ$59,MATCH(F_Interface!$A327&amp;RIGHT(F_Interface!J$2,2),'Financial model inputs '!$A$3:$A$59,0),MATCH(F_Interface!$B327,'Financial model inputs '!$A$3:$AJ$3,0)),0)</f>
        <v>25.109012369138867</v>
      </c>
      <c r="K327" s="120">
        <f>_xlfn.IFNA(INDEX('Financial model inputs '!$A$3:$AJ$59,MATCH(F_Interface!$A327&amp;RIGHT(F_Interface!K$2,2),'Financial model inputs '!$A$3:$A$59,0),MATCH(F_Interface!$B327,'Financial model inputs '!$A$3:$AJ$3,0)),0)</f>
        <v>20.630097886601583</v>
      </c>
      <c r="L327" s="120">
        <f>_xlfn.IFNA(INDEX('Financial model inputs '!$A$3:$AJ$59,MATCH(F_Interface!$A327&amp;RIGHT(F_Interface!L$2,2),'Financial model inputs '!$A$3:$A$59,0),MATCH(F_Interface!$B327,'Financial model inputs '!$A$3:$AJ$3,0)),0)</f>
        <v>19.8683100501</v>
      </c>
    </row>
    <row r="328" spans="1:12" x14ac:dyDescent="0.2">
      <c r="A328" s="9" t="s">
        <v>4</v>
      </c>
      <c r="B328" s="9" t="s">
        <v>256</v>
      </c>
      <c r="C328" s="10" t="str">
        <f t="shared" si="10"/>
        <v>ANHC_BRTOTEXFM_PR19CA008</v>
      </c>
      <c r="D328" s="120" t="s">
        <v>264</v>
      </c>
      <c r="E328" s="120"/>
      <c r="F328" s="143" t="s">
        <v>2</v>
      </c>
      <c r="G328" s="120"/>
      <c r="H328" s="120">
        <f>_xlfn.IFNA(INDEX('Financial model inputs '!$A$3:$AJ$59,MATCH(F_Interface!$A328&amp;RIGHT(F_Interface!H$2,2),'Financial model inputs '!$A$3:$A$59,0),MATCH(F_Interface!$B328,'Financial model inputs '!$A$3:$AJ$3,0)),0)</f>
        <v>68.516747871532374</v>
      </c>
      <c r="I328" s="120">
        <f>_xlfn.IFNA(INDEX('Financial model inputs '!$A$3:$AJ$59,MATCH(F_Interface!$A328&amp;RIGHT(F_Interface!I$2,2),'Financial model inputs '!$A$3:$A$59,0),MATCH(F_Interface!$B328,'Financial model inputs '!$A$3:$AJ$3,0)),0)</f>
        <v>68.516747871532374</v>
      </c>
      <c r="J328" s="120">
        <f>_xlfn.IFNA(INDEX('Financial model inputs '!$A$3:$AJ$59,MATCH(F_Interface!$A328&amp;RIGHT(F_Interface!J$2,2),'Financial model inputs '!$A$3:$A$59,0),MATCH(F_Interface!$B328,'Financial model inputs '!$A$3:$AJ$3,0)),0)</f>
        <v>68.516747871532374</v>
      </c>
      <c r="K328" s="120">
        <f>_xlfn.IFNA(INDEX('Financial model inputs '!$A$3:$AJ$59,MATCH(F_Interface!$A328&amp;RIGHT(F_Interface!K$2,2),'Financial model inputs '!$A$3:$A$59,0),MATCH(F_Interface!$B328,'Financial model inputs '!$A$3:$AJ$3,0)),0)</f>
        <v>68.516747871532374</v>
      </c>
      <c r="L328" s="120">
        <f>_xlfn.IFNA(INDEX('Financial model inputs '!$A$3:$AJ$59,MATCH(F_Interface!$A328&amp;RIGHT(F_Interface!L$2,2),'Financial model inputs '!$A$3:$A$59,0),MATCH(F_Interface!$B328,'Financial model inputs '!$A$3:$AJ$3,0)),0)</f>
        <v>68.516747871532374</v>
      </c>
    </row>
    <row r="329" spans="1:12" x14ac:dyDescent="0.2">
      <c r="A329" s="9" t="s">
        <v>87</v>
      </c>
      <c r="B329" s="9" t="s">
        <v>256</v>
      </c>
      <c r="C329" s="10" t="str">
        <f t="shared" si="10"/>
        <v>HDDC_BRTOTEXFM_PR19CA008</v>
      </c>
      <c r="D329" s="120" t="s">
        <v>264</v>
      </c>
      <c r="E329" s="120"/>
      <c r="F329" s="143" t="s">
        <v>2</v>
      </c>
      <c r="G329" s="120"/>
      <c r="H329" s="120">
        <f>_xlfn.IFNA(INDEX('Financial model inputs '!$A$3:$AJ$59,MATCH(F_Interface!$A329&amp;RIGHT(F_Interface!H$2,2),'Financial model inputs '!$A$3:$A$59,0),MATCH(F_Interface!$B329,'Financial model inputs '!$A$3:$AJ$3,0)),0)</f>
        <v>1.0705975592581454</v>
      </c>
      <c r="I329" s="120">
        <f>_xlfn.IFNA(INDEX('Financial model inputs '!$A$3:$AJ$59,MATCH(F_Interface!$A329&amp;RIGHT(F_Interface!I$2,2),'Financial model inputs '!$A$3:$A$59,0),MATCH(F_Interface!$B329,'Financial model inputs '!$A$3:$AJ$3,0)),0)</f>
        <v>1.0705975592581454</v>
      </c>
      <c r="J329" s="120">
        <f>_xlfn.IFNA(INDEX('Financial model inputs '!$A$3:$AJ$59,MATCH(F_Interface!$A329&amp;RIGHT(F_Interface!J$2,2),'Financial model inputs '!$A$3:$A$59,0),MATCH(F_Interface!$B329,'Financial model inputs '!$A$3:$AJ$3,0)),0)</f>
        <v>1.0705975592581454</v>
      </c>
      <c r="K329" s="120">
        <f>_xlfn.IFNA(INDEX('Financial model inputs '!$A$3:$AJ$59,MATCH(F_Interface!$A329&amp;RIGHT(F_Interface!K$2,2),'Financial model inputs '!$A$3:$A$59,0),MATCH(F_Interface!$B329,'Financial model inputs '!$A$3:$AJ$3,0)),0)</f>
        <v>1.0705975592581454</v>
      </c>
      <c r="L329" s="120">
        <f>_xlfn.IFNA(INDEX('Financial model inputs '!$A$3:$AJ$59,MATCH(F_Interface!$A329&amp;RIGHT(F_Interface!L$2,2),'Financial model inputs '!$A$3:$A$59,0),MATCH(F_Interface!$B329,'Financial model inputs '!$A$3:$AJ$3,0)),0)</f>
        <v>1.0705975592581454</v>
      </c>
    </row>
    <row r="330" spans="1:12" x14ac:dyDescent="0.2">
      <c r="A330" s="9" t="s">
        <v>5</v>
      </c>
      <c r="B330" s="9" t="s">
        <v>256</v>
      </c>
      <c r="C330" s="10" t="str">
        <f t="shared" si="10"/>
        <v>NESC_BRTOTEXFM_PR19CA008</v>
      </c>
      <c r="D330" s="120" t="s">
        <v>264</v>
      </c>
      <c r="E330" s="120"/>
      <c r="F330" s="143" t="s">
        <v>2</v>
      </c>
      <c r="G330" s="120"/>
      <c r="H330" s="120">
        <f>_xlfn.IFNA(INDEX('Financial model inputs '!$A$3:$AJ$59,MATCH(F_Interface!$A330&amp;RIGHT(F_Interface!H$2,2),'Financial model inputs '!$A$3:$A$59,0),MATCH(F_Interface!$B330,'Financial model inputs '!$A$3:$AJ$3,0)),0)</f>
        <v>25.174358069589843</v>
      </c>
      <c r="I330" s="120">
        <f>_xlfn.IFNA(INDEX('Financial model inputs '!$A$3:$AJ$59,MATCH(F_Interface!$A330&amp;RIGHT(F_Interface!I$2,2),'Financial model inputs '!$A$3:$A$59,0),MATCH(F_Interface!$B330,'Financial model inputs '!$A$3:$AJ$3,0)),0)</f>
        <v>25.174358069589843</v>
      </c>
      <c r="J330" s="120">
        <f>_xlfn.IFNA(INDEX('Financial model inputs '!$A$3:$AJ$59,MATCH(F_Interface!$A330&amp;RIGHT(F_Interface!J$2,2),'Financial model inputs '!$A$3:$A$59,0),MATCH(F_Interface!$B330,'Financial model inputs '!$A$3:$AJ$3,0)),0)</f>
        <v>25.174358069589843</v>
      </c>
      <c r="K330" s="120">
        <f>_xlfn.IFNA(INDEX('Financial model inputs '!$A$3:$AJ$59,MATCH(F_Interface!$A330&amp;RIGHT(F_Interface!K$2,2),'Financial model inputs '!$A$3:$A$59,0),MATCH(F_Interface!$B330,'Financial model inputs '!$A$3:$AJ$3,0)),0)</f>
        <v>25.174358069589843</v>
      </c>
      <c r="L330" s="120">
        <f>_xlfn.IFNA(INDEX('Financial model inputs '!$A$3:$AJ$59,MATCH(F_Interface!$A330&amp;RIGHT(F_Interface!L$2,2),'Financial model inputs '!$A$3:$A$59,0),MATCH(F_Interface!$B330,'Financial model inputs '!$A$3:$AJ$3,0)),0)</f>
        <v>25.174358069589843</v>
      </c>
    </row>
    <row r="331" spans="1:12" x14ac:dyDescent="0.2">
      <c r="A331" s="9" t="s">
        <v>6</v>
      </c>
      <c r="B331" s="9" t="s">
        <v>256</v>
      </c>
      <c r="C331" s="10" t="str">
        <f t="shared" si="10"/>
        <v>NWTC_BRTOTEXFM_PR19CA008</v>
      </c>
      <c r="D331" s="120" t="s">
        <v>264</v>
      </c>
      <c r="E331" s="120"/>
      <c r="F331" s="143" t="s">
        <v>2</v>
      </c>
      <c r="G331" s="120"/>
      <c r="H331" s="120">
        <f>_xlfn.IFNA(INDEX('Financial model inputs '!$A$3:$AJ$59,MATCH(F_Interface!$A331&amp;RIGHT(F_Interface!H$2,2),'Financial model inputs '!$A$3:$A$59,0),MATCH(F_Interface!$B331,'Financial model inputs '!$A$3:$AJ$3,0)),0)</f>
        <v>78.027142314909341</v>
      </c>
      <c r="I331" s="120">
        <f>_xlfn.IFNA(INDEX('Financial model inputs '!$A$3:$AJ$59,MATCH(F_Interface!$A331&amp;RIGHT(F_Interface!I$2,2),'Financial model inputs '!$A$3:$A$59,0),MATCH(F_Interface!$B331,'Financial model inputs '!$A$3:$AJ$3,0)),0)</f>
        <v>78.027142314909341</v>
      </c>
      <c r="J331" s="120">
        <f>_xlfn.IFNA(INDEX('Financial model inputs '!$A$3:$AJ$59,MATCH(F_Interface!$A331&amp;RIGHT(F_Interface!J$2,2),'Financial model inputs '!$A$3:$A$59,0),MATCH(F_Interface!$B331,'Financial model inputs '!$A$3:$AJ$3,0)),0)</f>
        <v>78.027142314909341</v>
      </c>
      <c r="K331" s="120">
        <f>_xlfn.IFNA(INDEX('Financial model inputs '!$A$3:$AJ$59,MATCH(F_Interface!$A331&amp;RIGHT(F_Interface!K$2,2),'Financial model inputs '!$A$3:$A$59,0),MATCH(F_Interface!$B331,'Financial model inputs '!$A$3:$AJ$3,0)),0)</f>
        <v>78.027142314909341</v>
      </c>
      <c r="L331" s="120">
        <f>_xlfn.IFNA(INDEX('Financial model inputs '!$A$3:$AJ$59,MATCH(F_Interface!$A331&amp;RIGHT(F_Interface!L$2,2),'Financial model inputs '!$A$3:$A$59,0),MATCH(F_Interface!$B331,'Financial model inputs '!$A$3:$AJ$3,0)),0)</f>
        <v>78.027142314909341</v>
      </c>
    </row>
    <row r="332" spans="1:12" x14ac:dyDescent="0.2">
      <c r="A332" s="9" t="s">
        <v>7</v>
      </c>
      <c r="B332" s="9" t="s">
        <v>256</v>
      </c>
      <c r="C332" s="10" t="str">
        <f t="shared" si="10"/>
        <v>SRNC_BRTOTEXFM_PR19CA008</v>
      </c>
      <c r="D332" s="120" t="s">
        <v>264</v>
      </c>
      <c r="E332" s="120"/>
      <c r="F332" s="143" t="s">
        <v>2</v>
      </c>
      <c r="G332" s="120"/>
      <c r="H332" s="120">
        <f>_xlfn.IFNA(INDEX('Financial model inputs '!$A$3:$AJ$59,MATCH(F_Interface!$A332&amp;RIGHT(F_Interface!H$2,2),'Financial model inputs '!$A$3:$A$59,0),MATCH(F_Interface!$B332,'Financial model inputs '!$A$3:$AJ$3,0)),0)</f>
        <v>42.704709649556548</v>
      </c>
      <c r="I332" s="120">
        <f>_xlfn.IFNA(INDEX('Financial model inputs '!$A$3:$AJ$59,MATCH(F_Interface!$A332&amp;RIGHT(F_Interface!I$2,2),'Financial model inputs '!$A$3:$A$59,0),MATCH(F_Interface!$B332,'Financial model inputs '!$A$3:$AJ$3,0)),0)</f>
        <v>42.704709649556548</v>
      </c>
      <c r="J332" s="120">
        <f>_xlfn.IFNA(INDEX('Financial model inputs '!$A$3:$AJ$59,MATCH(F_Interface!$A332&amp;RIGHT(F_Interface!J$2,2),'Financial model inputs '!$A$3:$A$59,0),MATCH(F_Interface!$B332,'Financial model inputs '!$A$3:$AJ$3,0)),0)</f>
        <v>42.704709649556548</v>
      </c>
      <c r="K332" s="120">
        <f>_xlfn.IFNA(INDEX('Financial model inputs '!$A$3:$AJ$59,MATCH(F_Interface!$A332&amp;RIGHT(F_Interface!K$2,2),'Financial model inputs '!$A$3:$A$59,0),MATCH(F_Interface!$B332,'Financial model inputs '!$A$3:$AJ$3,0)),0)</f>
        <v>42.704709649556548</v>
      </c>
      <c r="L332" s="120">
        <f>_xlfn.IFNA(INDEX('Financial model inputs '!$A$3:$AJ$59,MATCH(F_Interface!$A332&amp;RIGHT(F_Interface!L$2,2),'Financial model inputs '!$A$3:$A$59,0),MATCH(F_Interface!$B332,'Financial model inputs '!$A$3:$AJ$3,0)),0)</f>
        <v>42.704709649556548</v>
      </c>
    </row>
    <row r="333" spans="1:12" x14ac:dyDescent="0.2">
      <c r="A333" s="9" t="s">
        <v>116</v>
      </c>
      <c r="B333" s="9" t="s">
        <v>256</v>
      </c>
      <c r="C333" s="10" t="str">
        <f t="shared" si="10"/>
        <v>SVEC_BRTOTEXFM_PR19CA008</v>
      </c>
      <c r="D333" s="120" t="s">
        <v>264</v>
      </c>
      <c r="E333" s="120"/>
      <c r="F333" s="143" t="s">
        <v>2</v>
      </c>
      <c r="G333" s="120"/>
      <c r="H333" s="120">
        <f>_xlfn.IFNA(INDEX('Financial model inputs '!$A$3:$AJ$59,MATCH(F_Interface!$A333&amp;RIGHT(F_Interface!H$2,2),'Financial model inputs '!$A$3:$A$59,0),MATCH(F_Interface!$B333,'Financial model inputs '!$A$3:$AJ$3,0)),0)</f>
        <v>90.688261127617182</v>
      </c>
      <c r="I333" s="120">
        <f>_xlfn.IFNA(INDEX('Financial model inputs '!$A$3:$AJ$59,MATCH(F_Interface!$A333&amp;RIGHT(F_Interface!I$2,2),'Financial model inputs '!$A$3:$A$59,0),MATCH(F_Interface!$B333,'Financial model inputs '!$A$3:$AJ$3,0)),0)</f>
        <v>90.688261127617182</v>
      </c>
      <c r="J333" s="120">
        <f>_xlfn.IFNA(INDEX('Financial model inputs '!$A$3:$AJ$59,MATCH(F_Interface!$A333&amp;RIGHT(F_Interface!J$2,2),'Financial model inputs '!$A$3:$A$59,0),MATCH(F_Interface!$B333,'Financial model inputs '!$A$3:$AJ$3,0)),0)</f>
        <v>90.688261127617182</v>
      </c>
      <c r="K333" s="120">
        <f>_xlfn.IFNA(INDEX('Financial model inputs '!$A$3:$AJ$59,MATCH(F_Interface!$A333&amp;RIGHT(F_Interface!K$2,2),'Financial model inputs '!$A$3:$A$59,0),MATCH(F_Interface!$B333,'Financial model inputs '!$A$3:$AJ$3,0)),0)</f>
        <v>90.688261127617182</v>
      </c>
      <c r="L333" s="120">
        <f>_xlfn.IFNA(INDEX('Financial model inputs '!$A$3:$AJ$59,MATCH(F_Interface!$A333&amp;RIGHT(F_Interface!L$2,2),'Financial model inputs '!$A$3:$A$59,0),MATCH(F_Interface!$B333,'Financial model inputs '!$A$3:$AJ$3,0)),0)</f>
        <v>90.688261127617182</v>
      </c>
    </row>
    <row r="334" spans="1:12" x14ac:dyDescent="0.2">
      <c r="A334" s="9" t="s">
        <v>101</v>
      </c>
      <c r="B334" s="9" t="s">
        <v>256</v>
      </c>
      <c r="C334" s="10" t="str">
        <f t="shared" si="10"/>
        <v>SVHC_BRTOTEXFM_PR19CA008</v>
      </c>
      <c r="D334" s="120" t="s">
        <v>264</v>
      </c>
      <c r="E334" s="120"/>
      <c r="F334" s="143" t="s">
        <v>2</v>
      </c>
      <c r="G334" s="120"/>
      <c r="H334" s="120">
        <f>_xlfn.IFNA(INDEX('Financial model inputs '!$A$3:$AJ$59,MATCH(F_Interface!$A334&amp;RIGHT(F_Interface!H$2,2),'Financial model inputs '!$A$3:$A$59,0),MATCH(F_Interface!$B334,'Financial model inputs '!$A$3:$AJ$3,0)),0)</f>
        <v>0</v>
      </c>
      <c r="I334" s="120">
        <f>_xlfn.IFNA(INDEX('Financial model inputs '!$A$3:$AJ$59,MATCH(F_Interface!$A334&amp;RIGHT(F_Interface!I$2,2),'Financial model inputs '!$A$3:$A$59,0),MATCH(F_Interface!$B334,'Financial model inputs '!$A$3:$AJ$3,0)),0)</f>
        <v>0</v>
      </c>
      <c r="J334" s="120">
        <f>_xlfn.IFNA(INDEX('Financial model inputs '!$A$3:$AJ$59,MATCH(F_Interface!$A334&amp;RIGHT(F_Interface!J$2,2),'Financial model inputs '!$A$3:$A$59,0),MATCH(F_Interface!$B334,'Financial model inputs '!$A$3:$AJ$3,0)),0)</f>
        <v>0</v>
      </c>
      <c r="K334" s="120">
        <f>_xlfn.IFNA(INDEX('Financial model inputs '!$A$3:$AJ$59,MATCH(F_Interface!$A334&amp;RIGHT(F_Interface!K$2,2),'Financial model inputs '!$A$3:$A$59,0),MATCH(F_Interface!$B334,'Financial model inputs '!$A$3:$AJ$3,0)),0)</f>
        <v>0</v>
      </c>
      <c r="L334" s="120">
        <f>_xlfn.IFNA(INDEX('Financial model inputs '!$A$3:$AJ$59,MATCH(F_Interface!$A334&amp;RIGHT(F_Interface!L$2,2),'Financial model inputs '!$A$3:$A$59,0),MATCH(F_Interface!$B334,'Financial model inputs '!$A$3:$AJ$3,0)),0)</f>
        <v>0</v>
      </c>
    </row>
    <row r="335" spans="1:12" x14ac:dyDescent="0.2">
      <c r="A335" s="9" t="s">
        <v>8</v>
      </c>
      <c r="B335" s="9" t="s">
        <v>256</v>
      </c>
      <c r="C335" s="10" t="str">
        <f t="shared" si="10"/>
        <v>SVTC_BRTOTEXFM_PR19CA008</v>
      </c>
      <c r="D335" s="120" t="s">
        <v>264</v>
      </c>
      <c r="E335" s="120"/>
      <c r="F335" s="143" t="s">
        <v>2</v>
      </c>
      <c r="G335" s="120"/>
      <c r="H335" s="120">
        <f>_xlfn.IFNA(INDEX('Financial model inputs '!$A$3:$AJ$59,MATCH(F_Interface!$A335&amp;RIGHT(F_Interface!H$2,2),'Financial model inputs '!$A$3:$A$59,0),MATCH(F_Interface!$B335,'Financial model inputs '!$A$3:$AJ$3,0)),0)</f>
        <v>0</v>
      </c>
      <c r="I335" s="120">
        <f>_xlfn.IFNA(INDEX('Financial model inputs '!$A$3:$AJ$59,MATCH(F_Interface!$A335&amp;RIGHT(F_Interface!I$2,2),'Financial model inputs '!$A$3:$A$59,0),MATCH(F_Interface!$B335,'Financial model inputs '!$A$3:$AJ$3,0)),0)</f>
        <v>0</v>
      </c>
      <c r="J335" s="120">
        <f>_xlfn.IFNA(INDEX('Financial model inputs '!$A$3:$AJ$59,MATCH(F_Interface!$A335&amp;RIGHT(F_Interface!J$2,2),'Financial model inputs '!$A$3:$A$59,0),MATCH(F_Interface!$B335,'Financial model inputs '!$A$3:$AJ$3,0)),0)</f>
        <v>0</v>
      </c>
      <c r="K335" s="120">
        <f>_xlfn.IFNA(INDEX('Financial model inputs '!$A$3:$AJ$59,MATCH(F_Interface!$A335&amp;RIGHT(F_Interface!K$2,2),'Financial model inputs '!$A$3:$A$59,0),MATCH(F_Interface!$B335,'Financial model inputs '!$A$3:$AJ$3,0)),0)</f>
        <v>0</v>
      </c>
      <c r="L335" s="120">
        <f>_xlfn.IFNA(INDEX('Financial model inputs '!$A$3:$AJ$59,MATCH(F_Interface!$A335&amp;RIGHT(F_Interface!L$2,2),'Financial model inputs '!$A$3:$A$59,0),MATCH(F_Interface!$B335,'Financial model inputs '!$A$3:$AJ$3,0)),0)</f>
        <v>0</v>
      </c>
    </row>
    <row r="336" spans="1:12" x14ac:dyDescent="0.2">
      <c r="A336" s="9" t="s">
        <v>12</v>
      </c>
      <c r="B336" s="9" t="s">
        <v>256</v>
      </c>
      <c r="C336" s="10" t="str">
        <f t="shared" si="10"/>
        <v>SWBC_BRTOTEXFM_PR19CA008</v>
      </c>
      <c r="D336" s="120" t="s">
        <v>264</v>
      </c>
      <c r="E336" s="120"/>
      <c r="F336" s="143" t="s">
        <v>2</v>
      </c>
      <c r="G336" s="120"/>
      <c r="H336" s="120">
        <f>_xlfn.IFNA(INDEX('Financial model inputs '!$A$3:$AJ$59,MATCH(F_Interface!$A336&amp;RIGHT(F_Interface!H$2,2),'Financial model inputs '!$A$3:$A$59,0),MATCH(F_Interface!$B336,'Financial model inputs '!$A$3:$AJ$3,0)),0)</f>
        <v>19.790430575651897</v>
      </c>
      <c r="I336" s="120">
        <f>_xlfn.IFNA(INDEX('Financial model inputs '!$A$3:$AJ$59,MATCH(F_Interface!$A336&amp;RIGHT(F_Interface!I$2,2),'Financial model inputs '!$A$3:$A$59,0),MATCH(F_Interface!$B336,'Financial model inputs '!$A$3:$AJ$3,0)),0)</f>
        <v>19.790430575651897</v>
      </c>
      <c r="J336" s="120">
        <f>_xlfn.IFNA(INDEX('Financial model inputs '!$A$3:$AJ$59,MATCH(F_Interface!$A336&amp;RIGHT(F_Interface!J$2,2),'Financial model inputs '!$A$3:$A$59,0),MATCH(F_Interface!$B336,'Financial model inputs '!$A$3:$AJ$3,0)),0)</f>
        <v>19.790430575651897</v>
      </c>
      <c r="K336" s="120">
        <f>_xlfn.IFNA(INDEX('Financial model inputs '!$A$3:$AJ$59,MATCH(F_Interface!$A336&amp;RIGHT(F_Interface!K$2,2),'Financial model inputs '!$A$3:$A$59,0),MATCH(F_Interface!$B336,'Financial model inputs '!$A$3:$AJ$3,0)),0)</f>
        <v>19.790430575651897</v>
      </c>
      <c r="L336" s="120">
        <f>_xlfn.IFNA(INDEX('Financial model inputs '!$A$3:$AJ$59,MATCH(F_Interface!$A336&amp;RIGHT(F_Interface!L$2,2),'Financial model inputs '!$A$3:$A$59,0),MATCH(F_Interface!$B336,'Financial model inputs '!$A$3:$AJ$3,0)),0)</f>
        <v>19.790430575651897</v>
      </c>
    </row>
    <row r="337" spans="1:12" x14ac:dyDescent="0.2">
      <c r="A337" s="9" t="s">
        <v>9</v>
      </c>
      <c r="B337" s="9" t="s">
        <v>256</v>
      </c>
      <c r="C337" s="10" t="str">
        <f t="shared" si="10"/>
        <v>TMSC_BRTOTEXFM_PR19CA008</v>
      </c>
      <c r="D337" s="120" t="s">
        <v>264</v>
      </c>
      <c r="E337" s="120"/>
      <c r="F337" s="143" t="s">
        <v>2</v>
      </c>
      <c r="G337" s="120"/>
      <c r="H337" s="120">
        <f>_xlfn.IFNA(INDEX('Financial model inputs '!$A$3:$AJ$59,MATCH(F_Interface!$A337&amp;RIGHT(F_Interface!H$2,2),'Financial model inputs '!$A$3:$A$59,0),MATCH(F_Interface!$B337,'Financial model inputs '!$A$3:$AJ$3,0)),0)</f>
        <v>146.25569049798341</v>
      </c>
      <c r="I337" s="120">
        <f>_xlfn.IFNA(INDEX('Financial model inputs '!$A$3:$AJ$59,MATCH(F_Interface!$A337&amp;RIGHT(F_Interface!I$2,2),'Financial model inputs '!$A$3:$A$59,0),MATCH(F_Interface!$B337,'Financial model inputs '!$A$3:$AJ$3,0)),0)</f>
        <v>146.25569049798341</v>
      </c>
      <c r="J337" s="120">
        <f>_xlfn.IFNA(INDEX('Financial model inputs '!$A$3:$AJ$59,MATCH(F_Interface!$A337&amp;RIGHT(F_Interface!J$2,2),'Financial model inputs '!$A$3:$A$59,0),MATCH(F_Interface!$B337,'Financial model inputs '!$A$3:$AJ$3,0)),0)</f>
        <v>146.25569049798341</v>
      </c>
      <c r="K337" s="120">
        <f>_xlfn.IFNA(INDEX('Financial model inputs '!$A$3:$AJ$59,MATCH(F_Interface!$A337&amp;RIGHT(F_Interface!K$2,2),'Financial model inputs '!$A$3:$A$59,0),MATCH(F_Interface!$B337,'Financial model inputs '!$A$3:$AJ$3,0)),0)</f>
        <v>146.25569049798341</v>
      </c>
      <c r="L337" s="120">
        <f>_xlfn.IFNA(INDEX('Financial model inputs '!$A$3:$AJ$59,MATCH(F_Interface!$A337&amp;RIGHT(F_Interface!L$2,2),'Financial model inputs '!$A$3:$A$59,0),MATCH(F_Interface!$B337,'Financial model inputs '!$A$3:$AJ$3,0)),0)</f>
        <v>146.25569049798341</v>
      </c>
    </row>
    <row r="338" spans="1:12" x14ac:dyDescent="0.2">
      <c r="A338" s="9" t="s">
        <v>15</v>
      </c>
      <c r="B338" s="9" t="s">
        <v>256</v>
      </c>
      <c r="C338" s="10" t="str">
        <f t="shared" si="10"/>
        <v>WSHC_BRTOTEXFM_PR19CA008</v>
      </c>
      <c r="D338" s="120" t="s">
        <v>264</v>
      </c>
      <c r="E338" s="120"/>
      <c r="F338" s="143" t="s">
        <v>2</v>
      </c>
      <c r="G338" s="120"/>
      <c r="H338" s="120">
        <f>_xlfn.IFNA(INDEX('Financial model inputs '!$A$3:$AJ$59,MATCH(F_Interface!$A338&amp;RIGHT(F_Interface!H$2,2),'Financial model inputs '!$A$3:$A$59,0),MATCH(F_Interface!$B338,'Financial model inputs '!$A$3:$AJ$3,0)),0)</f>
        <v>33.48888002883708</v>
      </c>
      <c r="I338" s="120">
        <f>_xlfn.IFNA(INDEX('Financial model inputs '!$A$3:$AJ$59,MATCH(F_Interface!$A338&amp;RIGHT(F_Interface!I$2,2),'Financial model inputs '!$A$3:$A$59,0),MATCH(F_Interface!$B338,'Financial model inputs '!$A$3:$AJ$3,0)),0)</f>
        <v>33.48888002883708</v>
      </c>
      <c r="J338" s="120">
        <f>_xlfn.IFNA(INDEX('Financial model inputs '!$A$3:$AJ$59,MATCH(F_Interface!$A338&amp;RIGHT(F_Interface!J$2,2),'Financial model inputs '!$A$3:$A$59,0),MATCH(F_Interface!$B338,'Financial model inputs '!$A$3:$AJ$3,0)),0)</f>
        <v>33.48888002883708</v>
      </c>
      <c r="K338" s="120">
        <f>_xlfn.IFNA(INDEX('Financial model inputs '!$A$3:$AJ$59,MATCH(F_Interface!$A338&amp;RIGHT(F_Interface!K$2,2),'Financial model inputs '!$A$3:$A$59,0),MATCH(F_Interface!$B338,'Financial model inputs '!$A$3:$AJ$3,0)),0)</f>
        <v>33.48888002883708</v>
      </c>
      <c r="L338" s="120">
        <f>_xlfn.IFNA(INDEX('Financial model inputs '!$A$3:$AJ$59,MATCH(F_Interface!$A338&amp;RIGHT(F_Interface!L$2,2),'Financial model inputs '!$A$3:$A$59,0),MATCH(F_Interface!$B338,'Financial model inputs '!$A$3:$AJ$3,0)),0)</f>
        <v>33.48888002883708</v>
      </c>
    </row>
    <row r="339" spans="1:12" x14ac:dyDescent="0.2">
      <c r="A339" s="9" t="s">
        <v>10</v>
      </c>
      <c r="B339" s="9" t="s">
        <v>256</v>
      </c>
      <c r="C339" s="10" t="str">
        <f t="shared" si="10"/>
        <v>WSXC_BRTOTEXFM_PR19CA008</v>
      </c>
      <c r="D339" s="120" t="s">
        <v>264</v>
      </c>
      <c r="E339" s="120"/>
      <c r="F339" s="143" t="s">
        <v>2</v>
      </c>
      <c r="G339" s="120"/>
      <c r="H339" s="120">
        <f>_xlfn.IFNA(INDEX('Financial model inputs '!$A$3:$AJ$59,MATCH(F_Interface!$A339&amp;RIGHT(F_Interface!H$2,2),'Financial model inputs '!$A$3:$A$59,0),MATCH(F_Interface!$B339,'Financial model inputs '!$A$3:$AJ$3,0)),0)</f>
        <v>28.201575518519849</v>
      </c>
      <c r="I339" s="120">
        <f>_xlfn.IFNA(INDEX('Financial model inputs '!$A$3:$AJ$59,MATCH(F_Interface!$A339&amp;RIGHT(F_Interface!I$2,2),'Financial model inputs '!$A$3:$A$59,0),MATCH(F_Interface!$B339,'Financial model inputs '!$A$3:$AJ$3,0)),0)</f>
        <v>28.201575518519849</v>
      </c>
      <c r="J339" s="120">
        <f>_xlfn.IFNA(INDEX('Financial model inputs '!$A$3:$AJ$59,MATCH(F_Interface!$A339&amp;RIGHT(F_Interface!J$2,2),'Financial model inputs '!$A$3:$A$59,0),MATCH(F_Interface!$B339,'Financial model inputs '!$A$3:$AJ$3,0)),0)</f>
        <v>28.201575518519849</v>
      </c>
      <c r="K339" s="120">
        <f>_xlfn.IFNA(INDEX('Financial model inputs '!$A$3:$AJ$59,MATCH(F_Interface!$A339&amp;RIGHT(F_Interface!K$2,2),'Financial model inputs '!$A$3:$A$59,0),MATCH(F_Interface!$B339,'Financial model inputs '!$A$3:$AJ$3,0)),0)</f>
        <v>28.201575518519849</v>
      </c>
      <c r="L339" s="120">
        <f>_xlfn.IFNA(INDEX('Financial model inputs '!$A$3:$AJ$59,MATCH(F_Interface!$A339&amp;RIGHT(F_Interface!L$2,2),'Financial model inputs '!$A$3:$A$59,0),MATCH(F_Interface!$B339,'Financial model inputs '!$A$3:$AJ$3,0)),0)</f>
        <v>28.201575518519849</v>
      </c>
    </row>
    <row r="340" spans="1:12" x14ac:dyDescent="0.2">
      <c r="A340" s="9" t="s">
        <v>11</v>
      </c>
      <c r="B340" s="9" t="s">
        <v>256</v>
      </c>
      <c r="C340" s="10" t="str">
        <f t="shared" si="10"/>
        <v>YKYC_BRTOTEXFM_PR19CA008</v>
      </c>
      <c r="D340" s="120" t="s">
        <v>264</v>
      </c>
      <c r="E340" s="120"/>
      <c r="F340" s="143" t="s">
        <v>2</v>
      </c>
      <c r="G340" s="120"/>
      <c r="H340" s="120">
        <f>_xlfn.IFNA(INDEX('Financial model inputs '!$A$3:$AJ$59,MATCH(F_Interface!$A340&amp;RIGHT(F_Interface!H$2,2),'Financial model inputs '!$A$3:$A$59,0),MATCH(F_Interface!$B340,'Financial model inputs '!$A$3:$AJ$3,0)),0)</f>
        <v>63.451765596435052</v>
      </c>
      <c r="I340" s="120">
        <f>_xlfn.IFNA(INDEX('Financial model inputs '!$A$3:$AJ$59,MATCH(F_Interface!$A340&amp;RIGHT(F_Interface!I$2,2),'Financial model inputs '!$A$3:$A$59,0),MATCH(F_Interface!$B340,'Financial model inputs '!$A$3:$AJ$3,0)),0)</f>
        <v>63.451765596435052</v>
      </c>
      <c r="J340" s="120">
        <f>_xlfn.IFNA(INDEX('Financial model inputs '!$A$3:$AJ$59,MATCH(F_Interface!$A340&amp;RIGHT(F_Interface!J$2,2),'Financial model inputs '!$A$3:$A$59,0),MATCH(F_Interface!$B340,'Financial model inputs '!$A$3:$AJ$3,0)),0)</f>
        <v>63.451765596435052</v>
      </c>
      <c r="K340" s="120">
        <f>_xlfn.IFNA(INDEX('Financial model inputs '!$A$3:$AJ$59,MATCH(F_Interface!$A340&amp;RIGHT(F_Interface!K$2,2),'Financial model inputs '!$A$3:$A$59,0),MATCH(F_Interface!$B340,'Financial model inputs '!$A$3:$AJ$3,0)),0)</f>
        <v>63.451765596435052</v>
      </c>
      <c r="L340" s="120">
        <f>_xlfn.IFNA(INDEX('Financial model inputs '!$A$3:$AJ$59,MATCH(F_Interface!$A340&amp;RIGHT(F_Interface!L$2,2),'Financial model inputs '!$A$3:$A$59,0),MATCH(F_Interface!$B340,'Financial model inputs '!$A$3:$AJ$3,0)),0)</f>
        <v>63.451765596435052</v>
      </c>
    </row>
    <row r="341" spans="1:12" x14ac:dyDescent="0.2">
      <c r="A341" s="9" t="s">
        <v>4</v>
      </c>
      <c r="B341" s="9" t="s">
        <v>257</v>
      </c>
      <c r="C341" s="10" t="str">
        <f t="shared" si="10"/>
        <v>ANHC_DUMMYOPEX_PR19CA008</v>
      </c>
      <c r="D341" s="120" t="s">
        <v>245</v>
      </c>
      <c r="E341" s="120"/>
      <c r="F341" s="143" t="s">
        <v>2</v>
      </c>
      <c r="G341" s="120"/>
      <c r="H341" s="120">
        <f>_xlfn.IFNA(INDEX('Financial model inputs '!$A$3:$AJ$59,MATCH(F_Interface!$A341&amp;RIGHT(F_Interface!H$2,2),'Financial model inputs '!$A$3:$A$59,0),MATCH(F_Interface!$B341,'Financial model inputs '!$A$3:$AJ$3,0)),0)</f>
        <v>0</v>
      </c>
      <c r="I341" s="120">
        <f>_xlfn.IFNA(INDEX('Financial model inputs '!$A$3:$AJ$59,MATCH(F_Interface!$A341&amp;RIGHT(F_Interface!I$2,2),'Financial model inputs '!$A$3:$A$59,0),MATCH(F_Interface!$B341,'Financial model inputs '!$A$3:$AJ$3,0)),0)</f>
        <v>0</v>
      </c>
      <c r="J341" s="120">
        <f>_xlfn.IFNA(INDEX('Financial model inputs '!$A$3:$AJ$59,MATCH(F_Interface!$A341&amp;RIGHT(F_Interface!J$2,2),'Financial model inputs '!$A$3:$A$59,0),MATCH(F_Interface!$B341,'Financial model inputs '!$A$3:$AJ$3,0)),0)</f>
        <v>0</v>
      </c>
      <c r="K341" s="120">
        <f>_xlfn.IFNA(INDEX('Financial model inputs '!$A$3:$AJ$59,MATCH(F_Interface!$A341&amp;RIGHT(F_Interface!K$2,2),'Financial model inputs '!$A$3:$A$59,0),MATCH(F_Interface!$B341,'Financial model inputs '!$A$3:$AJ$3,0)),0)</f>
        <v>0</v>
      </c>
      <c r="L341" s="120">
        <f>_xlfn.IFNA(INDEX('Financial model inputs '!$A$3:$AJ$59,MATCH(F_Interface!$A341&amp;RIGHT(F_Interface!L$2,2),'Financial model inputs '!$A$3:$A$59,0),MATCH(F_Interface!$B341,'Financial model inputs '!$A$3:$AJ$3,0)),0)</f>
        <v>0</v>
      </c>
    </row>
    <row r="342" spans="1:12" x14ac:dyDescent="0.2">
      <c r="A342" s="9" t="s">
        <v>87</v>
      </c>
      <c r="B342" s="9" t="s">
        <v>257</v>
      </c>
      <c r="C342" s="10" t="str">
        <f t="shared" si="10"/>
        <v>HDDC_DUMMYOPEX_PR19CA008</v>
      </c>
      <c r="D342" s="120" t="s">
        <v>245</v>
      </c>
      <c r="E342" s="120"/>
      <c r="F342" s="143" t="s">
        <v>2</v>
      </c>
      <c r="G342" s="120"/>
      <c r="H342" s="120">
        <f>_xlfn.IFNA(INDEX('Financial model inputs '!$A$3:$AJ$59,MATCH(F_Interface!$A342&amp;RIGHT(F_Interface!H$2,2),'Financial model inputs '!$A$3:$A$59,0),MATCH(F_Interface!$B342,'Financial model inputs '!$A$3:$AJ$3,0)),0)</f>
        <v>0</v>
      </c>
      <c r="I342" s="120">
        <f>_xlfn.IFNA(INDEX('Financial model inputs '!$A$3:$AJ$59,MATCH(F_Interface!$A342&amp;RIGHT(F_Interface!I$2,2),'Financial model inputs '!$A$3:$A$59,0),MATCH(F_Interface!$B342,'Financial model inputs '!$A$3:$AJ$3,0)),0)</f>
        <v>0</v>
      </c>
      <c r="J342" s="120">
        <f>_xlfn.IFNA(INDEX('Financial model inputs '!$A$3:$AJ$59,MATCH(F_Interface!$A342&amp;RIGHT(F_Interface!J$2,2),'Financial model inputs '!$A$3:$A$59,0),MATCH(F_Interface!$B342,'Financial model inputs '!$A$3:$AJ$3,0)),0)</f>
        <v>0</v>
      </c>
      <c r="K342" s="120">
        <f>_xlfn.IFNA(INDEX('Financial model inputs '!$A$3:$AJ$59,MATCH(F_Interface!$A342&amp;RIGHT(F_Interface!K$2,2),'Financial model inputs '!$A$3:$A$59,0),MATCH(F_Interface!$B342,'Financial model inputs '!$A$3:$AJ$3,0)),0)</f>
        <v>0</v>
      </c>
      <c r="L342" s="120">
        <f>_xlfn.IFNA(INDEX('Financial model inputs '!$A$3:$AJ$59,MATCH(F_Interface!$A342&amp;RIGHT(F_Interface!L$2,2),'Financial model inputs '!$A$3:$A$59,0),MATCH(F_Interface!$B342,'Financial model inputs '!$A$3:$AJ$3,0)),0)</f>
        <v>0</v>
      </c>
    </row>
    <row r="343" spans="1:12" x14ac:dyDescent="0.2">
      <c r="A343" s="9" t="s">
        <v>5</v>
      </c>
      <c r="B343" s="9" t="s">
        <v>257</v>
      </c>
      <c r="C343" s="10" t="str">
        <f t="shared" si="10"/>
        <v>NESC_DUMMYOPEX_PR19CA008</v>
      </c>
      <c r="D343" s="120" t="s">
        <v>245</v>
      </c>
      <c r="E343" s="120"/>
      <c r="F343" s="143" t="s">
        <v>2</v>
      </c>
      <c r="G343" s="120"/>
      <c r="H343" s="120">
        <f>_xlfn.IFNA(INDEX('Financial model inputs '!$A$3:$AJ$59,MATCH(F_Interface!$A343&amp;RIGHT(F_Interface!H$2,2),'Financial model inputs '!$A$3:$A$59,0),MATCH(F_Interface!$B343,'Financial model inputs '!$A$3:$AJ$3,0)),0)</f>
        <v>0</v>
      </c>
      <c r="I343" s="120">
        <f>_xlfn.IFNA(INDEX('Financial model inputs '!$A$3:$AJ$59,MATCH(F_Interface!$A343&amp;RIGHT(F_Interface!I$2,2),'Financial model inputs '!$A$3:$A$59,0),MATCH(F_Interface!$B343,'Financial model inputs '!$A$3:$AJ$3,0)),0)</f>
        <v>0</v>
      </c>
      <c r="J343" s="120">
        <f>_xlfn.IFNA(INDEX('Financial model inputs '!$A$3:$AJ$59,MATCH(F_Interface!$A343&amp;RIGHT(F_Interface!J$2,2),'Financial model inputs '!$A$3:$A$59,0),MATCH(F_Interface!$B343,'Financial model inputs '!$A$3:$AJ$3,0)),0)</f>
        <v>0</v>
      </c>
      <c r="K343" s="120">
        <f>_xlfn.IFNA(INDEX('Financial model inputs '!$A$3:$AJ$59,MATCH(F_Interface!$A343&amp;RIGHT(F_Interface!K$2,2),'Financial model inputs '!$A$3:$A$59,0),MATCH(F_Interface!$B343,'Financial model inputs '!$A$3:$AJ$3,0)),0)</f>
        <v>0</v>
      </c>
      <c r="L343" s="120">
        <f>_xlfn.IFNA(INDEX('Financial model inputs '!$A$3:$AJ$59,MATCH(F_Interface!$A343&amp;RIGHT(F_Interface!L$2,2),'Financial model inputs '!$A$3:$A$59,0),MATCH(F_Interface!$B343,'Financial model inputs '!$A$3:$AJ$3,0)),0)</f>
        <v>0</v>
      </c>
    </row>
    <row r="344" spans="1:12" x14ac:dyDescent="0.2">
      <c r="A344" s="9" t="s">
        <v>6</v>
      </c>
      <c r="B344" s="9" t="s">
        <v>257</v>
      </c>
      <c r="C344" s="10" t="str">
        <f t="shared" si="10"/>
        <v>NWTC_DUMMYOPEX_PR19CA008</v>
      </c>
      <c r="D344" s="120" t="s">
        <v>245</v>
      </c>
      <c r="E344" s="120"/>
      <c r="F344" s="143" t="s">
        <v>2</v>
      </c>
      <c r="G344" s="120"/>
      <c r="H344" s="120">
        <f>_xlfn.IFNA(INDEX('Financial model inputs '!$A$3:$AJ$59,MATCH(F_Interface!$A344&amp;RIGHT(F_Interface!H$2,2),'Financial model inputs '!$A$3:$A$59,0),MATCH(F_Interface!$B344,'Financial model inputs '!$A$3:$AJ$3,0)),0)</f>
        <v>0</v>
      </c>
      <c r="I344" s="120">
        <f>_xlfn.IFNA(INDEX('Financial model inputs '!$A$3:$AJ$59,MATCH(F_Interface!$A344&amp;RIGHT(F_Interface!I$2,2),'Financial model inputs '!$A$3:$A$59,0),MATCH(F_Interface!$B344,'Financial model inputs '!$A$3:$AJ$3,0)),0)</f>
        <v>0</v>
      </c>
      <c r="J344" s="120">
        <f>_xlfn.IFNA(INDEX('Financial model inputs '!$A$3:$AJ$59,MATCH(F_Interface!$A344&amp;RIGHT(F_Interface!J$2,2),'Financial model inputs '!$A$3:$A$59,0),MATCH(F_Interface!$B344,'Financial model inputs '!$A$3:$AJ$3,0)),0)</f>
        <v>0</v>
      </c>
      <c r="K344" s="120">
        <f>_xlfn.IFNA(INDEX('Financial model inputs '!$A$3:$AJ$59,MATCH(F_Interface!$A344&amp;RIGHT(F_Interface!K$2,2),'Financial model inputs '!$A$3:$A$59,0),MATCH(F_Interface!$B344,'Financial model inputs '!$A$3:$AJ$3,0)),0)</f>
        <v>0</v>
      </c>
      <c r="L344" s="120">
        <f>_xlfn.IFNA(INDEX('Financial model inputs '!$A$3:$AJ$59,MATCH(F_Interface!$A344&amp;RIGHT(F_Interface!L$2,2),'Financial model inputs '!$A$3:$A$59,0),MATCH(F_Interface!$B344,'Financial model inputs '!$A$3:$AJ$3,0)),0)</f>
        <v>0</v>
      </c>
    </row>
    <row r="345" spans="1:12" x14ac:dyDescent="0.2">
      <c r="A345" s="9" t="s">
        <v>7</v>
      </c>
      <c r="B345" s="9" t="s">
        <v>257</v>
      </c>
      <c r="C345" s="10" t="str">
        <f t="shared" si="10"/>
        <v>SRNC_DUMMYOPEX_PR19CA008</v>
      </c>
      <c r="D345" s="120" t="s">
        <v>245</v>
      </c>
      <c r="E345" s="120"/>
      <c r="F345" s="143" t="s">
        <v>2</v>
      </c>
      <c r="G345" s="120"/>
      <c r="H345" s="120">
        <f>_xlfn.IFNA(INDEX('Financial model inputs '!$A$3:$AJ$59,MATCH(F_Interface!$A345&amp;RIGHT(F_Interface!H$2,2),'Financial model inputs '!$A$3:$A$59,0),MATCH(F_Interface!$B345,'Financial model inputs '!$A$3:$AJ$3,0)),0)</f>
        <v>0</v>
      </c>
      <c r="I345" s="120">
        <f>_xlfn.IFNA(INDEX('Financial model inputs '!$A$3:$AJ$59,MATCH(F_Interface!$A345&amp;RIGHT(F_Interface!I$2,2),'Financial model inputs '!$A$3:$A$59,0),MATCH(F_Interface!$B345,'Financial model inputs '!$A$3:$AJ$3,0)),0)</f>
        <v>0</v>
      </c>
      <c r="J345" s="120">
        <f>_xlfn.IFNA(INDEX('Financial model inputs '!$A$3:$AJ$59,MATCH(F_Interface!$A345&amp;RIGHT(F_Interface!J$2,2),'Financial model inputs '!$A$3:$A$59,0),MATCH(F_Interface!$B345,'Financial model inputs '!$A$3:$AJ$3,0)),0)</f>
        <v>0</v>
      </c>
      <c r="K345" s="120">
        <f>_xlfn.IFNA(INDEX('Financial model inputs '!$A$3:$AJ$59,MATCH(F_Interface!$A345&amp;RIGHT(F_Interface!K$2,2),'Financial model inputs '!$A$3:$A$59,0),MATCH(F_Interface!$B345,'Financial model inputs '!$A$3:$AJ$3,0)),0)</f>
        <v>0</v>
      </c>
      <c r="L345" s="120">
        <f>_xlfn.IFNA(INDEX('Financial model inputs '!$A$3:$AJ$59,MATCH(F_Interface!$A345&amp;RIGHT(F_Interface!L$2,2),'Financial model inputs '!$A$3:$A$59,0),MATCH(F_Interface!$B345,'Financial model inputs '!$A$3:$AJ$3,0)),0)</f>
        <v>0</v>
      </c>
    </row>
    <row r="346" spans="1:12" x14ac:dyDescent="0.2">
      <c r="A346" s="9" t="s">
        <v>116</v>
      </c>
      <c r="B346" s="9" t="s">
        <v>257</v>
      </c>
      <c r="C346" s="10" t="str">
        <f t="shared" si="10"/>
        <v>SVEC_DUMMYOPEX_PR19CA008</v>
      </c>
      <c r="D346" s="120" t="s">
        <v>245</v>
      </c>
      <c r="E346" s="120"/>
      <c r="F346" s="143" t="s">
        <v>2</v>
      </c>
      <c r="G346" s="120"/>
      <c r="H346" s="120">
        <f>_xlfn.IFNA(INDEX('Financial model inputs '!$A$3:$AJ$59,MATCH(F_Interface!$A346&amp;RIGHT(F_Interface!H$2,2),'Financial model inputs '!$A$3:$A$59,0),MATCH(F_Interface!$B346,'Financial model inputs '!$A$3:$AJ$3,0)),0)</f>
        <v>0</v>
      </c>
      <c r="I346" s="120">
        <f>_xlfn.IFNA(INDEX('Financial model inputs '!$A$3:$AJ$59,MATCH(F_Interface!$A346&amp;RIGHT(F_Interface!I$2,2),'Financial model inputs '!$A$3:$A$59,0),MATCH(F_Interface!$B346,'Financial model inputs '!$A$3:$AJ$3,0)),0)</f>
        <v>0</v>
      </c>
      <c r="J346" s="120">
        <f>_xlfn.IFNA(INDEX('Financial model inputs '!$A$3:$AJ$59,MATCH(F_Interface!$A346&amp;RIGHT(F_Interface!J$2,2),'Financial model inputs '!$A$3:$A$59,0),MATCH(F_Interface!$B346,'Financial model inputs '!$A$3:$AJ$3,0)),0)</f>
        <v>0</v>
      </c>
      <c r="K346" s="120">
        <f>_xlfn.IFNA(INDEX('Financial model inputs '!$A$3:$AJ$59,MATCH(F_Interface!$A346&amp;RIGHT(F_Interface!K$2,2),'Financial model inputs '!$A$3:$A$59,0),MATCH(F_Interface!$B346,'Financial model inputs '!$A$3:$AJ$3,0)),0)</f>
        <v>0</v>
      </c>
      <c r="L346" s="120">
        <f>_xlfn.IFNA(INDEX('Financial model inputs '!$A$3:$AJ$59,MATCH(F_Interface!$A346&amp;RIGHT(F_Interface!L$2,2),'Financial model inputs '!$A$3:$A$59,0),MATCH(F_Interface!$B346,'Financial model inputs '!$A$3:$AJ$3,0)),0)</f>
        <v>0</v>
      </c>
    </row>
    <row r="347" spans="1:12" x14ac:dyDescent="0.2">
      <c r="A347" s="9" t="s">
        <v>101</v>
      </c>
      <c r="B347" s="9" t="s">
        <v>257</v>
      </c>
      <c r="C347" s="10" t="str">
        <f t="shared" si="10"/>
        <v>SVHC_DUMMYOPEX_PR19CA008</v>
      </c>
      <c r="D347" s="120" t="s">
        <v>245</v>
      </c>
      <c r="E347" s="120"/>
      <c r="F347" s="143" t="s">
        <v>2</v>
      </c>
      <c r="G347" s="120"/>
      <c r="H347" s="120">
        <f>_xlfn.IFNA(INDEX('Financial model inputs '!$A$3:$AJ$59,MATCH(F_Interface!$A347&amp;RIGHT(F_Interface!H$2,2),'Financial model inputs '!$A$3:$A$59,0),MATCH(F_Interface!$B347,'Financial model inputs '!$A$3:$AJ$3,0)),0)</f>
        <v>0</v>
      </c>
      <c r="I347" s="120">
        <f>_xlfn.IFNA(INDEX('Financial model inputs '!$A$3:$AJ$59,MATCH(F_Interface!$A347&amp;RIGHT(F_Interface!I$2,2),'Financial model inputs '!$A$3:$A$59,0),MATCH(F_Interface!$B347,'Financial model inputs '!$A$3:$AJ$3,0)),0)</f>
        <v>0</v>
      </c>
      <c r="J347" s="120">
        <f>_xlfn.IFNA(INDEX('Financial model inputs '!$A$3:$AJ$59,MATCH(F_Interface!$A347&amp;RIGHT(F_Interface!J$2,2),'Financial model inputs '!$A$3:$A$59,0),MATCH(F_Interface!$B347,'Financial model inputs '!$A$3:$AJ$3,0)),0)</f>
        <v>0</v>
      </c>
      <c r="K347" s="120">
        <f>_xlfn.IFNA(INDEX('Financial model inputs '!$A$3:$AJ$59,MATCH(F_Interface!$A347&amp;RIGHT(F_Interface!K$2,2),'Financial model inputs '!$A$3:$A$59,0),MATCH(F_Interface!$B347,'Financial model inputs '!$A$3:$AJ$3,0)),0)</f>
        <v>0</v>
      </c>
      <c r="L347" s="120">
        <f>_xlfn.IFNA(INDEX('Financial model inputs '!$A$3:$AJ$59,MATCH(F_Interface!$A347&amp;RIGHT(F_Interface!L$2,2),'Financial model inputs '!$A$3:$A$59,0),MATCH(F_Interface!$B347,'Financial model inputs '!$A$3:$AJ$3,0)),0)</f>
        <v>0</v>
      </c>
    </row>
    <row r="348" spans="1:12" x14ac:dyDescent="0.2">
      <c r="A348" s="9" t="s">
        <v>8</v>
      </c>
      <c r="B348" s="9" t="s">
        <v>257</v>
      </c>
      <c r="C348" s="10" t="str">
        <f t="shared" si="10"/>
        <v>SVTC_DUMMYOPEX_PR19CA008</v>
      </c>
      <c r="D348" s="120" t="s">
        <v>245</v>
      </c>
      <c r="E348" s="120"/>
      <c r="F348" s="143" t="s">
        <v>2</v>
      </c>
      <c r="G348" s="120"/>
      <c r="H348" s="120">
        <f>_xlfn.IFNA(INDEX('Financial model inputs '!$A$3:$AJ$59,MATCH(F_Interface!$A348&amp;RIGHT(F_Interface!H$2,2),'Financial model inputs '!$A$3:$A$59,0),MATCH(F_Interface!$B348,'Financial model inputs '!$A$3:$AJ$3,0)),0)</f>
        <v>0</v>
      </c>
      <c r="I348" s="120">
        <f>_xlfn.IFNA(INDEX('Financial model inputs '!$A$3:$AJ$59,MATCH(F_Interface!$A348&amp;RIGHT(F_Interface!I$2,2),'Financial model inputs '!$A$3:$A$59,0),MATCH(F_Interface!$B348,'Financial model inputs '!$A$3:$AJ$3,0)),0)</f>
        <v>0</v>
      </c>
      <c r="J348" s="120">
        <f>_xlfn.IFNA(INDEX('Financial model inputs '!$A$3:$AJ$59,MATCH(F_Interface!$A348&amp;RIGHT(F_Interface!J$2,2),'Financial model inputs '!$A$3:$A$59,0),MATCH(F_Interface!$B348,'Financial model inputs '!$A$3:$AJ$3,0)),0)</f>
        <v>0</v>
      </c>
      <c r="K348" s="120">
        <f>_xlfn.IFNA(INDEX('Financial model inputs '!$A$3:$AJ$59,MATCH(F_Interface!$A348&amp;RIGHT(F_Interface!K$2,2),'Financial model inputs '!$A$3:$A$59,0),MATCH(F_Interface!$B348,'Financial model inputs '!$A$3:$AJ$3,0)),0)</f>
        <v>0</v>
      </c>
      <c r="L348" s="120">
        <f>_xlfn.IFNA(INDEX('Financial model inputs '!$A$3:$AJ$59,MATCH(F_Interface!$A348&amp;RIGHT(F_Interface!L$2,2),'Financial model inputs '!$A$3:$A$59,0),MATCH(F_Interface!$B348,'Financial model inputs '!$A$3:$AJ$3,0)),0)</f>
        <v>0</v>
      </c>
    </row>
    <row r="349" spans="1:12" x14ac:dyDescent="0.2">
      <c r="A349" s="9" t="s">
        <v>12</v>
      </c>
      <c r="B349" s="9" t="s">
        <v>257</v>
      </c>
      <c r="C349" s="10" t="str">
        <f t="shared" si="10"/>
        <v>SWBC_DUMMYOPEX_PR19CA008</v>
      </c>
      <c r="D349" s="120" t="s">
        <v>245</v>
      </c>
      <c r="E349" s="120"/>
      <c r="F349" s="143" t="s">
        <v>2</v>
      </c>
      <c r="G349" s="120"/>
      <c r="H349" s="120">
        <f>_xlfn.IFNA(INDEX('Financial model inputs '!$A$3:$AJ$59,MATCH(F_Interface!$A349&amp;RIGHT(F_Interface!H$2,2),'Financial model inputs '!$A$3:$A$59,0),MATCH(F_Interface!$B349,'Financial model inputs '!$A$3:$AJ$3,0)),0)</f>
        <v>0</v>
      </c>
      <c r="I349" s="120">
        <f>_xlfn.IFNA(INDEX('Financial model inputs '!$A$3:$AJ$59,MATCH(F_Interface!$A349&amp;RIGHT(F_Interface!I$2,2),'Financial model inputs '!$A$3:$A$59,0),MATCH(F_Interface!$B349,'Financial model inputs '!$A$3:$AJ$3,0)),0)</f>
        <v>0</v>
      </c>
      <c r="J349" s="120">
        <f>_xlfn.IFNA(INDEX('Financial model inputs '!$A$3:$AJ$59,MATCH(F_Interface!$A349&amp;RIGHT(F_Interface!J$2,2),'Financial model inputs '!$A$3:$A$59,0),MATCH(F_Interface!$B349,'Financial model inputs '!$A$3:$AJ$3,0)),0)</f>
        <v>0</v>
      </c>
      <c r="K349" s="120">
        <f>_xlfn.IFNA(INDEX('Financial model inputs '!$A$3:$AJ$59,MATCH(F_Interface!$A349&amp;RIGHT(F_Interface!K$2,2),'Financial model inputs '!$A$3:$A$59,0),MATCH(F_Interface!$B349,'Financial model inputs '!$A$3:$AJ$3,0)),0)</f>
        <v>0</v>
      </c>
      <c r="L349" s="120">
        <f>_xlfn.IFNA(INDEX('Financial model inputs '!$A$3:$AJ$59,MATCH(F_Interface!$A349&amp;RIGHT(F_Interface!L$2,2),'Financial model inputs '!$A$3:$A$59,0),MATCH(F_Interface!$B349,'Financial model inputs '!$A$3:$AJ$3,0)),0)</f>
        <v>0</v>
      </c>
    </row>
    <row r="350" spans="1:12" x14ac:dyDescent="0.2">
      <c r="A350" s="9" t="s">
        <v>9</v>
      </c>
      <c r="B350" s="9" t="s">
        <v>257</v>
      </c>
      <c r="C350" s="10" t="str">
        <f t="shared" si="10"/>
        <v>TMSC_DUMMYOPEX_PR19CA008</v>
      </c>
      <c r="D350" s="120" t="s">
        <v>245</v>
      </c>
      <c r="E350" s="120"/>
      <c r="F350" s="143" t="s">
        <v>2</v>
      </c>
      <c r="G350" s="120"/>
      <c r="H350" s="120">
        <f>_xlfn.IFNA(INDEX('Financial model inputs '!$A$3:$AJ$59,MATCH(F_Interface!$A350&amp;RIGHT(F_Interface!H$2,2),'Financial model inputs '!$A$3:$A$59,0),MATCH(F_Interface!$B350,'Financial model inputs '!$A$3:$AJ$3,0)),0)</f>
        <v>4.0612246738417603</v>
      </c>
      <c r="I350" s="120">
        <f>_xlfn.IFNA(INDEX('Financial model inputs '!$A$3:$AJ$59,MATCH(F_Interface!$A350&amp;RIGHT(F_Interface!I$2,2),'Financial model inputs '!$A$3:$A$59,0),MATCH(F_Interface!$B350,'Financial model inputs '!$A$3:$AJ$3,0)),0)</f>
        <v>5.5164122505436319</v>
      </c>
      <c r="J350" s="120">
        <f>_xlfn.IFNA(INDEX('Financial model inputs '!$A$3:$AJ$59,MATCH(F_Interface!$A350&amp;RIGHT(F_Interface!J$2,2),'Financial model inputs '!$A$3:$A$59,0),MATCH(F_Interface!$B350,'Financial model inputs '!$A$3:$AJ$3,0)),0)</f>
        <v>6.0171576737076364</v>
      </c>
      <c r="K350" s="120">
        <f>_xlfn.IFNA(INDEX('Financial model inputs '!$A$3:$AJ$59,MATCH(F_Interface!$A350&amp;RIGHT(F_Interface!K$2,2),'Financial model inputs '!$A$3:$A$59,0),MATCH(F_Interface!$B350,'Financial model inputs '!$A$3:$AJ$3,0)),0)</f>
        <v>6.5075928577135675</v>
      </c>
      <c r="L350" s="120">
        <f>_xlfn.IFNA(INDEX('Financial model inputs '!$A$3:$AJ$59,MATCH(F_Interface!$A350&amp;RIGHT(F_Interface!L$2,2),'Financial model inputs '!$A$3:$A$59,0),MATCH(F_Interface!$B350,'Financial model inputs '!$A$3:$AJ$3,0)),0)</f>
        <v>7.5771100265114448</v>
      </c>
    </row>
    <row r="351" spans="1:12" x14ac:dyDescent="0.2">
      <c r="A351" s="9" t="s">
        <v>15</v>
      </c>
      <c r="B351" s="9" t="s">
        <v>257</v>
      </c>
      <c r="C351" s="10" t="str">
        <f t="shared" si="10"/>
        <v>WSHC_DUMMYOPEX_PR19CA008</v>
      </c>
      <c r="D351" s="120" t="s">
        <v>245</v>
      </c>
      <c r="E351" s="120"/>
      <c r="F351" s="143" t="s">
        <v>2</v>
      </c>
      <c r="G351" s="120"/>
      <c r="H351" s="120">
        <f>_xlfn.IFNA(INDEX('Financial model inputs '!$A$3:$AJ$59,MATCH(F_Interface!$A351&amp;RIGHT(F_Interface!H$2,2),'Financial model inputs '!$A$3:$A$59,0),MATCH(F_Interface!$B351,'Financial model inputs '!$A$3:$AJ$3,0)),0)</f>
        <v>0</v>
      </c>
      <c r="I351" s="120">
        <f>_xlfn.IFNA(INDEX('Financial model inputs '!$A$3:$AJ$59,MATCH(F_Interface!$A351&amp;RIGHT(F_Interface!I$2,2),'Financial model inputs '!$A$3:$A$59,0),MATCH(F_Interface!$B351,'Financial model inputs '!$A$3:$AJ$3,0)),0)</f>
        <v>0</v>
      </c>
      <c r="J351" s="120">
        <f>_xlfn.IFNA(INDEX('Financial model inputs '!$A$3:$AJ$59,MATCH(F_Interface!$A351&amp;RIGHT(F_Interface!J$2,2),'Financial model inputs '!$A$3:$A$59,0),MATCH(F_Interface!$B351,'Financial model inputs '!$A$3:$AJ$3,0)),0)</f>
        <v>0</v>
      </c>
      <c r="K351" s="120">
        <f>_xlfn.IFNA(INDEX('Financial model inputs '!$A$3:$AJ$59,MATCH(F_Interface!$A351&amp;RIGHT(F_Interface!K$2,2),'Financial model inputs '!$A$3:$A$59,0),MATCH(F_Interface!$B351,'Financial model inputs '!$A$3:$AJ$3,0)),0)</f>
        <v>0</v>
      </c>
      <c r="L351" s="120">
        <f>_xlfn.IFNA(INDEX('Financial model inputs '!$A$3:$AJ$59,MATCH(F_Interface!$A351&amp;RIGHT(F_Interface!L$2,2),'Financial model inputs '!$A$3:$A$59,0),MATCH(F_Interface!$B351,'Financial model inputs '!$A$3:$AJ$3,0)),0)</f>
        <v>0</v>
      </c>
    </row>
    <row r="352" spans="1:12" x14ac:dyDescent="0.2">
      <c r="A352" s="9" t="s">
        <v>10</v>
      </c>
      <c r="B352" s="9" t="s">
        <v>257</v>
      </c>
      <c r="C352" s="10" t="str">
        <f t="shared" si="10"/>
        <v>WSXC_DUMMYOPEX_PR19CA008</v>
      </c>
      <c r="D352" s="120" t="s">
        <v>245</v>
      </c>
      <c r="E352" s="120"/>
      <c r="F352" s="143" t="s">
        <v>2</v>
      </c>
      <c r="G352" s="120"/>
      <c r="H352" s="120">
        <f>_xlfn.IFNA(INDEX('Financial model inputs '!$A$3:$AJ$59,MATCH(F_Interface!$A352&amp;RIGHT(F_Interface!H$2,2),'Financial model inputs '!$A$3:$A$59,0),MATCH(F_Interface!$B352,'Financial model inputs '!$A$3:$AJ$3,0)),0)</f>
        <v>0</v>
      </c>
      <c r="I352" s="120">
        <f>_xlfn.IFNA(INDEX('Financial model inputs '!$A$3:$AJ$59,MATCH(F_Interface!$A352&amp;RIGHT(F_Interface!I$2,2),'Financial model inputs '!$A$3:$A$59,0),MATCH(F_Interface!$B352,'Financial model inputs '!$A$3:$AJ$3,0)),0)</f>
        <v>0</v>
      </c>
      <c r="J352" s="120">
        <f>_xlfn.IFNA(INDEX('Financial model inputs '!$A$3:$AJ$59,MATCH(F_Interface!$A352&amp;RIGHT(F_Interface!J$2,2),'Financial model inputs '!$A$3:$A$59,0),MATCH(F_Interface!$B352,'Financial model inputs '!$A$3:$AJ$3,0)),0)</f>
        <v>0</v>
      </c>
      <c r="K352" s="120">
        <f>_xlfn.IFNA(INDEX('Financial model inputs '!$A$3:$AJ$59,MATCH(F_Interface!$A352&amp;RIGHT(F_Interface!K$2,2),'Financial model inputs '!$A$3:$A$59,0),MATCH(F_Interface!$B352,'Financial model inputs '!$A$3:$AJ$3,0)),0)</f>
        <v>0</v>
      </c>
      <c r="L352" s="120">
        <f>_xlfn.IFNA(INDEX('Financial model inputs '!$A$3:$AJ$59,MATCH(F_Interface!$A352&amp;RIGHT(F_Interface!L$2,2),'Financial model inputs '!$A$3:$A$59,0),MATCH(F_Interface!$B352,'Financial model inputs '!$A$3:$AJ$3,0)),0)</f>
        <v>0</v>
      </c>
    </row>
    <row r="353" spans="1:12" x14ac:dyDescent="0.2">
      <c r="A353" s="9" t="s">
        <v>11</v>
      </c>
      <c r="B353" s="9" t="s">
        <v>257</v>
      </c>
      <c r="C353" s="10" t="str">
        <f t="shared" si="10"/>
        <v>YKYC_DUMMYOPEX_PR19CA008</v>
      </c>
      <c r="D353" s="120" t="s">
        <v>245</v>
      </c>
      <c r="E353" s="120"/>
      <c r="F353" s="143" t="s">
        <v>2</v>
      </c>
      <c r="G353" s="120"/>
      <c r="H353" s="120">
        <f>_xlfn.IFNA(INDEX('Financial model inputs '!$A$3:$AJ$59,MATCH(F_Interface!$A353&amp;RIGHT(F_Interface!H$2,2),'Financial model inputs '!$A$3:$A$59,0),MATCH(F_Interface!$B353,'Financial model inputs '!$A$3:$AJ$3,0)),0)</f>
        <v>0</v>
      </c>
      <c r="I353" s="120">
        <f>_xlfn.IFNA(INDEX('Financial model inputs '!$A$3:$AJ$59,MATCH(F_Interface!$A353&amp;RIGHT(F_Interface!I$2,2),'Financial model inputs '!$A$3:$A$59,0),MATCH(F_Interface!$B353,'Financial model inputs '!$A$3:$AJ$3,0)),0)</f>
        <v>0</v>
      </c>
      <c r="J353" s="120">
        <f>_xlfn.IFNA(INDEX('Financial model inputs '!$A$3:$AJ$59,MATCH(F_Interface!$A353&amp;RIGHT(F_Interface!J$2,2),'Financial model inputs '!$A$3:$A$59,0),MATCH(F_Interface!$B353,'Financial model inputs '!$A$3:$AJ$3,0)),0)</f>
        <v>0</v>
      </c>
      <c r="K353" s="120">
        <f>_xlfn.IFNA(INDEX('Financial model inputs '!$A$3:$AJ$59,MATCH(F_Interface!$A353&amp;RIGHT(F_Interface!K$2,2),'Financial model inputs '!$A$3:$A$59,0),MATCH(F_Interface!$B353,'Financial model inputs '!$A$3:$AJ$3,0)),0)</f>
        <v>0</v>
      </c>
      <c r="L353" s="120">
        <f>_xlfn.IFNA(INDEX('Financial model inputs '!$A$3:$AJ$59,MATCH(F_Interface!$A353&amp;RIGHT(F_Interface!L$2,2),'Financial model inputs '!$A$3:$A$59,0),MATCH(F_Interface!$B353,'Financial model inputs '!$A$3:$AJ$3,0)),0)</f>
        <v>0</v>
      </c>
    </row>
    <row r="354" spans="1:12" x14ac:dyDescent="0.2">
      <c r="A354" s="9" t="s">
        <v>4</v>
      </c>
      <c r="B354" s="9" t="s">
        <v>258</v>
      </c>
      <c r="C354" s="10" t="str">
        <f t="shared" si="10"/>
        <v>ANHC_DUMMYCAPEX_PR19CA008</v>
      </c>
      <c r="D354" s="120" t="s">
        <v>265</v>
      </c>
      <c r="E354" s="120"/>
      <c r="F354" s="143" t="s">
        <v>2</v>
      </c>
      <c r="G354" s="120"/>
      <c r="H354" s="120">
        <f>_xlfn.IFNA(INDEX('Financial model inputs '!$A$3:$AJ$59,MATCH(F_Interface!$A354&amp;RIGHT(F_Interface!H$2,2),'Financial model inputs '!$A$3:$A$59,0),MATCH(F_Interface!$B354,'Financial model inputs '!$A$3:$AJ$3,0)),0)</f>
        <v>0</v>
      </c>
      <c r="I354" s="120">
        <f>_xlfn.IFNA(INDEX('Financial model inputs '!$A$3:$AJ$59,MATCH(F_Interface!$A354&amp;RIGHT(F_Interface!I$2,2),'Financial model inputs '!$A$3:$A$59,0),MATCH(F_Interface!$B354,'Financial model inputs '!$A$3:$AJ$3,0)),0)</f>
        <v>0</v>
      </c>
      <c r="J354" s="120">
        <f>_xlfn.IFNA(INDEX('Financial model inputs '!$A$3:$AJ$59,MATCH(F_Interface!$A354&amp;RIGHT(F_Interface!J$2,2),'Financial model inputs '!$A$3:$A$59,0),MATCH(F_Interface!$B354,'Financial model inputs '!$A$3:$AJ$3,0)),0)</f>
        <v>0</v>
      </c>
      <c r="K354" s="120">
        <f>_xlfn.IFNA(INDEX('Financial model inputs '!$A$3:$AJ$59,MATCH(F_Interface!$A354&amp;RIGHT(F_Interface!K$2,2),'Financial model inputs '!$A$3:$A$59,0),MATCH(F_Interface!$B354,'Financial model inputs '!$A$3:$AJ$3,0)),0)</f>
        <v>0</v>
      </c>
      <c r="L354" s="120">
        <f>_xlfn.IFNA(INDEX('Financial model inputs '!$A$3:$AJ$59,MATCH(F_Interface!$A354&amp;RIGHT(F_Interface!L$2,2),'Financial model inputs '!$A$3:$A$59,0),MATCH(F_Interface!$B354,'Financial model inputs '!$A$3:$AJ$3,0)),0)</f>
        <v>0</v>
      </c>
    </row>
    <row r="355" spans="1:12" x14ac:dyDescent="0.2">
      <c r="A355" s="9" t="s">
        <v>87</v>
      </c>
      <c r="B355" s="9" t="s">
        <v>258</v>
      </c>
      <c r="C355" s="10" t="str">
        <f t="shared" si="10"/>
        <v>HDDC_DUMMYCAPEX_PR19CA008</v>
      </c>
      <c r="D355" s="120" t="s">
        <v>265</v>
      </c>
      <c r="E355" s="120"/>
      <c r="F355" s="143" t="s">
        <v>2</v>
      </c>
      <c r="G355" s="120"/>
      <c r="H355" s="120">
        <f>_xlfn.IFNA(INDEX('Financial model inputs '!$A$3:$AJ$59,MATCH(F_Interface!$A355&amp;RIGHT(F_Interface!H$2,2),'Financial model inputs '!$A$3:$A$59,0),MATCH(F_Interface!$B355,'Financial model inputs '!$A$3:$AJ$3,0)),0)</f>
        <v>0</v>
      </c>
      <c r="I355" s="120">
        <f>_xlfn.IFNA(INDEX('Financial model inputs '!$A$3:$AJ$59,MATCH(F_Interface!$A355&amp;RIGHT(F_Interface!I$2,2),'Financial model inputs '!$A$3:$A$59,0),MATCH(F_Interface!$B355,'Financial model inputs '!$A$3:$AJ$3,0)),0)</f>
        <v>0</v>
      </c>
      <c r="J355" s="120">
        <f>_xlfn.IFNA(INDEX('Financial model inputs '!$A$3:$AJ$59,MATCH(F_Interface!$A355&amp;RIGHT(F_Interface!J$2,2),'Financial model inputs '!$A$3:$A$59,0),MATCH(F_Interface!$B355,'Financial model inputs '!$A$3:$AJ$3,0)),0)</f>
        <v>0</v>
      </c>
      <c r="K355" s="120">
        <f>_xlfn.IFNA(INDEX('Financial model inputs '!$A$3:$AJ$59,MATCH(F_Interface!$A355&amp;RIGHT(F_Interface!K$2,2),'Financial model inputs '!$A$3:$A$59,0),MATCH(F_Interface!$B355,'Financial model inputs '!$A$3:$AJ$3,0)),0)</f>
        <v>0</v>
      </c>
      <c r="L355" s="120">
        <f>_xlfn.IFNA(INDEX('Financial model inputs '!$A$3:$AJ$59,MATCH(F_Interface!$A355&amp;RIGHT(F_Interface!L$2,2),'Financial model inputs '!$A$3:$A$59,0),MATCH(F_Interface!$B355,'Financial model inputs '!$A$3:$AJ$3,0)),0)</f>
        <v>0</v>
      </c>
    </row>
    <row r="356" spans="1:12" x14ac:dyDescent="0.2">
      <c r="A356" s="9" t="s">
        <v>5</v>
      </c>
      <c r="B356" s="9" t="s">
        <v>258</v>
      </c>
      <c r="C356" s="10" t="str">
        <f t="shared" si="10"/>
        <v>NESC_DUMMYCAPEX_PR19CA008</v>
      </c>
      <c r="D356" s="120" t="s">
        <v>265</v>
      </c>
      <c r="E356" s="120"/>
      <c r="F356" s="143" t="s">
        <v>2</v>
      </c>
      <c r="G356" s="120"/>
      <c r="H356" s="120">
        <f>_xlfn.IFNA(INDEX('Financial model inputs '!$A$3:$AJ$59,MATCH(F_Interface!$A356&amp;RIGHT(F_Interface!H$2,2),'Financial model inputs '!$A$3:$A$59,0),MATCH(F_Interface!$B356,'Financial model inputs '!$A$3:$AJ$3,0)),0)</f>
        <v>0</v>
      </c>
      <c r="I356" s="120">
        <f>_xlfn.IFNA(INDEX('Financial model inputs '!$A$3:$AJ$59,MATCH(F_Interface!$A356&amp;RIGHT(F_Interface!I$2,2),'Financial model inputs '!$A$3:$A$59,0),MATCH(F_Interface!$B356,'Financial model inputs '!$A$3:$AJ$3,0)),0)</f>
        <v>0</v>
      </c>
      <c r="J356" s="120">
        <f>_xlfn.IFNA(INDEX('Financial model inputs '!$A$3:$AJ$59,MATCH(F_Interface!$A356&amp;RIGHT(F_Interface!J$2,2),'Financial model inputs '!$A$3:$A$59,0),MATCH(F_Interface!$B356,'Financial model inputs '!$A$3:$AJ$3,0)),0)</f>
        <v>0</v>
      </c>
      <c r="K356" s="120">
        <f>_xlfn.IFNA(INDEX('Financial model inputs '!$A$3:$AJ$59,MATCH(F_Interface!$A356&amp;RIGHT(F_Interface!K$2,2),'Financial model inputs '!$A$3:$A$59,0),MATCH(F_Interface!$B356,'Financial model inputs '!$A$3:$AJ$3,0)),0)</f>
        <v>0</v>
      </c>
      <c r="L356" s="120">
        <f>_xlfn.IFNA(INDEX('Financial model inputs '!$A$3:$AJ$59,MATCH(F_Interface!$A356&amp;RIGHT(F_Interface!L$2,2),'Financial model inputs '!$A$3:$A$59,0),MATCH(F_Interface!$B356,'Financial model inputs '!$A$3:$AJ$3,0)),0)</f>
        <v>0</v>
      </c>
    </row>
    <row r="357" spans="1:12" x14ac:dyDescent="0.2">
      <c r="A357" s="9" t="s">
        <v>6</v>
      </c>
      <c r="B357" s="9" t="s">
        <v>258</v>
      </c>
      <c r="C357" s="10" t="str">
        <f t="shared" si="10"/>
        <v>NWTC_DUMMYCAPEX_PR19CA008</v>
      </c>
      <c r="D357" s="120" t="s">
        <v>265</v>
      </c>
      <c r="E357" s="120"/>
      <c r="F357" s="143" t="s">
        <v>2</v>
      </c>
      <c r="G357" s="120"/>
      <c r="H357" s="120">
        <f>_xlfn.IFNA(INDEX('Financial model inputs '!$A$3:$AJ$59,MATCH(F_Interface!$A357&amp;RIGHT(F_Interface!H$2,2),'Financial model inputs '!$A$3:$A$59,0),MATCH(F_Interface!$B357,'Financial model inputs '!$A$3:$AJ$3,0)),0)</f>
        <v>0</v>
      </c>
      <c r="I357" s="120">
        <f>_xlfn.IFNA(INDEX('Financial model inputs '!$A$3:$AJ$59,MATCH(F_Interface!$A357&amp;RIGHT(F_Interface!I$2,2),'Financial model inputs '!$A$3:$A$59,0),MATCH(F_Interface!$B357,'Financial model inputs '!$A$3:$AJ$3,0)),0)</f>
        <v>0</v>
      </c>
      <c r="J357" s="120">
        <f>_xlfn.IFNA(INDEX('Financial model inputs '!$A$3:$AJ$59,MATCH(F_Interface!$A357&amp;RIGHT(F_Interface!J$2,2),'Financial model inputs '!$A$3:$A$59,0),MATCH(F_Interface!$B357,'Financial model inputs '!$A$3:$AJ$3,0)),0)</f>
        <v>0</v>
      </c>
      <c r="K357" s="120">
        <f>_xlfn.IFNA(INDEX('Financial model inputs '!$A$3:$AJ$59,MATCH(F_Interface!$A357&amp;RIGHT(F_Interface!K$2,2),'Financial model inputs '!$A$3:$A$59,0),MATCH(F_Interface!$B357,'Financial model inputs '!$A$3:$AJ$3,0)),0)</f>
        <v>0</v>
      </c>
      <c r="L357" s="120">
        <f>_xlfn.IFNA(INDEX('Financial model inputs '!$A$3:$AJ$59,MATCH(F_Interface!$A357&amp;RIGHT(F_Interface!L$2,2),'Financial model inputs '!$A$3:$A$59,0),MATCH(F_Interface!$B357,'Financial model inputs '!$A$3:$AJ$3,0)),0)</f>
        <v>0</v>
      </c>
    </row>
    <row r="358" spans="1:12" x14ac:dyDescent="0.2">
      <c r="A358" s="9" t="s">
        <v>7</v>
      </c>
      <c r="B358" s="9" t="s">
        <v>258</v>
      </c>
      <c r="C358" s="10" t="str">
        <f t="shared" si="10"/>
        <v>SRNC_DUMMYCAPEX_PR19CA008</v>
      </c>
      <c r="D358" s="120" t="s">
        <v>265</v>
      </c>
      <c r="E358" s="120"/>
      <c r="F358" s="143" t="s">
        <v>2</v>
      </c>
      <c r="G358" s="120"/>
      <c r="H358" s="120">
        <f>_xlfn.IFNA(INDEX('Financial model inputs '!$A$3:$AJ$59,MATCH(F_Interface!$A358&amp;RIGHT(F_Interface!H$2,2),'Financial model inputs '!$A$3:$A$59,0),MATCH(F_Interface!$B358,'Financial model inputs '!$A$3:$AJ$3,0)),0)</f>
        <v>0</v>
      </c>
      <c r="I358" s="120">
        <f>_xlfn.IFNA(INDEX('Financial model inputs '!$A$3:$AJ$59,MATCH(F_Interface!$A358&amp;RIGHT(F_Interface!I$2,2),'Financial model inputs '!$A$3:$A$59,0),MATCH(F_Interface!$B358,'Financial model inputs '!$A$3:$AJ$3,0)),0)</f>
        <v>0</v>
      </c>
      <c r="J358" s="120">
        <f>_xlfn.IFNA(INDEX('Financial model inputs '!$A$3:$AJ$59,MATCH(F_Interface!$A358&amp;RIGHT(F_Interface!J$2,2),'Financial model inputs '!$A$3:$A$59,0),MATCH(F_Interface!$B358,'Financial model inputs '!$A$3:$AJ$3,0)),0)</f>
        <v>0</v>
      </c>
      <c r="K358" s="120">
        <f>_xlfn.IFNA(INDEX('Financial model inputs '!$A$3:$AJ$59,MATCH(F_Interface!$A358&amp;RIGHT(F_Interface!K$2,2),'Financial model inputs '!$A$3:$A$59,0),MATCH(F_Interface!$B358,'Financial model inputs '!$A$3:$AJ$3,0)),0)</f>
        <v>0</v>
      </c>
      <c r="L358" s="120">
        <f>_xlfn.IFNA(INDEX('Financial model inputs '!$A$3:$AJ$59,MATCH(F_Interface!$A358&amp;RIGHT(F_Interface!L$2,2),'Financial model inputs '!$A$3:$A$59,0),MATCH(F_Interface!$B358,'Financial model inputs '!$A$3:$AJ$3,0)),0)</f>
        <v>0</v>
      </c>
    </row>
    <row r="359" spans="1:12" x14ac:dyDescent="0.2">
      <c r="A359" s="9" t="s">
        <v>116</v>
      </c>
      <c r="B359" s="9" t="s">
        <v>258</v>
      </c>
      <c r="C359" s="10" t="str">
        <f t="shared" si="10"/>
        <v>SVEC_DUMMYCAPEX_PR19CA008</v>
      </c>
      <c r="D359" s="120" t="s">
        <v>265</v>
      </c>
      <c r="E359" s="120"/>
      <c r="F359" s="143" t="s">
        <v>2</v>
      </c>
      <c r="G359" s="120"/>
      <c r="H359" s="120">
        <f>_xlfn.IFNA(INDEX('Financial model inputs '!$A$3:$AJ$59,MATCH(F_Interface!$A359&amp;RIGHT(F_Interface!H$2,2),'Financial model inputs '!$A$3:$A$59,0),MATCH(F_Interface!$B359,'Financial model inputs '!$A$3:$AJ$3,0)),0)</f>
        <v>0</v>
      </c>
      <c r="I359" s="120">
        <f>_xlfn.IFNA(INDEX('Financial model inputs '!$A$3:$AJ$59,MATCH(F_Interface!$A359&amp;RIGHT(F_Interface!I$2,2),'Financial model inputs '!$A$3:$A$59,0),MATCH(F_Interface!$B359,'Financial model inputs '!$A$3:$AJ$3,0)),0)</f>
        <v>0</v>
      </c>
      <c r="J359" s="120">
        <f>_xlfn.IFNA(INDEX('Financial model inputs '!$A$3:$AJ$59,MATCH(F_Interface!$A359&amp;RIGHT(F_Interface!J$2,2),'Financial model inputs '!$A$3:$A$59,0),MATCH(F_Interface!$B359,'Financial model inputs '!$A$3:$AJ$3,0)),0)</f>
        <v>0</v>
      </c>
      <c r="K359" s="120">
        <f>_xlfn.IFNA(INDEX('Financial model inputs '!$A$3:$AJ$59,MATCH(F_Interface!$A359&amp;RIGHT(F_Interface!K$2,2),'Financial model inputs '!$A$3:$A$59,0),MATCH(F_Interface!$B359,'Financial model inputs '!$A$3:$AJ$3,0)),0)</f>
        <v>0</v>
      </c>
      <c r="L359" s="120">
        <f>_xlfn.IFNA(INDEX('Financial model inputs '!$A$3:$AJ$59,MATCH(F_Interface!$A359&amp;RIGHT(F_Interface!L$2,2),'Financial model inputs '!$A$3:$A$59,0),MATCH(F_Interface!$B359,'Financial model inputs '!$A$3:$AJ$3,0)),0)</f>
        <v>0</v>
      </c>
    </row>
    <row r="360" spans="1:12" x14ac:dyDescent="0.2">
      <c r="A360" s="9" t="s">
        <v>101</v>
      </c>
      <c r="B360" s="9" t="s">
        <v>258</v>
      </c>
      <c r="C360" s="10" t="str">
        <f t="shared" si="10"/>
        <v>SVHC_DUMMYCAPEX_PR19CA008</v>
      </c>
      <c r="D360" s="120" t="s">
        <v>265</v>
      </c>
      <c r="E360" s="120"/>
      <c r="F360" s="143" t="s">
        <v>2</v>
      </c>
      <c r="G360" s="120"/>
      <c r="H360" s="120">
        <f>_xlfn.IFNA(INDEX('Financial model inputs '!$A$3:$AJ$59,MATCH(F_Interface!$A360&amp;RIGHT(F_Interface!H$2,2),'Financial model inputs '!$A$3:$A$59,0),MATCH(F_Interface!$B360,'Financial model inputs '!$A$3:$AJ$3,0)),0)</f>
        <v>0</v>
      </c>
      <c r="I360" s="120">
        <f>_xlfn.IFNA(INDEX('Financial model inputs '!$A$3:$AJ$59,MATCH(F_Interface!$A360&amp;RIGHT(F_Interface!I$2,2),'Financial model inputs '!$A$3:$A$59,0),MATCH(F_Interface!$B360,'Financial model inputs '!$A$3:$AJ$3,0)),0)</f>
        <v>0</v>
      </c>
      <c r="J360" s="120">
        <f>_xlfn.IFNA(INDEX('Financial model inputs '!$A$3:$AJ$59,MATCH(F_Interface!$A360&amp;RIGHT(F_Interface!J$2,2),'Financial model inputs '!$A$3:$A$59,0),MATCH(F_Interface!$B360,'Financial model inputs '!$A$3:$AJ$3,0)),0)</f>
        <v>0</v>
      </c>
      <c r="K360" s="120">
        <f>_xlfn.IFNA(INDEX('Financial model inputs '!$A$3:$AJ$59,MATCH(F_Interface!$A360&amp;RIGHT(F_Interface!K$2,2),'Financial model inputs '!$A$3:$A$59,0),MATCH(F_Interface!$B360,'Financial model inputs '!$A$3:$AJ$3,0)),0)</f>
        <v>0</v>
      </c>
      <c r="L360" s="120">
        <f>_xlfn.IFNA(INDEX('Financial model inputs '!$A$3:$AJ$59,MATCH(F_Interface!$A360&amp;RIGHT(F_Interface!L$2,2),'Financial model inputs '!$A$3:$A$59,0),MATCH(F_Interface!$B360,'Financial model inputs '!$A$3:$AJ$3,0)),0)</f>
        <v>0</v>
      </c>
    </row>
    <row r="361" spans="1:12" x14ac:dyDescent="0.2">
      <c r="A361" s="9" t="s">
        <v>8</v>
      </c>
      <c r="B361" s="9" t="s">
        <v>258</v>
      </c>
      <c r="C361" s="10" t="str">
        <f t="shared" si="10"/>
        <v>SVTC_DUMMYCAPEX_PR19CA008</v>
      </c>
      <c r="D361" s="120" t="s">
        <v>265</v>
      </c>
      <c r="E361" s="120"/>
      <c r="F361" s="143" t="s">
        <v>2</v>
      </c>
      <c r="G361" s="120"/>
      <c r="H361" s="120">
        <f>_xlfn.IFNA(INDEX('Financial model inputs '!$A$3:$AJ$59,MATCH(F_Interface!$A361&amp;RIGHT(F_Interface!H$2,2),'Financial model inputs '!$A$3:$A$59,0),MATCH(F_Interface!$B361,'Financial model inputs '!$A$3:$AJ$3,0)),0)</f>
        <v>0</v>
      </c>
      <c r="I361" s="120">
        <f>_xlfn.IFNA(INDEX('Financial model inputs '!$A$3:$AJ$59,MATCH(F_Interface!$A361&amp;RIGHT(F_Interface!I$2,2),'Financial model inputs '!$A$3:$A$59,0),MATCH(F_Interface!$B361,'Financial model inputs '!$A$3:$AJ$3,0)),0)</f>
        <v>0</v>
      </c>
      <c r="J361" s="120">
        <f>_xlfn.IFNA(INDEX('Financial model inputs '!$A$3:$AJ$59,MATCH(F_Interface!$A361&amp;RIGHT(F_Interface!J$2,2),'Financial model inputs '!$A$3:$A$59,0),MATCH(F_Interface!$B361,'Financial model inputs '!$A$3:$AJ$3,0)),0)</f>
        <v>0</v>
      </c>
      <c r="K361" s="120">
        <f>_xlfn.IFNA(INDEX('Financial model inputs '!$A$3:$AJ$59,MATCH(F_Interface!$A361&amp;RIGHT(F_Interface!K$2,2),'Financial model inputs '!$A$3:$A$59,0),MATCH(F_Interface!$B361,'Financial model inputs '!$A$3:$AJ$3,0)),0)</f>
        <v>0</v>
      </c>
      <c r="L361" s="120">
        <f>_xlfn.IFNA(INDEX('Financial model inputs '!$A$3:$AJ$59,MATCH(F_Interface!$A361&amp;RIGHT(F_Interface!L$2,2),'Financial model inputs '!$A$3:$A$59,0),MATCH(F_Interface!$B361,'Financial model inputs '!$A$3:$AJ$3,0)),0)</f>
        <v>0</v>
      </c>
    </row>
    <row r="362" spans="1:12" x14ac:dyDescent="0.2">
      <c r="A362" s="9" t="s">
        <v>12</v>
      </c>
      <c r="B362" s="9" t="s">
        <v>258</v>
      </c>
      <c r="C362" s="10" t="str">
        <f t="shared" ref="C362:C420" si="11">A362&amp;B362</f>
        <v>SWBC_DUMMYCAPEX_PR19CA008</v>
      </c>
      <c r="D362" s="120" t="s">
        <v>265</v>
      </c>
      <c r="E362" s="120"/>
      <c r="F362" s="143" t="s">
        <v>2</v>
      </c>
      <c r="G362" s="120"/>
      <c r="H362" s="120">
        <f>_xlfn.IFNA(INDEX('Financial model inputs '!$A$3:$AJ$59,MATCH(F_Interface!$A362&amp;RIGHT(F_Interface!H$2,2),'Financial model inputs '!$A$3:$A$59,0),MATCH(F_Interface!$B362,'Financial model inputs '!$A$3:$AJ$3,0)),0)</f>
        <v>0</v>
      </c>
      <c r="I362" s="120">
        <f>_xlfn.IFNA(INDEX('Financial model inputs '!$A$3:$AJ$59,MATCH(F_Interface!$A362&amp;RIGHT(F_Interface!I$2,2),'Financial model inputs '!$A$3:$A$59,0),MATCH(F_Interface!$B362,'Financial model inputs '!$A$3:$AJ$3,0)),0)</f>
        <v>0</v>
      </c>
      <c r="J362" s="120">
        <f>_xlfn.IFNA(INDEX('Financial model inputs '!$A$3:$AJ$59,MATCH(F_Interface!$A362&amp;RIGHT(F_Interface!J$2,2),'Financial model inputs '!$A$3:$A$59,0),MATCH(F_Interface!$B362,'Financial model inputs '!$A$3:$AJ$3,0)),0)</f>
        <v>0</v>
      </c>
      <c r="K362" s="120">
        <f>_xlfn.IFNA(INDEX('Financial model inputs '!$A$3:$AJ$59,MATCH(F_Interface!$A362&amp;RIGHT(F_Interface!K$2,2),'Financial model inputs '!$A$3:$A$59,0),MATCH(F_Interface!$B362,'Financial model inputs '!$A$3:$AJ$3,0)),0)</f>
        <v>0</v>
      </c>
      <c r="L362" s="120">
        <f>_xlfn.IFNA(INDEX('Financial model inputs '!$A$3:$AJ$59,MATCH(F_Interface!$A362&amp;RIGHT(F_Interface!L$2,2),'Financial model inputs '!$A$3:$A$59,0),MATCH(F_Interface!$B362,'Financial model inputs '!$A$3:$AJ$3,0)),0)</f>
        <v>0</v>
      </c>
    </row>
    <row r="363" spans="1:12" x14ac:dyDescent="0.2">
      <c r="A363" s="9" t="s">
        <v>9</v>
      </c>
      <c r="B363" s="9" t="s">
        <v>258</v>
      </c>
      <c r="C363" s="10" t="str">
        <f t="shared" si="11"/>
        <v>TMSC_DUMMYCAPEX_PR19CA008</v>
      </c>
      <c r="D363" s="120" t="s">
        <v>265</v>
      </c>
      <c r="E363" s="120"/>
      <c r="F363" s="143" t="s">
        <v>2</v>
      </c>
      <c r="G363" s="120"/>
      <c r="H363" s="120">
        <f>_xlfn.IFNA(INDEX('Financial model inputs '!$A$3:$AJ$59,MATCH(F_Interface!$A363&amp;RIGHT(F_Interface!H$2,2),'Financial model inputs '!$A$3:$A$59,0),MATCH(F_Interface!$B363,'Financial model inputs '!$A$3:$AJ$3,0)),0)</f>
        <v>32.799667293662608</v>
      </c>
      <c r="I363" s="120">
        <f>_xlfn.IFNA(INDEX('Financial model inputs '!$A$3:$AJ$59,MATCH(F_Interface!$A363&amp;RIGHT(F_Interface!I$2,2),'Financial model inputs '!$A$3:$A$59,0),MATCH(F_Interface!$B363,'Financial model inputs '!$A$3:$AJ$3,0)),0)</f>
        <v>48.644685890724901</v>
      </c>
      <c r="J363" s="120">
        <f>_xlfn.IFNA(INDEX('Financial model inputs '!$A$3:$AJ$59,MATCH(F_Interface!$A363&amp;RIGHT(F_Interface!J$2,2),'Financial model inputs '!$A$3:$A$59,0),MATCH(F_Interface!$B363,'Financial model inputs '!$A$3:$AJ$3,0)),0)</f>
        <v>26.115193515183883</v>
      </c>
      <c r="K363" s="120">
        <f>_xlfn.IFNA(INDEX('Financial model inputs '!$A$3:$AJ$59,MATCH(F_Interface!$A363&amp;RIGHT(F_Interface!K$2,2),'Financial model inputs '!$A$3:$A$59,0),MATCH(F_Interface!$B363,'Financial model inputs '!$A$3:$AJ$3,0)),0)</f>
        <v>-212.74639439375238</v>
      </c>
      <c r="L363" s="120">
        <f>_xlfn.IFNA(INDEX('Financial model inputs '!$A$3:$AJ$59,MATCH(F_Interface!$A363&amp;RIGHT(F_Interface!L$2,2),'Financial model inputs '!$A$3:$A$59,0),MATCH(F_Interface!$B363,'Financial model inputs '!$A$3:$AJ$3,0)),0)</f>
        <v>-252.17555303923692</v>
      </c>
    </row>
    <row r="364" spans="1:12" x14ac:dyDescent="0.2">
      <c r="A364" s="9" t="s">
        <v>15</v>
      </c>
      <c r="B364" s="9" t="s">
        <v>258</v>
      </c>
      <c r="C364" s="10" t="str">
        <f t="shared" si="11"/>
        <v>WSHC_DUMMYCAPEX_PR19CA008</v>
      </c>
      <c r="D364" s="120" t="s">
        <v>265</v>
      </c>
      <c r="E364" s="120"/>
      <c r="F364" s="143" t="s">
        <v>2</v>
      </c>
      <c r="G364" s="120"/>
      <c r="H364" s="120">
        <f>_xlfn.IFNA(INDEX('Financial model inputs '!$A$3:$AJ$59,MATCH(F_Interface!$A364&amp;RIGHT(F_Interface!H$2,2),'Financial model inputs '!$A$3:$A$59,0),MATCH(F_Interface!$B364,'Financial model inputs '!$A$3:$AJ$3,0)),0)</f>
        <v>0</v>
      </c>
      <c r="I364" s="120">
        <f>_xlfn.IFNA(INDEX('Financial model inputs '!$A$3:$AJ$59,MATCH(F_Interface!$A364&amp;RIGHT(F_Interface!I$2,2),'Financial model inputs '!$A$3:$A$59,0),MATCH(F_Interface!$B364,'Financial model inputs '!$A$3:$AJ$3,0)),0)</f>
        <v>0</v>
      </c>
      <c r="J364" s="120">
        <f>_xlfn.IFNA(INDEX('Financial model inputs '!$A$3:$AJ$59,MATCH(F_Interface!$A364&amp;RIGHT(F_Interface!J$2,2),'Financial model inputs '!$A$3:$A$59,0),MATCH(F_Interface!$B364,'Financial model inputs '!$A$3:$AJ$3,0)),0)</f>
        <v>0</v>
      </c>
      <c r="K364" s="120">
        <f>_xlfn.IFNA(INDEX('Financial model inputs '!$A$3:$AJ$59,MATCH(F_Interface!$A364&amp;RIGHT(F_Interface!K$2,2),'Financial model inputs '!$A$3:$A$59,0),MATCH(F_Interface!$B364,'Financial model inputs '!$A$3:$AJ$3,0)),0)</f>
        <v>0</v>
      </c>
      <c r="L364" s="120">
        <f>_xlfn.IFNA(INDEX('Financial model inputs '!$A$3:$AJ$59,MATCH(F_Interface!$A364&amp;RIGHT(F_Interface!L$2,2),'Financial model inputs '!$A$3:$A$59,0),MATCH(F_Interface!$B364,'Financial model inputs '!$A$3:$AJ$3,0)),0)</f>
        <v>0</v>
      </c>
    </row>
    <row r="365" spans="1:12" x14ac:dyDescent="0.2">
      <c r="A365" s="9" t="s">
        <v>10</v>
      </c>
      <c r="B365" s="9" t="s">
        <v>258</v>
      </c>
      <c r="C365" s="10" t="str">
        <f t="shared" si="11"/>
        <v>WSXC_DUMMYCAPEX_PR19CA008</v>
      </c>
      <c r="D365" s="120" t="s">
        <v>265</v>
      </c>
      <c r="E365" s="120"/>
      <c r="F365" s="143" t="s">
        <v>2</v>
      </c>
      <c r="G365" s="120"/>
      <c r="H365" s="120">
        <f>_xlfn.IFNA(INDEX('Financial model inputs '!$A$3:$AJ$59,MATCH(F_Interface!$A365&amp;RIGHT(F_Interface!H$2,2),'Financial model inputs '!$A$3:$A$59,0),MATCH(F_Interface!$B365,'Financial model inputs '!$A$3:$AJ$3,0)),0)</f>
        <v>0</v>
      </c>
      <c r="I365" s="120">
        <f>_xlfn.IFNA(INDEX('Financial model inputs '!$A$3:$AJ$59,MATCH(F_Interface!$A365&amp;RIGHT(F_Interface!I$2,2),'Financial model inputs '!$A$3:$A$59,0),MATCH(F_Interface!$B365,'Financial model inputs '!$A$3:$AJ$3,0)),0)</f>
        <v>0</v>
      </c>
      <c r="J365" s="120">
        <f>_xlfn.IFNA(INDEX('Financial model inputs '!$A$3:$AJ$59,MATCH(F_Interface!$A365&amp;RIGHT(F_Interface!J$2,2),'Financial model inputs '!$A$3:$A$59,0),MATCH(F_Interface!$B365,'Financial model inputs '!$A$3:$AJ$3,0)),0)</f>
        <v>0</v>
      </c>
      <c r="K365" s="120">
        <f>_xlfn.IFNA(INDEX('Financial model inputs '!$A$3:$AJ$59,MATCH(F_Interface!$A365&amp;RIGHT(F_Interface!K$2,2),'Financial model inputs '!$A$3:$A$59,0),MATCH(F_Interface!$B365,'Financial model inputs '!$A$3:$AJ$3,0)),0)</f>
        <v>0</v>
      </c>
      <c r="L365" s="120">
        <f>_xlfn.IFNA(INDEX('Financial model inputs '!$A$3:$AJ$59,MATCH(F_Interface!$A365&amp;RIGHT(F_Interface!L$2,2),'Financial model inputs '!$A$3:$A$59,0),MATCH(F_Interface!$B365,'Financial model inputs '!$A$3:$AJ$3,0)),0)</f>
        <v>0</v>
      </c>
    </row>
    <row r="366" spans="1:12" x14ac:dyDescent="0.2">
      <c r="A366" s="9" t="s">
        <v>11</v>
      </c>
      <c r="B366" s="9" t="s">
        <v>258</v>
      </c>
      <c r="C366" s="10" t="str">
        <f t="shared" si="11"/>
        <v>YKYC_DUMMYCAPEX_PR19CA008</v>
      </c>
      <c r="D366" s="120" t="s">
        <v>265</v>
      </c>
      <c r="E366" s="120"/>
      <c r="F366" s="143" t="s">
        <v>2</v>
      </c>
      <c r="G366" s="120"/>
      <c r="H366" s="120">
        <f>_xlfn.IFNA(INDEX('Financial model inputs '!$A$3:$AJ$59,MATCH(F_Interface!$A366&amp;RIGHT(F_Interface!H$2,2),'Financial model inputs '!$A$3:$A$59,0),MATCH(F_Interface!$B366,'Financial model inputs '!$A$3:$AJ$3,0)),0)</f>
        <v>0</v>
      </c>
      <c r="I366" s="120">
        <f>_xlfn.IFNA(INDEX('Financial model inputs '!$A$3:$AJ$59,MATCH(F_Interface!$A366&amp;RIGHT(F_Interface!I$2,2),'Financial model inputs '!$A$3:$A$59,0),MATCH(F_Interface!$B366,'Financial model inputs '!$A$3:$AJ$3,0)),0)</f>
        <v>0</v>
      </c>
      <c r="J366" s="120">
        <f>_xlfn.IFNA(INDEX('Financial model inputs '!$A$3:$AJ$59,MATCH(F_Interface!$A366&amp;RIGHT(F_Interface!J$2,2),'Financial model inputs '!$A$3:$A$59,0),MATCH(F_Interface!$B366,'Financial model inputs '!$A$3:$AJ$3,0)),0)</f>
        <v>0</v>
      </c>
      <c r="K366" s="120">
        <f>_xlfn.IFNA(INDEX('Financial model inputs '!$A$3:$AJ$59,MATCH(F_Interface!$A366&amp;RIGHT(F_Interface!K$2,2),'Financial model inputs '!$A$3:$A$59,0),MATCH(F_Interface!$B366,'Financial model inputs '!$A$3:$AJ$3,0)),0)</f>
        <v>0</v>
      </c>
      <c r="L366" s="120">
        <f>_xlfn.IFNA(INDEX('Financial model inputs '!$A$3:$AJ$59,MATCH(F_Interface!$A366&amp;RIGHT(F_Interface!L$2,2),'Financial model inputs '!$A$3:$A$59,0),MATCH(F_Interface!$B366,'Financial model inputs '!$A$3:$AJ$3,0)),0)</f>
        <v>0</v>
      </c>
    </row>
    <row r="367" spans="1:12" x14ac:dyDescent="0.2">
      <c r="A367" s="9" t="s">
        <v>4</v>
      </c>
      <c r="B367" s="9" t="s">
        <v>259</v>
      </c>
      <c r="C367" s="10" t="str">
        <f t="shared" si="11"/>
        <v>ANHC_DUMMYTOTEXFM_PR19CA008</v>
      </c>
      <c r="D367" s="120" t="s">
        <v>266</v>
      </c>
      <c r="E367" s="120"/>
      <c r="F367" s="143" t="s">
        <v>2</v>
      </c>
      <c r="G367" s="120"/>
      <c r="H367" s="120">
        <f>_xlfn.IFNA(INDEX('Financial model inputs '!$A$3:$AJ$59,MATCH(F_Interface!$A367&amp;RIGHT(F_Interface!H$2,2),'Financial model inputs '!$A$3:$A$59,0),MATCH(F_Interface!$B367,'Financial model inputs '!$A$3:$AJ$3,0)),0)</f>
        <v>0</v>
      </c>
      <c r="I367" s="120">
        <f>_xlfn.IFNA(INDEX('Financial model inputs '!$A$3:$AJ$59,MATCH(F_Interface!$A367&amp;RIGHT(F_Interface!I$2,2),'Financial model inputs '!$A$3:$A$59,0),MATCH(F_Interface!$B367,'Financial model inputs '!$A$3:$AJ$3,0)),0)</f>
        <v>0</v>
      </c>
      <c r="J367" s="120">
        <f>_xlfn.IFNA(INDEX('Financial model inputs '!$A$3:$AJ$59,MATCH(F_Interface!$A367&amp;RIGHT(F_Interface!J$2,2),'Financial model inputs '!$A$3:$A$59,0),MATCH(F_Interface!$B367,'Financial model inputs '!$A$3:$AJ$3,0)),0)</f>
        <v>0</v>
      </c>
      <c r="K367" s="120">
        <f>_xlfn.IFNA(INDEX('Financial model inputs '!$A$3:$AJ$59,MATCH(F_Interface!$A367&amp;RIGHT(F_Interface!K$2,2),'Financial model inputs '!$A$3:$A$59,0),MATCH(F_Interface!$B367,'Financial model inputs '!$A$3:$AJ$3,0)),0)</f>
        <v>0</v>
      </c>
      <c r="L367" s="120">
        <f>_xlfn.IFNA(INDEX('Financial model inputs '!$A$3:$AJ$59,MATCH(F_Interface!$A367&amp;RIGHT(F_Interface!L$2,2),'Financial model inputs '!$A$3:$A$59,0),MATCH(F_Interface!$B367,'Financial model inputs '!$A$3:$AJ$3,0)),0)</f>
        <v>0</v>
      </c>
    </row>
    <row r="368" spans="1:12" x14ac:dyDescent="0.2">
      <c r="A368" s="9" t="s">
        <v>87</v>
      </c>
      <c r="B368" s="9" t="s">
        <v>259</v>
      </c>
      <c r="C368" s="10" t="str">
        <f t="shared" si="11"/>
        <v>HDDC_DUMMYTOTEXFM_PR19CA008</v>
      </c>
      <c r="D368" s="120" t="s">
        <v>266</v>
      </c>
      <c r="E368" s="120"/>
      <c r="F368" s="143" t="s">
        <v>2</v>
      </c>
      <c r="G368" s="120"/>
      <c r="H368" s="120">
        <f>_xlfn.IFNA(INDEX('Financial model inputs '!$A$3:$AJ$59,MATCH(F_Interface!$A368&amp;RIGHT(F_Interface!H$2,2),'Financial model inputs '!$A$3:$A$59,0),MATCH(F_Interface!$B368,'Financial model inputs '!$A$3:$AJ$3,0)),0)</f>
        <v>0</v>
      </c>
      <c r="I368" s="120">
        <f>_xlfn.IFNA(INDEX('Financial model inputs '!$A$3:$AJ$59,MATCH(F_Interface!$A368&amp;RIGHT(F_Interface!I$2,2),'Financial model inputs '!$A$3:$A$59,0),MATCH(F_Interface!$B368,'Financial model inputs '!$A$3:$AJ$3,0)),0)</f>
        <v>0</v>
      </c>
      <c r="J368" s="120">
        <f>_xlfn.IFNA(INDEX('Financial model inputs '!$A$3:$AJ$59,MATCH(F_Interface!$A368&amp;RIGHT(F_Interface!J$2,2),'Financial model inputs '!$A$3:$A$59,0),MATCH(F_Interface!$B368,'Financial model inputs '!$A$3:$AJ$3,0)),0)</f>
        <v>0</v>
      </c>
      <c r="K368" s="120">
        <f>_xlfn.IFNA(INDEX('Financial model inputs '!$A$3:$AJ$59,MATCH(F_Interface!$A368&amp;RIGHT(F_Interface!K$2,2),'Financial model inputs '!$A$3:$A$59,0),MATCH(F_Interface!$B368,'Financial model inputs '!$A$3:$AJ$3,0)),0)</f>
        <v>0</v>
      </c>
      <c r="L368" s="120">
        <f>_xlfn.IFNA(INDEX('Financial model inputs '!$A$3:$AJ$59,MATCH(F_Interface!$A368&amp;RIGHT(F_Interface!L$2,2),'Financial model inputs '!$A$3:$A$59,0),MATCH(F_Interface!$B368,'Financial model inputs '!$A$3:$AJ$3,0)),0)</f>
        <v>0</v>
      </c>
    </row>
    <row r="369" spans="1:12" x14ac:dyDescent="0.2">
      <c r="A369" s="9" t="s">
        <v>5</v>
      </c>
      <c r="B369" s="9" t="s">
        <v>259</v>
      </c>
      <c r="C369" s="10" t="str">
        <f t="shared" si="11"/>
        <v>NESC_DUMMYTOTEXFM_PR19CA008</v>
      </c>
      <c r="D369" s="120" t="s">
        <v>266</v>
      </c>
      <c r="E369" s="120"/>
      <c r="F369" s="143" t="s">
        <v>2</v>
      </c>
      <c r="G369" s="120"/>
      <c r="H369" s="120">
        <f>_xlfn.IFNA(INDEX('Financial model inputs '!$A$3:$AJ$59,MATCH(F_Interface!$A369&amp;RIGHT(F_Interface!H$2,2),'Financial model inputs '!$A$3:$A$59,0),MATCH(F_Interface!$B369,'Financial model inputs '!$A$3:$AJ$3,0)),0)</f>
        <v>0</v>
      </c>
      <c r="I369" s="120">
        <f>_xlfn.IFNA(INDEX('Financial model inputs '!$A$3:$AJ$59,MATCH(F_Interface!$A369&amp;RIGHT(F_Interface!I$2,2),'Financial model inputs '!$A$3:$A$59,0),MATCH(F_Interface!$B369,'Financial model inputs '!$A$3:$AJ$3,0)),0)</f>
        <v>0</v>
      </c>
      <c r="J369" s="120">
        <f>_xlfn.IFNA(INDEX('Financial model inputs '!$A$3:$AJ$59,MATCH(F_Interface!$A369&amp;RIGHT(F_Interface!J$2,2),'Financial model inputs '!$A$3:$A$59,0),MATCH(F_Interface!$B369,'Financial model inputs '!$A$3:$AJ$3,0)),0)</f>
        <v>0</v>
      </c>
      <c r="K369" s="120">
        <f>_xlfn.IFNA(INDEX('Financial model inputs '!$A$3:$AJ$59,MATCH(F_Interface!$A369&amp;RIGHT(F_Interface!K$2,2),'Financial model inputs '!$A$3:$A$59,0),MATCH(F_Interface!$B369,'Financial model inputs '!$A$3:$AJ$3,0)),0)</f>
        <v>0</v>
      </c>
      <c r="L369" s="120">
        <f>_xlfn.IFNA(INDEX('Financial model inputs '!$A$3:$AJ$59,MATCH(F_Interface!$A369&amp;RIGHT(F_Interface!L$2,2),'Financial model inputs '!$A$3:$A$59,0),MATCH(F_Interface!$B369,'Financial model inputs '!$A$3:$AJ$3,0)),0)</f>
        <v>0</v>
      </c>
    </row>
    <row r="370" spans="1:12" x14ac:dyDescent="0.2">
      <c r="A370" s="9" t="s">
        <v>6</v>
      </c>
      <c r="B370" s="9" t="s">
        <v>259</v>
      </c>
      <c r="C370" s="10" t="str">
        <f t="shared" si="11"/>
        <v>NWTC_DUMMYTOTEXFM_PR19CA008</v>
      </c>
      <c r="D370" s="120" t="s">
        <v>266</v>
      </c>
      <c r="E370" s="120"/>
      <c r="F370" s="143" t="s">
        <v>2</v>
      </c>
      <c r="G370" s="120"/>
      <c r="H370" s="120">
        <f>_xlfn.IFNA(INDEX('Financial model inputs '!$A$3:$AJ$59,MATCH(F_Interface!$A370&amp;RIGHT(F_Interface!H$2,2),'Financial model inputs '!$A$3:$A$59,0),MATCH(F_Interface!$B370,'Financial model inputs '!$A$3:$AJ$3,0)),0)</f>
        <v>0</v>
      </c>
      <c r="I370" s="120">
        <f>_xlfn.IFNA(INDEX('Financial model inputs '!$A$3:$AJ$59,MATCH(F_Interface!$A370&amp;RIGHT(F_Interface!I$2,2),'Financial model inputs '!$A$3:$A$59,0),MATCH(F_Interface!$B370,'Financial model inputs '!$A$3:$AJ$3,0)),0)</f>
        <v>0</v>
      </c>
      <c r="J370" s="120">
        <f>_xlfn.IFNA(INDEX('Financial model inputs '!$A$3:$AJ$59,MATCH(F_Interface!$A370&amp;RIGHT(F_Interface!J$2,2),'Financial model inputs '!$A$3:$A$59,0),MATCH(F_Interface!$B370,'Financial model inputs '!$A$3:$AJ$3,0)),0)</f>
        <v>0</v>
      </c>
      <c r="K370" s="120">
        <f>_xlfn.IFNA(INDEX('Financial model inputs '!$A$3:$AJ$59,MATCH(F_Interface!$A370&amp;RIGHT(F_Interface!K$2,2),'Financial model inputs '!$A$3:$A$59,0),MATCH(F_Interface!$B370,'Financial model inputs '!$A$3:$AJ$3,0)),0)</f>
        <v>0</v>
      </c>
      <c r="L370" s="120">
        <f>_xlfn.IFNA(INDEX('Financial model inputs '!$A$3:$AJ$59,MATCH(F_Interface!$A370&amp;RIGHT(F_Interface!L$2,2),'Financial model inputs '!$A$3:$A$59,0),MATCH(F_Interface!$B370,'Financial model inputs '!$A$3:$AJ$3,0)),0)</f>
        <v>0</v>
      </c>
    </row>
    <row r="371" spans="1:12" x14ac:dyDescent="0.2">
      <c r="A371" s="9" t="s">
        <v>7</v>
      </c>
      <c r="B371" s="9" t="s">
        <v>259</v>
      </c>
      <c r="C371" s="10" t="str">
        <f t="shared" si="11"/>
        <v>SRNC_DUMMYTOTEXFM_PR19CA008</v>
      </c>
      <c r="D371" s="120" t="s">
        <v>266</v>
      </c>
      <c r="E371" s="120"/>
      <c r="F371" s="143" t="s">
        <v>2</v>
      </c>
      <c r="G371" s="120"/>
      <c r="H371" s="120">
        <f>_xlfn.IFNA(INDEX('Financial model inputs '!$A$3:$AJ$59,MATCH(F_Interface!$A371&amp;RIGHT(F_Interface!H$2,2),'Financial model inputs '!$A$3:$A$59,0),MATCH(F_Interface!$B371,'Financial model inputs '!$A$3:$AJ$3,0)),0)</f>
        <v>0</v>
      </c>
      <c r="I371" s="120">
        <f>_xlfn.IFNA(INDEX('Financial model inputs '!$A$3:$AJ$59,MATCH(F_Interface!$A371&amp;RIGHT(F_Interface!I$2,2),'Financial model inputs '!$A$3:$A$59,0),MATCH(F_Interface!$B371,'Financial model inputs '!$A$3:$AJ$3,0)),0)</f>
        <v>0</v>
      </c>
      <c r="J371" s="120">
        <f>_xlfn.IFNA(INDEX('Financial model inputs '!$A$3:$AJ$59,MATCH(F_Interface!$A371&amp;RIGHT(F_Interface!J$2,2),'Financial model inputs '!$A$3:$A$59,0),MATCH(F_Interface!$B371,'Financial model inputs '!$A$3:$AJ$3,0)),0)</f>
        <v>0</v>
      </c>
      <c r="K371" s="120">
        <f>_xlfn.IFNA(INDEX('Financial model inputs '!$A$3:$AJ$59,MATCH(F_Interface!$A371&amp;RIGHT(F_Interface!K$2,2),'Financial model inputs '!$A$3:$A$59,0),MATCH(F_Interface!$B371,'Financial model inputs '!$A$3:$AJ$3,0)),0)</f>
        <v>0</v>
      </c>
      <c r="L371" s="120">
        <f>_xlfn.IFNA(INDEX('Financial model inputs '!$A$3:$AJ$59,MATCH(F_Interface!$A371&amp;RIGHT(F_Interface!L$2,2),'Financial model inputs '!$A$3:$A$59,0),MATCH(F_Interface!$B371,'Financial model inputs '!$A$3:$AJ$3,0)),0)</f>
        <v>0</v>
      </c>
    </row>
    <row r="372" spans="1:12" x14ac:dyDescent="0.2">
      <c r="A372" s="9" t="s">
        <v>116</v>
      </c>
      <c r="B372" s="9" t="s">
        <v>259</v>
      </c>
      <c r="C372" s="10" t="str">
        <f t="shared" si="11"/>
        <v>SVEC_DUMMYTOTEXFM_PR19CA008</v>
      </c>
      <c r="D372" s="120" t="s">
        <v>266</v>
      </c>
      <c r="E372" s="120"/>
      <c r="F372" s="143" t="s">
        <v>2</v>
      </c>
      <c r="G372" s="120"/>
      <c r="H372" s="120">
        <f>_xlfn.IFNA(INDEX('Financial model inputs '!$A$3:$AJ$59,MATCH(F_Interface!$A372&amp;RIGHT(F_Interface!H$2,2),'Financial model inputs '!$A$3:$A$59,0),MATCH(F_Interface!$B372,'Financial model inputs '!$A$3:$AJ$3,0)),0)</f>
        <v>0</v>
      </c>
      <c r="I372" s="120">
        <f>_xlfn.IFNA(INDEX('Financial model inputs '!$A$3:$AJ$59,MATCH(F_Interface!$A372&amp;RIGHT(F_Interface!I$2,2),'Financial model inputs '!$A$3:$A$59,0),MATCH(F_Interface!$B372,'Financial model inputs '!$A$3:$AJ$3,0)),0)</f>
        <v>0</v>
      </c>
      <c r="J372" s="120">
        <f>_xlfn.IFNA(INDEX('Financial model inputs '!$A$3:$AJ$59,MATCH(F_Interface!$A372&amp;RIGHT(F_Interface!J$2,2),'Financial model inputs '!$A$3:$A$59,0),MATCH(F_Interface!$B372,'Financial model inputs '!$A$3:$AJ$3,0)),0)</f>
        <v>0</v>
      </c>
      <c r="K372" s="120">
        <f>_xlfn.IFNA(INDEX('Financial model inputs '!$A$3:$AJ$59,MATCH(F_Interface!$A372&amp;RIGHT(F_Interface!K$2,2),'Financial model inputs '!$A$3:$A$59,0),MATCH(F_Interface!$B372,'Financial model inputs '!$A$3:$AJ$3,0)),0)</f>
        <v>0</v>
      </c>
      <c r="L372" s="120">
        <f>_xlfn.IFNA(INDEX('Financial model inputs '!$A$3:$AJ$59,MATCH(F_Interface!$A372&amp;RIGHT(F_Interface!L$2,2),'Financial model inputs '!$A$3:$A$59,0),MATCH(F_Interface!$B372,'Financial model inputs '!$A$3:$AJ$3,0)),0)</f>
        <v>0</v>
      </c>
    </row>
    <row r="373" spans="1:12" x14ac:dyDescent="0.2">
      <c r="A373" s="9" t="s">
        <v>101</v>
      </c>
      <c r="B373" s="9" t="s">
        <v>259</v>
      </c>
      <c r="C373" s="10" t="str">
        <f t="shared" si="11"/>
        <v>SVHC_DUMMYTOTEXFM_PR19CA008</v>
      </c>
      <c r="D373" s="120" t="s">
        <v>266</v>
      </c>
      <c r="E373" s="120"/>
      <c r="F373" s="143" t="s">
        <v>2</v>
      </c>
      <c r="G373" s="120"/>
      <c r="H373" s="120">
        <f>_xlfn.IFNA(INDEX('Financial model inputs '!$A$3:$AJ$59,MATCH(F_Interface!$A373&amp;RIGHT(F_Interface!H$2,2),'Financial model inputs '!$A$3:$A$59,0),MATCH(F_Interface!$B373,'Financial model inputs '!$A$3:$AJ$3,0)),0)</f>
        <v>0</v>
      </c>
      <c r="I373" s="120">
        <f>_xlfn.IFNA(INDEX('Financial model inputs '!$A$3:$AJ$59,MATCH(F_Interface!$A373&amp;RIGHT(F_Interface!I$2,2),'Financial model inputs '!$A$3:$A$59,0),MATCH(F_Interface!$B373,'Financial model inputs '!$A$3:$AJ$3,0)),0)</f>
        <v>0</v>
      </c>
      <c r="J373" s="120">
        <f>_xlfn.IFNA(INDEX('Financial model inputs '!$A$3:$AJ$59,MATCH(F_Interface!$A373&amp;RIGHT(F_Interface!J$2,2),'Financial model inputs '!$A$3:$A$59,0),MATCH(F_Interface!$B373,'Financial model inputs '!$A$3:$AJ$3,0)),0)</f>
        <v>0</v>
      </c>
      <c r="K373" s="120">
        <f>_xlfn.IFNA(INDEX('Financial model inputs '!$A$3:$AJ$59,MATCH(F_Interface!$A373&amp;RIGHT(F_Interface!K$2,2),'Financial model inputs '!$A$3:$A$59,0),MATCH(F_Interface!$B373,'Financial model inputs '!$A$3:$AJ$3,0)),0)</f>
        <v>0</v>
      </c>
      <c r="L373" s="120">
        <f>_xlfn.IFNA(INDEX('Financial model inputs '!$A$3:$AJ$59,MATCH(F_Interface!$A373&amp;RIGHT(F_Interface!L$2,2),'Financial model inputs '!$A$3:$A$59,0),MATCH(F_Interface!$B373,'Financial model inputs '!$A$3:$AJ$3,0)),0)</f>
        <v>0</v>
      </c>
    </row>
    <row r="374" spans="1:12" x14ac:dyDescent="0.2">
      <c r="A374" s="9" t="s">
        <v>8</v>
      </c>
      <c r="B374" s="9" t="s">
        <v>259</v>
      </c>
      <c r="C374" s="10" t="str">
        <f t="shared" si="11"/>
        <v>SVTC_DUMMYTOTEXFM_PR19CA008</v>
      </c>
      <c r="D374" s="120" t="s">
        <v>266</v>
      </c>
      <c r="E374" s="120"/>
      <c r="F374" s="143" t="s">
        <v>2</v>
      </c>
      <c r="G374" s="120"/>
      <c r="H374" s="120">
        <f>_xlfn.IFNA(INDEX('Financial model inputs '!$A$3:$AJ$59,MATCH(F_Interface!$A374&amp;RIGHT(F_Interface!H$2,2),'Financial model inputs '!$A$3:$A$59,0),MATCH(F_Interface!$B374,'Financial model inputs '!$A$3:$AJ$3,0)),0)</f>
        <v>0</v>
      </c>
      <c r="I374" s="120">
        <f>_xlfn.IFNA(INDEX('Financial model inputs '!$A$3:$AJ$59,MATCH(F_Interface!$A374&amp;RIGHT(F_Interface!I$2,2),'Financial model inputs '!$A$3:$A$59,0),MATCH(F_Interface!$B374,'Financial model inputs '!$A$3:$AJ$3,0)),0)</f>
        <v>0</v>
      </c>
      <c r="J374" s="120">
        <f>_xlfn.IFNA(INDEX('Financial model inputs '!$A$3:$AJ$59,MATCH(F_Interface!$A374&amp;RIGHT(F_Interface!J$2,2),'Financial model inputs '!$A$3:$A$59,0),MATCH(F_Interface!$B374,'Financial model inputs '!$A$3:$AJ$3,0)),0)</f>
        <v>0</v>
      </c>
      <c r="K374" s="120">
        <f>_xlfn.IFNA(INDEX('Financial model inputs '!$A$3:$AJ$59,MATCH(F_Interface!$A374&amp;RIGHT(F_Interface!K$2,2),'Financial model inputs '!$A$3:$A$59,0),MATCH(F_Interface!$B374,'Financial model inputs '!$A$3:$AJ$3,0)),0)</f>
        <v>0</v>
      </c>
      <c r="L374" s="120">
        <f>_xlfn.IFNA(INDEX('Financial model inputs '!$A$3:$AJ$59,MATCH(F_Interface!$A374&amp;RIGHT(F_Interface!L$2,2),'Financial model inputs '!$A$3:$A$59,0),MATCH(F_Interface!$B374,'Financial model inputs '!$A$3:$AJ$3,0)),0)</f>
        <v>0</v>
      </c>
    </row>
    <row r="375" spans="1:12" x14ac:dyDescent="0.2">
      <c r="A375" s="9" t="s">
        <v>12</v>
      </c>
      <c r="B375" s="9" t="s">
        <v>259</v>
      </c>
      <c r="C375" s="10" t="str">
        <f t="shared" si="11"/>
        <v>SWBC_DUMMYTOTEXFM_PR19CA008</v>
      </c>
      <c r="D375" s="120" t="s">
        <v>266</v>
      </c>
      <c r="E375" s="120"/>
      <c r="F375" s="143" t="s">
        <v>2</v>
      </c>
      <c r="G375" s="120"/>
      <c r="H375" s="120">
        <f>_xlfn.IFNA(INDEX('Financial model inputs '!$A$3:$AJ$59,MATCH(F_Interface!$A375&amp;RIGHT(F_Interface!H$2,2),'Financial model inputs '!$A$3:$A$59,0),MATCH(F_Interface!$B375,'Financial model inputs '!$A$3:$AJ$3,0)),0)</f>
        <v>0</v>
      </c>
      <c r="I375" s="120">
        <f>_xlfn.IFNA(INDEX('Financial model inputs '!$A$3:$AJ$59,MATCH(F_Interface!$A375&amp;RIGHT(F_Interface!I$2,2),'Financial model inputs '!$A$3:$A$59,0),MATCH(F_Interface!$B375,'Financial model inputs '!$A$3:$AJ$3,0)),0)</f>
        <v>0</v>
      </c>
      <c r="J375" s="120">
        <f>_xlfn.IFNA(INDEX('Financial model inputs '!$A$3:$AJ$59,MATCH(F_Interface!$A375&amp;RIGHT(F_Interface!J$2,2),'Financial model inputs '!$A$3:$A$59,0),MATCH(F_Interface!$B375,'Financial model inputs '!$A$3:$AJ$3,0)),0)</f>
        <v>0</v>
      </c>
      <c r="K375" s="120">
        <f>_xlfn.IFNA(INDEX('Financial model inputs '!$A$3:$AJ$59,MATCH(F_Interface!$A375&amp;RIGHT(F_Interface!K$2,2),'Financial model inputs '!$A$3:$A$59,0),MATCH(F_Interface!$B375,'Financial model inputs '!$A$3:$AJ$3,0)),0)</f>
        <v>0</v>
      </c>
      <c r="L375" s="120">
        <f>_xlfn.IFNA(INDEX('Financial model inputs '!$A$3:$AJ$59,MATCH(F_Interface!$A375&amp;RIGHT(F_Interface!L$2,2),'Financial model inputs '!$A$3:$A$59,0),MATCH(F_Interface!$B375,'Financial model inputs '!$A$3:$AJ$3,0)),0)</f>
        <v>0</v>
      </c>
    </row>
    <row r="376" spans="1:12" x14ac:dyDescent="0.2">
      <c r="A376" s="9" t="s">
        <v>9</v>
      </c>
      <c r="B376" s="9" t="s">
        <v>259</v>
      </c>
      <c r="C376" s="10" t="str">
        <f t="shared" si="11"/>
        <v>TMSC_DUMMYTOTEXFM_PR19CA008</v>
      </c>
      <c r="D376" s="120" t="s">
        <v>266</v>
      </c>
      <c r="E376" s="120"/>
      <c r="F376" s="143" t="s">
        <v>2</v>
      </c>
      <c r="G376" s="120"/>
      <c r="H376" s="120">
        <f>_xlfn.IFNA(INDEX('Financial model inputs '!$A$3:$AJ$59,MATCH(F_Interface!$A376&amp;RIGHT(F_Interface!H$2,2),'Financial model inputs '!$A$3:$A$59,0),MATCH(F_Interface!$B376,'Financial model inputs '!$A$3:$AJ$3,0)),0)</f>
        <v>36.860891967504365</v>
      </c>
      <c r="I376" s="120">
        <f>_xlfn.IFNA(INDEX('Financial model inputs '!$A$3:$AJ$59,MATCH(F_Interface!$A376&amp;RIGHT(F_Interface!I$2,2),'Financial model inputs '!$A$3:$A$59,0),MATCH(F_Interface!$B376,'Financial model inputs '!$A$3:$AJ$3,0)),0)</f>
        <v>54.161098141268532</v>
      </c>
      <c r="J376" s="120">
        <f>_xlfn.IFNA(INDEX('Financial model inputs '!$A$3:$AJ$59,MATCH(F_Interface!$A376&amp;RIGHT(F_Interface!J$2,2),'Financial model inputs '!$A$3:$A$59,0),MATCH(F_Interface!$B376,'Financial model inputs '!$A$3:$AJ$3,0)),0)</f>
        <v>32.132351188891519</v>
      </c>
      <c r="K376" s="120">
        <f>_xlfn.IFNA(INDEX('Financial model inputs '!$A$3:$AJ$59,MATCH(F_Interface!$A376&amp;RIGHT(F_Interface!K$2,2),'Financial model inputs '!$A$3:$A$59,0),MATCH(F_Interface!$B376,'Financial model inputs '!$A$3:$AJ$3,0)),0)</f>
        <v>-206.23880153603884</v>
      </c>
      <c r="L376" s="120">
        <f>_xlfn.IFNA(INDEX('Financial model inputs '!$A$3:$AJ$59,MATCH(F_Interface!$A376&amp;RIGHT(F_Interface!L$2,2),'Financial model inputs '!$A$3:$A$59,0),MATCH(F_Interface!$B376,'Financial model inputs '!$A$3:$AJ$3,0)),0)</f>
        <v>-244.59844301272545</v>
      </c>
    </row>
    <row r="377" spans="1:12" x14ac:dyDescent="0.2">
      <c r="A377" s="9" t="s">
        <v>15</v>
      </c>
      <c r="B377" s="9" t="s">
        <v>259</v>
      </c>
      <c r="C377" s="10" t="str">
        <f t="shared" si="11"/>
        <v>WSHC_DUMMYTOTEXFM_PR19CA008</v>
      </c>
      <c r="D377" s="120" t="s">
        <v>266</v>
      </c>
      <c r="E377" s="120"/>
      <c r="F377" s="143" t="s">
        <v>2</v>
      </c>
      <c r="G377" s="120"/>
      <c r="H377" s="120">
        <f>_xlfn.IFNA(INDEX('Financial model inputs '!$A$3:$AJ$59,MATCH(F_Interface!$A377&amp;RIGHT(F_Interface!H$2,2),'Financial model inputs '!$A$3:$A$59,0),MATCH(F_Interface!$B377,'Financial model inputs '!$A$3:$AJ$3,0)),0)</f>
        <v>0</v>
      </c>
      <c r="I377" s="120">
        <f>_xlfn.IFNA(INDEX('Financial model inputs '!$A$3:$AJ$59,MATCH(F_Interface!$A377&amp;RIGHT(F_Interface!I$2,2),'Financial model inputs '!$A$3:$A$59,0),MATCH(F_Interface!$B377,'Financial model inputs '!$A$3:$AJ$3,0)),0)</f>
        <v>0</v>
      </c>
      <c r="J377" s="120">
        <f>_xlfn.IFNA(INDEX('Financial model inputs '!$A$3:$AJ$59,MATCH(F_Interface!$A377&amp;RIGHT(F_Interface!J$2,2),'Financial model inputs '!$A$3:$A$59,0),MATCH(F_Interface!$B377,'Financial model inputs '!$A$3:$AJ$3,0)),0)</f>
        <v>0</v>
      </c>
      <c r="K377" s="120">
        <f>_xlfn.IFNA(INDEX('Financial model inputs '!$A$3:$AJ$59,MATCH(F_Interface!$A377&amp;RIGHT(F_Interface!K$2,2),'Financial model inputs '!$A$3:$A$59,0),MATCH(F_Interface!$B377,'Financial model inputs '!$A$3:$AJ$3,0)),0)</f>
        <v>0</v>
      </c>
      <c r="L377" s="120">
        <f>_xlfn.IFNA(INDEX('Financial model inputs '!$A$3:$AJ$59,MATCH(F_Interface!$A377&amp;RIGHT(F_Interface!L$2,2),'Financial model inputs '!$A$3:$A$59,0),MATCH(F_Interface!$B377,'Financial model inputs '!$A$3:$AJ$3,0)),0)</f>
        <v>0</v>
      </c>
    </row>
    <row r="378" spans="1:12" x14ac:dyDescent="0.2">
      <c r="A378" s="9" t="s">
        <v>10</v>
      </c>
      <c r="B378" s="9" t="s">
        <v>259</v>
      </c>
      <c r="C378" s="10" t="str">
        <f t="shared" si="11"/>
        <v>WSXC_DUMMYTOTEXFM_PR19CA008</v>
      </c>
      <c r="D378" s="120" t="s">
        <v>266</v>
      </c>
      <c r="E378" s="120"/>
      <c r="F378" s="143" t="s">
        <v>2</v>
      </c>
      <c r="G378" s="120"/>
      <c r="H378" s="120">
        <f>_xlfn.IFNA(INDEX('Financial model inputs '!$A$3:$AJ$59,MATCH(F_Interface!$A378&amp;RIGHT(F_Interface!H$2,2),'Financial model inputs '!$A$3:$A$59,0),MATCH(F_Interface!$B378,'Financial model inputs '!$A$3:$AJ$3,0)),0)</f>
        <v>0</v>
      </c>
      <c r="I378" s="120">
        <f>_xlfn.IFNA(INDEX('Financial model inputs '!$A$3:$AJ$59,MATCH(F_Interface!$A378&amp;RIGHT(F_Interface!I$2,2),'Financial model inputs '!$A$3:$A$59,0),MATCH(F_Interface!$B378,'Financial model inputs '!$A$3:$AJ$3,0)),0)</f>
        <v>0</v>
      </c>
      <c r="J378" s="120">
        <f>_xlfn.IFNA(INDEX('Financial model inputs '!$A$3:$AJ$59,MATCH(F_Interface!$A378&amp;RIGHT(F_Interface!J$2,2),'Financial model inputs '!$A$3:$A$59,0),MATCH(F_Interface!$B378,'Financial model inputs '!$A$3:$AJ$3,0)),0)</f>
        <v>0</v>
      </c>
      <c r="K378" s="120">
        <f>_xlfn.IFNA(INDEX('Financial model inputs '!$A$3:$AJ$59,MATCH(F_Interface!$A378&amp;RIGHT(F_Interface!K$2,2),'Financial model inputs '!$A$3:$A$59,0),MATCH(F_Interface!$B378,'Financial model inputs '!$A$3:$AJ$3,0)),0)</f>
        <v>0</v>
      </c>
      <c r="L378" s="120">
        <f>_xlfn.IFNA(INDEX('Financial model inputs '!$A$3:$AJ$59,MATCH(F_Interface!$A378&amp;RIGHT(F_Interface!L$2,2),'Financial model inputs '!$A$3:$A$59,0),MATCH(F_Interface!$B378,'Financial model inputs '!$A$3:$AJ$3,0)),0)</f>
        <v>0</v>
      </c>
    </row>
    <row r="379" spans="1:12" x14ac:dyDescent="0.2">
      <c r="A379" s="9" t="s">
        <v>11</v>
      </c>
      <c r="B379" s="9" t="s">
        <v>259</v>
      </c>
      <c r="C379" s="10" t="str">
        <f t="shared" si="11"/>
        <v>YKYC_DUMMYTOTEXFM_PR19CA008</v>
      </c>
      <c r="D379" s="120" t="s">
        <v>266</v>
      </c>
      <c r="E379" s="120"/>
      <c r="F379" s="143" t="s">
        <v>2</v>
      </c>
      <c r="G379" s="120"/>
      <c r="H379" s="120">
        <f>_xlfn.IFNA(INDEX('Financial model inputs '!$A$3:$AJ$59,MATCH(F_Interface!$A379&amp;RIGHT(F_Interface!H$2,2),'Financial model inputs '!$A$3:$A$59,0),MATCH(F_Interface!$B379,'Financial model inputs '!$A$3:$AJ$3,0)),0)</f>
        <v>0</v>
      </c>
      <c r="I379" s="120">
        <f>_xlfn.IFNA(INDEX('Financial model inputs '!$A$3:$AJ$59,MATCH(F_Interface!$A379&amp;RIGHT(F_Interface!I$2,2),'Financial model inputs '!$A$3:$A$59,0),MATCH(F_Interface!$B379,'Financial model inputs '!$A$3:$AJ$3,0)),0)</f>
        <v>0</v>
      </c>
      <c r="J379" s="120">
        <f>_xlfn.IFNA(INDEX('Financial model inputs '!$A$3:$AJ$59,MATCH(F_Interface!$A379&amp;RIGHT(F_Interface!J$2,2),'Financial model inputs '!$A$3:$A$59,0),MATCH(F_Interface!$B379,'Financial model inputs '!$A$3:$AJ$3,0)),0)</f>
        <v>0</v>
      </c>
      <c r="K379" s="120">
        <f>_xlfn.IFNA(INDEX('Financial model inputs '!$A$3:$AJ$59,MATCH(F_Interface!$A379&amp;RIGHT(F_Interface!K$2,2),'Financial model inputs '!$A$3:$A$59,0),MATCH(F_Interface!$B379,'Financial model inputs '!$A$3:$AJ$3,0)),0)</f>
        <v>0</v>
      </c>
      <c r="L379" s="120">
        <f>_xlfn.IFNA(INDEX('Financial model inputs '!$A$3:$AJ$59,MATCH(F_Interface!$A379&amp;RIGHT(F_Interface!L$2,2),'Financial model inputs '!$A$3:$A$59,0),MATCH(F_Interface!$B379,'Financial model inputs '!$A$3:$AJ$3,0)),0)</f>
        <v>0</v>
      </c>
    </row>
    <row r="380" spans="1:12" x14ac:dyDescent="0.2">
      <c r="A380" s="9" t="s">
        <v>4</v>
      </c>
      <c r="B380" s="120" t="s">
        <v>260</v>
      </c>
      <c r="C380" s="10" t="str">
        <f t="shared" si="11"/>
        <v>ANHC_WWNPDR_PR19CA008</v>
      </c>
      <c r="D380" s="120" t="s">
        <v>248</v>
      </c>
      <c r="E380" s="120"/>
      <c r="F380" s="143" t="s">
        <v>2</v>
      </c>
      <c r="G380" s="120"/>
      <c r="H380" s="120">
        <f>_xlfn.IFNA(INDEX('Financial model inputs '!$A$3:$AJ$59,MATCH(F_Interface!$A380&amp;RIGHT(F_Interface!H$2,2),'Financial model inputs '!$A$3:$A$59,0),MATCH(F_Interface!$B380,'Financial model inputs '!$A$3:$AJ$3,0)),0)</f>
        <v>10.143386092251456</v>
      </c>
      <c r="I380" s="120">
        <f>_xlfn.IFNA(INDEX('Financial model inputs '!$A$3:$AJ$59,MATCH(F_Interface!$A380&amp;RIGHT(F_Interface!I$2,2),'Financial model inputs '!$A$3:$A$59,0),MATCH(F_Interface!$B380,'Financial model inputs '!$A$3:$AJ$3,0)),0)</f>
        <v>10.144239237329179</v>
      </c>
      <c r="J380" s="120">
        <f>_xlfn.IFNA(INDEX('Financial model inputs '!$A$3:$AJ$59,MATCH(F_Interface!$A380&amp;RIGHT(F_Interface!J$2,2),'Financial model inputs '!$A$3:$A$59,0),MATCH(F_Interface!$B380,'Financial model inputs '!$A$3:$AJ$3,0)),0)</f>
        <v>10.143418102107685</v>
      </c>
      <c r="K380" s="120">
        <f>_xlfn.IFNA(INDEX('Financial model inputs '!$A$3:$AJ$59,MATCH(F_Interface!$A380&amp;RIGHT(F_Interface!K$2,2),'Financial model inputs '!$A$3:$A$59,0),MATCH(F_Interface!$B380,'Financial model inputs '!$A$3:$AJ$3,0)),0)</f>
        <v>0</v>
      </c>
      <c r="L380" s="120">
        <f>_xlfn.IFNA(INDEX('Financial model inputs '!$A$3:$AJ$59,MATCH(F_Interface!$A380&amp;RIGHT(F_Interface!L$2,2),'Financial model inputs '!$A$3:$A$59,0),MATCH(F_Interface!$B380,'Financial model inputs '!$A$3:$AJ$3,0)),0)</f>
        <v>0</v>
      </c>
    </row>
    <row r="381" spans="1:12" x14ac:dyDescent="0.2">
      <c r="A381" s="9" t="s">
        <v>87</v>
      </c>
      <c r="B381" s="120" t="s">
        <v>260</v>
      </c>
      <c r="C381" s="10" t="str">
        <f t="shared" si="11"/>
        <v>HDDC_WWNPDR_PR19CA008</v>
      </c>
      <c r="D381" s="120" t="s">
        <v>248</v>
      </c>
      <c r="E381" s="120"/>
      <c r="F381" s="143" t="s">
        <v>2</v>
      </c>
      <c r="G381" s="120"/>
      <c r="H381" s="120">
        <f>_xlfn.IFNA(INDEX('Financial model inputs '!$A$3:$AJ$59,MATCH(F_Interface!$A381&amp;RIGHT(F_Interface!H$2,2),'Financial model inputs '!$A$3:$A$59,0),MATCH(F_Interface!$B381,'Financial model inputs '!$A$3:$AJ$3,0)),0)</f>
        <v>0</v>
      </c>
      <c r="I381" s="120">
        <f>_xlfn.IFNA(INDEX('Financial model inputs '!$A$3:$AJ$59,MATCH(F_Interface!$A381&amp;RIGHT(F_Interface!I$2,2),'Financial model inputs '!$A$3:$A$59,0),MATCH(F_Interface!$B381,'Financial model inputs '!$A$3:$AJ$3,0)),0)</f>
        <v>0</v>
      </c>
      <c r="J381" s="120">
        <f>_xlfn.IFNA(INDEX('Financial model inputs '!$A$3:$AJ$59,MATCH(F_Interface!$A381&amp;RIGHT(F_Interface!J$2,2),'Financial model inputs '!$A$3:$A$59,0),MATCH(F_Interface!$B381,'Financial model inputs '!$A$3:$AJ$3,0)),0)</f>
        <v>0</v>
      </c>
      <c r="K381" s="120">
        <f>_xlfn.IFNA(INDEX('Financial model inputs '!$A$3:$AJ$59,MATCH(F_Interface!$A381&amp;RIGHT(F_Interface!K$2,2),'Financial model inputs '!$A$3:$A$59,0),MATCH(F_Interface!$B381,'Financial model inputs '!$A$3:$AJ$3,0)),0)</f>
        <v>0</v>
      </c>
      <c r="L381" s="120">
        <f>_xlfn.IFNA(INDEX('Financial model inputs '!$A$3:$AJ$59,MATCH(F_Interface!$A381&amp;RIGHT(F_Interface!L$2,2),'Financial model inputs '!$A$3:$A$59,0),MATCH(F_Interface!$B381,'Financial model inputs '!$A$3:$AJ$3,0)),0)</f>
        <v>0</v>
      </c>
    </row>
    <row r="382" spans="1:12" x14ac:dyDescent="0.2">
      <c r="A382" s="9" t="s">
        <v>5</v>
      </c>
      <c r="B382" s="120" t="s">
        <v>260</v>
      </c>
      <c r="C382" s="10" t="str">
        <f t="shared" si="11"/>
        <v>NESC_WWNPDR_PR19CA008</v>
      </c>
      <c r="D382" s="120" t="s">
        <v>248</v>
      </c>
      <c r="E382" s="120"/>
      <c r="F382" s="143" t="s">
        <v>2</v>
      </c>
      <c r="G382" s="120"/>
      <c r="H382" s="120">
        <f>_xlfn.IFNA(INDEX('Financial model inputs '!$A$3:$AJ$59,MATCH(F_Interface!$A382&amp;RIGHT(F_Interface!H$2,2),'Financial model inputs '!$A$3:$A$59,0),MATCH(F_Interface!$B382,'Financial model inputs '!$A$3:$AJ$3,0)),0)</f>
        <v>1.9797561787009224</v>
      </c>
      <c r="I382" s="120">
        <f>_xlfn.IFNA(INDEX('Financial model inputs '!$A$3:$AJ$59,MATCH(F_Interface!$A382&amp;RIGHT(F_Interface!I$2,2),'Financial model inputs '!$A$3:$A$59,0),MATCH(F_Interface!$B382,'Financial model inputs '!$A$3:$AJ$3,0)),0)</f>
        <v>1.9795274276817845</v>
      </c>
      <c r="J382" s="120">
        <f>_xlfn.IFNA(INDEX('Financial model inputs '!$A$3:$AJ$59,MATCH(F_Interface!$A382&amp;RIGHT(F_Interface!J$2,2),'Financial model inputs '!$A$3:$A$59,0),MATCH(F_Interface!$B382,'Financial model inputs '!$A$3:$AJ$3,0)),0)</f>
        <v>1.9798859985800283</v>
      </c>
      <c r="K382" s="120">
        <f>_xlfn.IFNA(INDEX('Financial model inputs '!$A$3:$AJ$59,MATCH(F_Interface!$A382&amp;RIGHT(F_Interface!K$2,2),'Financial model inputs '!$A$3:$A$59,0),MATCH(F_Interface!$B382,'Financial model inputs '!$A$3:$AJ$3,0)),0)</f>
        <v>1.9798922472160323</v>
      </c>
      <c r="L382" s="120">
        <f>_xlfn.IFNA(INDEX('Financial model inputs '!$A$3:$AJ$59,MATCH(F_Interface!$A382&amp;RIGHT(F_Interface!L$2,2),'Financial model inputs '!$A$3:$A$59,0),MATCH(F_Interface!$B382,'Financial model inputs '!$A$3:$AJ$3,0)),0)</f>
        <v>1.9797727254509658</v>
      </c>
    </row>
    <row r="383" spans="1:12" x14ac:dyDescent="0.2">
      <c r="A383" s="9" t="s">
        <v>6</v>
      </c>
      <c r="B383" s="120" t="s">
        <v>260</v>
      </c>
      <c r="C383" s="10" t="str">
        <f t="shared" si="11"/>
        <v>NWTC_WWNPDR_PR19CA008</v>
      </c>
      <c r="D383" s="120" t="s">
        <v>248</v>
      </c>
      <c r="E383" s="120"/>
      <c r="F383" s="143" t="s">
        <v>2</v>
      </c>
      <c r="G383" s="120"/>
      <c r="H383" s="120">
        <f>_xlfn.IFNA(INDEX('Financial model inputs '!$A$3:$AJ$59,MATCH(F_Interface!$A383&amp;RIGHT(F_Interface!H$2,2),'Financial model inputs '!$A$3:$A$59,0),MATCH(F_Interface!$B383,'Financial model inputs '!$A$3:$AJ$3,0)),0)</f>
        <v>0</v>
      </c>
      <c r="I383" s="120">
        <f>_xlfn.IFNA(INDEX('Financial model inputs '!$A$3:$AJ$59,MATCH(F_Interface!$A383&amp;RIGHT(F_Interface!I$2,2),'Financial model inputs '!$A$3:$A$59,0),MATCH(F_Interface!$B383,'Financial model inputs '!$A$3:$AJ$3,0)),0)</f>
        <v>0</v>
      </c>
      <c r="J383" s="120">
        <f>_xlfn.IFNA(INDEX('Financial model inputs '!$A$3:$AJ$59,MATCH(F_Interface!$A383&amp;RIGHT(F_Interface!J$2,2),'Financial model inputs '!$A$3:$A$59,0),MATCH(F_Interface!$B383,'Financial model inputs '!$A$3:$AJ$3,0)),0)</f>
        <v>0</v>
      </c>
      <c r="K383" s="120">
        <f>_xlfn.IFNA(INDEX('Financial model inputs '!$A$3:$AJ$59,MATCH(F_Interface!$A383&amp;RIGHT(F_Interface!K$2,2),'Financial model inputs '!$A$3:$A$59,0),MATCH(F_Interface!$B383,'Financial model inputs '!$A$3:$AJ$3,0)),0)</f>
        <v>0</v>
      </c>
      <c r="L383" s="120">
        <f>_xlfn.IFNA(INDEX('Financial model inputs '!$A$3:$AJ$59,MATCH(F_Interface!$A383&amp;RIGHT(F_Interface!L$2,2),'Financial model inputs '!$A$3:$A$59,0),MATCH(F_Interface!$B383,'Financial model inputs '!$A$3:$AJ$3,0)),0)</f>
        <v>0</v>
      </c>
    </row>
    <row r="384" spans="1:12" x14ac:dyDescent="0.2">
      <c r="A384" s="9" t="s">
        <v>7</v>
      </c>
      <c r="B384" s="120" t="s">
        <v>260</v>
      </c>
      <c r="C384" s="10" t="str">
        <f t="shared" si="11"/>
        <v>SRNC_WWNPDR_PR19CA008</v>
      </c>
      <c r="D384" s="120" t="s">
        <v>248</v>
      </c>
      <c r="E384" s="120"/>
      <c r="F384" s="143" t="s">
        <v>2</v>
      </c>
      <c r="G384" s="120"/>
      <c r="H384" s="120">
        <f>_xlfn.IFNA(INDEX('Financial model inputs '!$A$3:$AJ$59,MATCH(F_Interface!$A384&amp;RIGHT(F_Interface!H$2,2),'Financial model inputs '!$A$3:$A$59,0),MATCH(F_Interface!$B384,'Financial model inputs '!$A$3:$AJ$3,0)),0)</f>
        <v>6.0077099485369256</v>
      </c>
      <c r="I384" s="120">
        <f>_xlfn.IFNA(INDEX('Financial model inputs '!$A$3:$AJ$59,MATCH(F_Interface!$A384&amp;RIGHT(F_Interface!I$2,2),'Financial model inputs '!$A$3:$A$59,0),MATCH(F_Interface!$B384,'Financial model inputs '!$A$3:$AJ$3,0)),0)</f>
        <v>5.8574965465786937</v>
      </c>
      <c r="J384" s="120">
        <f>_xlfn.IFNA(INDEX('Financial model inputs '!$A$3:$AJ$59,MATCH(F_Interface!$A384&amp;RIGHT(F_Interface!J$2,2),'Financial model inputs '!$A$3:$A$59,0),MATCH(F_Interface!$B384,'Financial model inputs '!$A$3:$AJ$3,0)),0)</f>
        <v>5.7110191030544071</v>
      </c>
      <c r="K384" s="120">
        <f>_xlfn.IFNA(INDEX('Financial model inputs '!$A$3:$AJ$59,MATCH(F_Interface!$A384&amp;RIGHT(F_Interface!K$2,2),'Financial model inputs '!$A$3:$A$59,0),MATCH(F_Interface!$B384,'Financial model inputs '!$A$3:$AJ$3,0)),0)</f>
        <v>5.5684651819148065</v>
      </c>
      <c r="L384" s="120">
        <f>_xlfn.IFNA(INDEX('Financial model inputs '!$A$3:$AJ$59,MATCH(F_Interface!$A384&amp;RIGHT(F_Interface!L$2,2),'Financial model inputs '!$A$3:$A$59,0),MATCH(F_Interface!$B384,'Financial model inputs '!$A$3:$AJ$3,0)),0)</f>
        <v>5.4291456401175662</v>
      </c>
    </row>
    <row r="385" spans="1:12" x14ac:dyDescent="0.2">
      <c r="A385" s="9" t="s">
        <v>116</v>
      </c>
      <c r="B385" s="120" t="s">
        <v>260</v>
      </c>
      <c r="C385" s="10" t="str">
        <f t="shared" si="11"/>
        <v>SVEC_WWNPDR_PR19CA008</v>
      </c>
      <c r="D385" s="120" t="s">
        <v>248</v>
      </c>
      <c r="E385" s="120"/>
      <c r="F385" s="143" t="s">
        <v>2</v>
      </c>
      <c r="G385" s="120"/>
      <c r="H385" s="120">
        <f>_xlfn.IFNA(INDEX('Financial model inputs '!$A$3:$AJ$59,MATCH(F_Interface!$A385&amp;RIGHT(F_Interface!H$2,2),'Financial model inputs '!$A$3:$A$59,0),MATCH(F_Interface!$B385,'Financial model inputs '!$A$3:$AJ$3,0)),0)</f>
        <v>3.548489542556013</v>
      </c>
      <c r="I385" s="120">
        <f>_xlfn.IFNA(INDEX('Financial model inputs '!$A$3:$AJ$59,MATCH(F_Interface!$A385&amp;RIGHT(F_Interface!I$2,2),'Financial model inputs '!$A$3:$A$59,0),MATCH(F_Interface!$B385,'Financial model inputs '!$A$3:$AJ$3,0)),0)</f>
        <v>3.5484895425560299</v>
      </c>
      <c r="J385" s="120">
        <f>_xlfn.IFNA(INDEX('Financial model inputs '!$A$3:$AJ$59,MATCH(F_Interface!$A385&amp;RIGHT(F_Interface!J$2,2),'Financial model inputs '!$A$3:$A$59,0),MATCH(F_Interface!$B385,'Financial model inputs '!$A$3:$AJ$3,0)),0)</f>
        <v>3.5484895425560148</v>
      </c>
      <c r="K385" s="120">
        <f>_xlfn.IFNA(INDEX('Financial model inputs '!$A$3:$AJ$59,MATCH(F_Interface!$A385&amp;RIGHT(F_Interface!K$2,2),'Financial model inputs '!$A$3:$A$59,0),MATCH(F_Interface!$B385,'Financial model inputs '!$A$3:$AJ$3,0)),0)</f>
        <v>3.5484895425560086</v>
      </c>
      <c r="L385" s="120">
        <f>_xlfn.IFNA(INDEX('Financial model inputs '!$A$3:$AJ$59,MATCH(F_Interface!$A385&amp;RIGHT(F_Interface!L$2,2),'Financial model inputs '!$A$3:$A$59,0),MATCH(F_Interface!$B385,'Financial model inputs '!$A$3:$AJ$3,0)),0)</f>
        <v>3.548489542556029</v>
      </c>
    </row>
    <row r="386" spans="1:12" x14ac:dyDescent="0.2">
      <c r="A386" s="9" t="s">
        <v>101</v>
      </c>
      <c r="B386" s="120" t="s">
        <v>260</v>
      </c>
      <c r="C386" s="10" t="str">
        <f t="shared" si="11"/>
        <v>SVHC_WWNPDR_PR19CA008</v>
      </c>
      <c r="D386" s="120" t="s">
        <v>248</v>
      </c>
      <c r="E386" s="120"/>
      <c r="F386" s="143" t="s">
        <v>2</v>
      </c>
      <c r="G386" s="120"/>
      <c r="H386" s="120">
        <f>_xlfn.IFNA(INDEX('Financial model inputs '!$A$3:$AJ$59,MATCH(F_Interface!$A386&amp;RIGHT(F_Interface!H$2,2),'Financial model inputs '!$A$3:$A$59,0),MATCH(F_Interface!$B386,'Financial model inputs '!$A$3:$AJ$3,0)),0)</f>
        <v>0</v>
      </c>
      <c r="I386" s="120">
        <f>_xlfn.IFNA(INDEX('Financial model inputs '!$A$3:$AJ$59,MATCH(F_Interface!$A386&amp;RIGHT(F_Interface!I$2,2),'Financial model inputs '!$A$3:$A$59,0),MATCH(F_Interface!$B386,'Financial model inputs '!$A$3:$AJ$3,0)),0)</f>
        <v>0</v>
      </c>
      <c r="J386" s="120">
        <f>_xlfn.IFNA(INDEX('Financial model inputs '!$A$3:$AJ$59,MATCH(F_Interface!$A386&amp;RIGHT(F_Interface!J$2,2),'Financial model inputs '!$A$3:$A$59,0),MATCH(F_Interface!$B386,'Financial model inputs '!$A$3:$AJ$3,0)),0)</f>
        <v>0</v>
      </c>
      <c r="K386" s="120">
        <f>_xlfn.IFNA(INDEX('Financial model inputs '!$A$3:$AJ$59,MATCH(F_Interface!$A386&amp;RIGHT(F_Interface!K$2,2),'Financial model inputs '!$A$3:$A$59,0),MATCH(F_Interface!$B386,'Financial model inputs '!$A$3:$AJ$3,0)),0)</f>
        <v>0</v>
      </c>
      <c r="L386" s="120">
        <f>_xlfn.IFNA(INDEX('Financial model inputs '!$A$3:$AJ$59,MATCH(F_Interface!$A386&amp;RIGHT(F_Interface!L$2,2),'Financial model inputs '!$A$3:$A$59,0),MATCH(F_Interface!$B386,'Financial model inputs '!$A$3:$AJ$3,0)),0)</f>
        <v>0</v>
      </c>
    </row>
    <row r="387" spans="1:12" x14ac:dyDescent="0.2">
      <c r="A387" s="9" t="s">
        <v>8</v>
      </c>
      <c r="B387" s="120" t="s">
        <v>260</v>
      </c>
      <c r="C387" s="10" t="str">
        <f t="shared" si="11"/>
        <v>SVTC_WWNPDR_PR19CA008</v>
      </c>
      <c r="D387" s="120" t="s">
        <v>248</v>
      </c>
      <c r="E387" s="120"/>
      <c r="F387" s="143" t="s">
        <v>2</v>
      </c>
      <c r="G387" s="120"/>
      <c r="H387" s="120">
        <f>_xlfn.IFNA(INDEX('Financial model inputs '!$A$3:$AJ$59,MATCH(F_Interface!$A387&amp;RIGHT(F_Interface!H$2,2),'Financial model inputs '!$A$3:$A$59,0),MATCH(F_Interface!$B387,'Financial model inputs '!$A$3:$AJ$3,0)),0)</f>
        <v>0</v>
      </c>
      <c r="I387" s="120">
        <f>_xlfn.IFNA(INDEX('Financial model inputs '!$A$3:$AJ$59,MATCH(F_Interface!$A387&amp;RIGHT(F_Interface!I$2,2),'Financial model inputs '!$A$3:$A$59,0),MATCH(F_Interface!$B387,'Financial model inputs '!$A$3:$AJ$3,0)),0)</f>
        <v>0</v>
      </c>
      <c r="J387" s="120">
        <f>_xlfn.IFNA(INDEX('Financial model inputs '!$A$3:$AJ$59,MATCH(F_Interface!$A387&amp;RIGHT(F_Interface!J$2,2),'Financial model inputs '!$A$3:$A$59,0),MATCH(F_Interface!$B387,'Financial model inputs '!$A$3:$AJ$3,0)),0)</f>
        <v>0</v>
      </c>
      <c r="K387" s="120">
        <f>_xlfn.IFNA(INDEX('Financial model inputs '!$A$3:$AJ$59,MATCH(F_Interface!$A387&amp;RIGHT(F_Interface!K$2,2),'Financial model inputs '!$A$3:$A$59,0),MATCH(F_Interface!$B387,'Financial model inputs '!$A$3:$AJ$3,0)),0)</f>
        <v>0</v>
      </c>
      <c r="L387" s="120">
        <f>_xlfn.IFNA(INDEX('Financial model inputs '!$A$3:$AJ$59,MATCH(F_Interface!$A387&amp;RIGHT(F_Interface!L$2,2),'Financial model inputs '!$A$3:$A$59,0),MATCH(F_Interface!$B387,'Financial model inputs '!$A$3:$AJ$3,0)),0)</f>
        <v>0</v>
      </c>
    </row>
    <row r="388" spans="1:12" x14ac:dyDescent="0.2">
      <c r="A388" s="9" t="s">
        <v>12</v>
      </c>
      <c r="B388" s="120" t="s">
        <v>260</v>
      </c>
      <c r="C388" s="10" t="str">
        <f t="shared" si="11"/>
        <v>SWBC_WWNPDR_PR19CA008</v>
      </c>
      <c r="D388" s="120" t="s">
        <v>248</v>
      </c>
      <c r="E388" s="120"/>
      <c r="F388" s="143" t="s">
        <v>2</v>
      </c>
      <c r="G388" s="120"/>
      <c r="H388" s="120">
        <f>_xlfn.IFNA(INDEX('Financial model inputs '!$A$3:$AJ$59,MATCH(F_Interface!$A388&amp;RIGHT(F_Interface!H$2,2),'Financial model inputs '!$A$3:$A$59,0),MATCH(F_Interface!$B388,'Financial model inputs '!$A$3:$AJ$3,0)),0)</f>
        <v>4.0497879590101249</v>
      </c>
      <c r="I388" s="120">
        <f>_xlfn.IFNA(INDEX('Financial model inputs '!$A$3:$AJ$59,MATCH(F_Interface!$A388&amp;RIGHT(F_Interface!I$2,2),'Financial model inputs '!$A$3:$A$59,0),MATCH(F_Interface!$B388,'Financial model inputs '!$A$3:$AJ$3,0)),0)</f>
        <v>4.0492509903239933</v>
      </c>
      <c r="J388" s="120">
        <f>_xlfn.IFNA(INDEX('Financial model inputs '!$A$3:$AJ$59,MATCH(F_Interface!$A388&amp;RIGHT(F_Interface!J$2,2),'Financial model inputs '!$A$3:$A$59,0),MATCH(F_Interface!$B388,'Financial model inputs '!$A$3:$AJ$3,0)),0)</f>
        <v>0</v>
      </c>
      <c r="K388" s="120">
        <f>_xlfn.IFNA(INDEX('Financial model inputs '!$A$3:$AJ$59,MATCH(F_Interface!$A388&amp;RIGHT(F_Interface!K$2,2),'Financial model inputs '!$A$3:$A$59,0),MATCH(F_Interface!$B388,'Financial model inputs '!$A$3:$AJ$3,0)),0)</f>
        <v>0</v>
      </c>
      <c r="L388" s="120">
        <f>_xlfn.IFNA(INDEX('Financial model inputs '!$A$3:$AJ$59,MATCH(F_Interface!$A388&amp;RIGHT(F_Interface!L$2,2),'Financial model inputs '!$A$3:$A$59,0),MATCH(F_Interface!$B388,'Financial model inputs '!$A$3:$AJ$3,0)),0)</f>
        <v>0</v>
      </c>
    </row>
    <row r="389" spans="1:12" x14ac:dyDescent="0.2">
      <c r="A389" s="9" t="s">
        <v>9</v>
      </c>
      <c r="B389" s="120" t="s">
        <v>260</v>
      </c>
      <c r="C389" s="10" t="str">
        <f t="shared" si="11"/>
        <v>TMSC_WWNPDR_PR19CA008</v>
      </c>
      <c r="D389" s="120" t="s">
        <v>248</v>
      </c>
      <c r="E389" s="120"/>
      <c r="F389" s="143" t="s">
        <v>2</v>
      </c>
      <c r="G389" s="120"/>
      <c r="H389" s="120">
        <f>_xlfn.IFNA(INDEX('Financial model inputs '!$A$3:$AJ$59,MATCH(F_Interface!$A389&amp;RIGHT(F_Interface!H$2,2),'Financial model inputs '!$A$3:$A$59,0),MATCH(F_Interface!$B389,'Financial model inputs '!$A$3:$AJ$3,0)),0)</f>
        <v>7.7475754970509998</v>
      </c>
      <c r="I389" s="120">
        <f>_xlfn.IFNA(INDEX('Financial model inputs '!$A$3:$AJ$59,MATCH(F_Interface!$A389&amp;RIGHT(F_Interface!I$2,2),'Financial model inputs '!$A$3:$A$59,0),MATCH(F_Interface!$B389,'Financial model inputs '!$A$3:$AJ$3,0)),0)</f>
        <v>7.7475754970509847</v>
      </c>
      <c r="J389" s="120">
        <f>_xlfn.IFNA(INDEX('Financial model inputs '!$A$3:$AJ$59,MATCH(F_Interface!$A389&amp;RIGHT(F_Interface!J$2,2),'Financial model inputs '!$A$3:$A$59,0),MATCH(F_Interface!$B389,'Financial model inputs '!$A$3:$AJ$3,0)),0)</f>
        <v>7.7475754970509838</v>
      </c>
      <c r="K389" s="120">
        <f>_xlfn.IFNA(INDEX('Financial model inputs '!$A$3:$AJ$59,MATCH(F_Interface!$A389&amp;RIGHT(F_Interface!K$2,2),'Financial model inputs '!$A$3:$A$59,0),MATCH(F_Interface!$B389,'Financial model inputs '!$A$3:$AJ$3,0)),0)</f>
        <v>0</v>
      </c>
      <c r="L389" s="120">
        <f>_xlfn.IFNA(INDEX('Financial model inputs '!$A$3:$AJ$59,MATCH(F_Interface!$A389&amp;RIGHT(F_Interface!L$2,2),'Financial model inputs '!$A$3:$A$59,0),MATCH(F_Interface!$B389,'Financial model inputs '!$A$3:$AJ$3,0)),0)</f>
        <v>0</v>
      </c>
    </row>
    <row r="390" spans="1:12" x14ac:dyDescent="0.2">
      <c r="A390" s="9" t="s">
        <v>15</v>
      </c>
      <c r="B390" s="120" t="s">
        <v>260</v>
      </c>
      <c r="C390" s="10" t="str">
        <f t="shared" si="11"/>
        <v>WSHC_WWNPDR_PR19CA008</v>
      </c>
      <c r="D390" s="120" t="s">
        <v>248</v>
      </c>
      <c r="E390" s="120"/>
      <c r="F390" s="143" t="s">
        <v>2</v>
      </c>
      <c r="G390" s="120"/>
      <c r="H390" s="120">
        <f>_xlfn.IFNA(INDEX('Financial model inputs '!$A$3:$AJ$59,MATCH(F_Interface!$A390&amp;RIGHT(F_Interface!H$2,2),'Financial model inputs '!$A$3:$A$59,0),MATCH(F_Interface!$B390,'Financial model inputs '!$A$3:$AJ$3,0)),0)</f>
        <v>0</v>
      </c>
      <c r="I390" s="120">
        <f>_xlfn.IFNA(INDEX('Financial model inputs '!$A$3:$AJ$59,MATCH(F_Interface!$A390&amp;RIGHT(F_Interface!I$2,2),'Financial model inputs '!$A$3:$A$59,0),MATCH(F_Interface!$B390,'Financial model inputs '!$A$3:$AJ$3,0)),0)</f>
        <v>0</v>
      </c>
      <c r="J390" s="120">
        <f>_xlfn.IFNA(INDEX('Financial model inputs '!$A$3:$AJ$59,MATCH(F_Interface!$A390&amp;RIGHT(F_Interface!J$2,2),'Financial model inputs '!$A$3:$A$59,0),MATCH(F_Interface!$B390,'Financial model inputs '!$A$3:$AJ$3,0)),0)</f>
        <v>0</v>
      </c>
      <c r="K390" s="120">
        <f>_xlfn.IFNA(INDEX('Financial model inputs '!$A$3:$AJ$59,MATCH(F_Interface!$A390&amp;RIGHT(F_Interface!K$2,2),'Financial model inputs '!$A$3:$A$59,0),MATCH(F_Interface!$B390,'Financial model inputs '!$A$3:$AJ$3,0)),0)</f>
        <v>0</v>
      </c>
      <c r="L390" s="120">
        <f>_xlfn.IFNA(INDEX('Financial model inputs '!$A$3:$AJ$59,MATCH(F_Interface!$A390&amp;RIGHT(F_Interface!L$2,2),'Financial model inputs '!$A$3:$A$59,0),MATCH(F_Interface!$B390,'Financial model inputs '!$A$3:$AJ$3,0)),0)</f>
        <v>0</v>
      </c>
    </row>
    <row r="391" spans="1:12" x14ac:dyDescent="0.2">
      <c r="A391" s="9" t="s">
        <v>10</v>
      </c>
      <c r="B391" s="120" t="s">
        <v>260</v>
      </c>
      <c r="C391" s="10" t="str">
        <f t="shared" si="11"/>
        <v>WSXC_WWNPDR_PR19CA008</v>
      </c>
      <c r="D391" s="120" t="s">
        <v>248</v>
      </c>
      <c r="E391" s="120"/>
      <c r="F391" s="143" t="s">
        <v>2</v>
      </c>
      <c r="G391" s="120"/>
      <c r="H391" s="120">
        <f>_xlfn.IFNA(INDEX('Financial model inputs '!$A$3:$AJ$59,MATCH(F_Interface!$A391&amp;RIGHT(F_Interface!H$2,2),'Financial model inputs '!$A$3:$A$59,0),MATCH(F_Interface!$B391,'Financial model inputs '!$A$3:$AJ$3,0)),0)</f>
        <v>2.3442578953554976</v>
      </c>
      <c r="I391" s="120">
        <f>_xlfn.IFNA(INDEX('Financial model inputs '!$A$3:$AJ$59,MATCH(F_Interface!$A391&amp;RIGHT(F_Interface!I$2,2),'Financial model inputs '!$A$3:$A$59,0),MATCH(F_Interface!$B391,'Financial model inputs '!$A$3:$AJ$3,0)),0)</f>
        <v>2.2783306906563738</v>
      </c>
      <c r="J391" s="120">
        <f>_xlfn.IFNA(INDEX('Financial model inputs '!$A$3:$AJ$59,MATCH(F_Interface!$A391&amp;RIGHT(F_Interface!J$2,2),'Financial model inputs '!$A$3:$A$59,0),MATCH(F_Interface!$B391,'Financial model inputs '!$A$3:$AJ$3,0)),0)</f>
        <v>2.2148272834555365</v>
      </c>
      <c r="K391" s="120">
        <f>_xlfn.IFNA(INDEX('Financial model inputs '!$A$3:$AJ$59,MATCH(F_Interface!$A391&amp;RIGHT(F_Interface!K$2,2),'Financial model inputs '!$A$3:$A$59,0),MATCH(F_Interface!$B391,'Financial model inputs '!$A$3:$AJ$3,0)),0)</f>
        <v>0</v>
      </c>
      <c r="L391" s="120">
        <f>_xlfn.IFNA(INDEX('Financial model inputs '!$A$3:$AJ$59,MATCH(F_Interface!$A391&amp;RIGHT(F_Interface!L$2,2),'Financial model inputs '!$A$3:$A$59,0),MATCH(F_Interface!$B391,'Financial model inputs '!$A$3:$AJ$3,0)),0)</f>
        <v>0</v>
      </c>
    </row>
    <row r="392" spans="1:12" x14ac:dyDescent="0.2">
      <c r="A392" s="9" t="s">
        <v>11</v>
      </c>
      <c r="B392" s="120" t="s">
        <v>260</v>
      </c>
      <c r="C392" s="10" t="str">
        <f t="shared" si="11"/>
        <v>YKYC_WWNPDR_PR19CA008</v>
      </c>
      <c r="D392" s="120" t="s">
        <v>248</v>
      </c>
      <c r="E392" s="120"/>
      <c r="F392" s="143" t="s">
        <v>2</v>
      </c>
      <c r="G392" s="120"/>
      <c r="H392" s="120">
        <f>_xlfn.IFNA(INDEX('Financial model inputs '!$A$3:$AJ$59,MATCH(F_Interface!$A392&amp;RIGHT(F_Interface!H$2,2),'Financial model inputs '!$A$3:$A$59,0),MATCH(F_Interface!$B392,'Financial model inputs '!$A$3:$AJ$3,0)),0)</f>
        <v>5.464292414926966</v>
      </c>
      <c r="I392" s="120">
        <f>_xlfn.IFNA(INDEX('Financial model inputs '!$A$3:$AJ$59,MATCH(F_Interface!$A392&amp;RIGHT(F_Interface!I$2,2),'Financial model inputs '!$A$3:$A$59,0),MATCH(F_Interface!$B392,'Financial model inputs '!$A$3:$AJ$3,0)),0)</f>
        <v>5.464292414926966</v>
      </c>
      <c r="J392" s="120">
        <f>_xlfn.IFNA(INDEX('Financial model inputs '!$A$3:$AJ$59,MATCH(F_Interface!$A392&amp;RIGHT(F_Interface!J$2,2),'Financial model inputs '!$A$3:$A$59,0),MATCH(F_Interface!$B392,'Financial model inputs '!$A$3:$AJ$3,0)),0)</f>
        <v>0</v>
      </c>
      <c r="K392" s="120">
        <f>_xlfn.IFNA(INDEX('Financial model inputs '!$A$3:$AJ$59,MATCH(F_Interface!$A392&amp;RIGHT(F_Interface!K$2,2),'Financial model inputs '!$A$3:$A$59,0),MATCH(F_Interface!$B392,'Financial model inputs '!$A$3:$AJ$3,0)),0)</f>
        <v>0</v>
      </c>
      <c r="L392" s="120">
        <f>_xlfn.IFNA(INDEX('Financial model inputs '!$A$3:$AJ$59,MATCH(F_Interface!$A392&amp;RIGHT(F_Interface!L$2,2),'Financial model inputs '!$A$3:$A$59,0),MATCH(F_Interface!$B392,'Financial model inputs '!$A$3:$AJ$3,0)),0)</f>
        <v>0</v>
      </c>
    </row>
    <row r="393" spans="1:12" x14ac:dyDescent="0.2">
      <c r="A393" s="9" t="s">
        <v>4</v>
      </c>
      <c r="B393" s="120" t="s">
        <v>261</v>
      </c>
      <c r="C393" s="10" t="str">
        <f t="shared" si="11"/>
        <v>ANHC_BRPDR_PR19CA008</v>
      </c>
      <c r="D393" s="120" t="s">
        <v>249</v>
      </c>
      <c r="E393" s="120"/>
      <c r="F393" s="143" t="s">
        <v>2</v>
      </c>
      <c r="G393" s="120"/>
      <c r="H393" s="120">
        <f>_xlfn.IFNA(INDEX('Financial model inputs '!$A$3:$AJ$59,MATCH(F_Interface!$A393&amp;RIGHT(F_Interface!H$2,2),'Financial model inputs '!$A$3:$A$59,0),MATCH(F_Interface!$B393,'Financial model inputs '!$A$3:$AJ$3,0)),0)</f>
        <v>4.0041467914012836</v>
      </c>
      <c r="I393" s="120">
        <f>_xlfn.IFNA(INDEX('Financial model inputs '!$A$3:$AJ$59,MATCH(F_Interface!$A393&amp;RIGHT(F_Interface!I$2,2),'Financial model inputs '!$A$3:$A$59,0),MATCH(F_Interface!$B393,'Financial model inputs '!$A$3:$AJ$3,0)),0)</f>
        <v>4.0047371007748342</v>
      </c>
      <c r="J393" s="120">
        <f>_xlfn.IFNA(INDEX('Financial model inputs '!$A$3:$AJ$59,MATCH(F_Interface!$A393&amp;RIGHT(F_Interface!J$2,2),'Financial model inputs '!$A$3:$A$59,0),MATCH(F_Interface!$B393,'Financial model inputs '!$A$3:$AJ$3,0)),0)</f>
        <v>4.0045157637579436</v>
      </c>
      <c r="K393" s="120">
        <f>_xlfn.IFNA(INDEX('Financial model inputs '!$A$3:$AJ$59,MATCH(F_Interface!$A393&amp;RIGHT(F_Interface!K$2,2),'Financial model inputs '!$A$3:$A$59,0),MATCH(F_Interface!$B393,'Financial model inputs '!$A$3:$AJ$3,0)),0)</f>
        <v>0</v>
      </c>
      <c r="L393" s="120">
        <f>_xlfn.IFNA(INDEX('Financial model inputs '!$A$3:$AJ$59,MATCH(F_Interface!$A393&amp;RIGHT(F_Interface!L$2,2),'Financial model inputs '!$A$3:$A$59,0),MATCH(F_Interface!$B393,'Financial model inputs '!$A$3:$AJ$3,0)),0)</f>
        <v>0</v>
      </c>
    </row>
    <row r="394" spans="1:12" x14ac:dyDescent="0.2">
      <c r="A394" s="9" t="s">
        <v>87</v>
      </c>
      <c r="B394" s="120" t="s">
        <v>261</v>
      </c>
      <c r="C394" s="10" t="str">
        <f t="shared" si="11"/>
        <v>HDDC_BRPDR_PR19CA008</v>
      </c>
      <c r="D394" s="120" t="s">
        <v>249</v>
      </c>
      <c r="E394" s="120"/>
      <c r="F394" s="143" t="s">
        <v>2</v>
      </c>
      <c r="G394" s="120"/>
      <c r="H394" s="120">
        <f>_xlfn.IFNA(INDEX('Financial model inputs '!$A$3:$AJ$59,MATCH(F_Interface!$A394&amp;RIGHT(F_Interface!H$2,2),'Financial model inputs '!$A$3:$A$59,0),MATCH(F_Interface!$B394,'Financial model inputs '!$A$3:$AJ$3,0)),0)</f>
        <v>0</v>
      </c>
      <c r="I394" s="120">
        <f>_xlfn.IFNA(INDEX('Financial model inputs '!$A$3:$AJ$59,MATCH(F_Interface!$A394&amp;RIGHT(F_Interface!I$2,2),'Financial model inputs '!$A$3:$A$59,0),MATCH(F_Interface!$B394,'Financial model inputs '!$A$3:$AJ$3,0)),0)</f>
        <v>0</v>
      </c>
      <c r="J394" s="120">
        <f>_xlfn.IFNA(INDEX('Financial model inputs '!$A$3:$AJ$59,MATCH(F_Interface!$A394&amp;RIGHT(F_Interface!J$2,2),'Financial model inputs '!$A$3:$A$59,0),MATCH(F_Interface!$B394,'Financial model inputs '!$A$3:$AJ$3,0)),0)</f>
        <v>0</v>
      </c>
      <c r="K394" s="120">
        <f>_xlfn.IFNA(INDEX('Financial model inputs '!$A$3:$AJ$59,MATCH(F_Interface!$A394&amp;RIGHT(F_Interface!K$2,2),'Financial model inputs '!$A$3:$A$59,0),MATCH(F_Interface!$B394,'Financial model inputs '!$A$3:$AJ$3,0)),0)</f>
        <v>0</v>
      </c>
      <c r="L394" s="120">
        <f>_xlfn.IFNA(INDEX('Financial model inputs '!$A$3:$AJ$59,MATCH(F_Interface!$A394&amp;RIGHT(F_Interface!L$2,2),'Financial model inputs '!$A$3:$A$59,0),MATCH(F_Interface!$B394,'Financial model inputs '!$A$3:$AJ$3,0)),0)</f>
        <v>0</v>
      </c>
    </row>
    <row r="395" spans="1:12" x14ac:dyDescent="0.2">
      <c r="A395" s="9" t="s">
        <v>5</v>
      </c>
      <c r="B395" s="120" t="s">
        <v>261</v>
      </c>
      <c r="C395" s="10" t="str">
        <f t="shared" si="11"/>
        <v>NESC_BRPDR_PR19CA008</v>
      </c>
      <c r="D395" s="120" t="s">
        <v>249</v>
      </c>
      <c r="E395" s="120"/>
      <c r="F395" s="143" t="s">
        <v>2</v>
      </c>
      <c r="G395" s="120"/>
      <c r="H395" s="120">
        <f>_xlfn.IFNA(INDEX('Financial model inputs '!$A$3:$AJ$59,MATCH(F_Interface!$A395&amp;RIGHT(F_Interface!H$2,2),'Financial model inputs '!$A$3:$A$59,0),MATCH(F_Interface!$B395,'Financial model inputs '!$A$3:$AJ$3,0)),0)</f>
        <v>0.26652098496014026</v>
      </c>
      <c r="I395" s="120">
        <f>_xlfn.IFNA(INDEX('Financial model inputs '!$A$3:$AJ$59,MATCH(F_Interface!$A395&amp;RIGHT(F_Interface!I$2,2),'Financial model inputs '!$A$3:$A$59,0),MATCH(F_Interface!$B395,'Financial model inputs '!$A$3:$AJ$3,0)),0)</f>
        <v>0.26634837482097107</v>
      </c>
      <c r="J395" s="120">
        <f>_xlfn.IFNA(INDEX('Financial model inputs '!$A$3:$AJ$59,MATCH(F_Interface!$A395&amp;RIGHT(F_Interface!J$2,2),'Financial model inputs '!$A$3:$A$59,0),MATCH(F_Interface!$B395,'Financial model inputs '!$A$3:$AJ$3,0)),0)</f>
        <v>0.26637282020369452</v>
      </c>
      <c r="K395" s="120">
        <f>_xlfn.IFNA(INDEX('Financial model inputs '!$A$3:$AJ$59,MATCH(F_Interface!$A395&amp;RIGHT(F_Interface!K$2,2),'Financial model inputs '!$A$3:$A$59,0),MATCH(F_Interface!$B395,'Financial model inputs '!$A$3:$AJ$3,0)),0)</f>
        <v>0.26635032511407863</v>
      </c>
      <c r="L395" s="120">
        <f>_xlfn.IFNA(INDEX('Financial model inputs '!$A$3:$AJ$59,MATCH(F_Interface!$A395&amp;RIGHT(F_Interface!L$2,2),'Financial model inputs '!$A$3:$A$59,0),MATCH(F_Interface!$B395,'Financial model inputs '!$A$3:$AJ$3,0)),0)</f>
        <v>0.26639729800356649</v>
      </c>
    </row>
    <row r="396" spans="1:12" x14ac:dyDescent="0.2">
      <c r="A396" s="9" t="s">
        <v>6</v>
      </c>
      <c r="B396" s="120" t="s">
        <v>261</v>
      </c>
      <c r="C396" s="10" t="str">
        <f t="shared" si="11"/>
        <v>NWTC_BRPDR_PR19CA008</v>
      </c>
      <c r="D396" s="120" t="s">
        <v>249</v>
      </c>
      <c r="E396" s="120"/>
      <c r="F396" s="143" t="s">
        <v>2</v>
      </c>
      <c r="G396" s="120"/>
      <c r="H396" s="120">
        <f>_xlfn.IFNA(INDEX('Financial model inputs '!$A$3:$AJ$59,MATCH(F_Interface!$A396&amp;RIGHT(F_Interface!H$2,2),'Financial model inputs '!$A$3:$A$59,0),MATCH(F_Interface!$B396,'Financial model inputs '!$A$3:$AJ$3,0)),0)</f>
        <v>0</v>
      </c>
      <c r="I396" s="120">
        <f>_xlfn.IFNA(INDEX('Financial model inputs '!$A$3:$AJ$59,MATCH(F_Interface!$A396&amp;RIGHT(F_Interface!I$2,2),'Financial model inputs '!$A$3:$A$59,0),MATCH(F_Interface!$B396,'Financial model inputs '!$A$3:$AJ$3,0)),0)</f>
        <v>0</v>
      </c>
      <c r="J396" s="120">
        <f>_xlfn.IFNA(INDEX('Financial model inputs '!$A$3:$AJ$59,MATCH(F_Interface!$A396&amp;RIGHT(F_Interface!J$2,2),'Financial model inputs '!$A$3:$A$59,0),MATCH(F_Interface!$B396,'Financial model inputs '!$A$3:$AJ$3,0)),0)</f>
        <v>0</v>
      </c>
      <c r="K396" s="120">
        <f>_xlfn.IFNA(INDEX('Financial model inputs '!$A$3:$AJ$59,MATCH(F_Interface!$A396&amp;RIGHT(F_Interface!K$2,2),'Financial model inputs '!$A$3:$A$59,0),MATCH(F_Interface!$B396,'Financial model inputs '!$A$3:$AJ$3,0)),0)</f>
        <v>0</v>
      </c>
      <c r="L396" s="120">
        <f>_xlfn.IFNA(INDEX('Financial model inputs '!$A$3:$AJ$59,MATCH(F_Interface!$A396&amp;RIGHT(F_Interface!L$2,2),'Financial model inputs '!$A$3:$A$59,0),MATCH(F_Interface!$B396,'Financial model inputs '!$A$3:$AJ$3,0)),0)</f>
        <v>0</v>
      </c>
    </row>
    <row r="397" spans="1:12" x14ac:dyDescent="0.2">
      <c r="A397" s="9" t="s">
        <v>7</v>
      </c>
      <c r="B397" s="120" t="s">
        <v>261</v>
      </c>
      <c r="C397" s="10" t="str">
        <f t="shared" si="11"/>
        <v>SRNC_BRPDR_PR19CA008</v>
      </c>
      <c r="D397" s="120" t="s">
        <v>249</v>
      </c>
      <c r="E397" s="120"/>
      <c r="F397" s="143" t="s">
        <v>2</v>
      </c>
      <c r="G397" s="120"/>
      <c r="H397" s="120">
        <f>_xlfn.IFNA(INDEX('Financial model inputs '!$A$3:$AJ$59,MATCH(F_Interface!$A397&amp;RIGHT(F_Interface!H$2,2),'Financial model inputs '!$A$3:$A$59,0),MATCH(F_Interface!$B397,'Financial model inputs '!$A$3:$AJ$3,0)),0)</f>
        <v>0.48674848317413139</v>
      </c>
      <c r="I397" s="120">
        <f>_xlfn.IFNA(INDEX('Financial model inputs '!$A$3:$AJ$59,MATCH(F_Interface!$A397&amp;RIGHT(F_Interface!I$2,2),'Financial model inputs '!$A$3:$A$59,0),MATCH(F_Interface!$B397,'Financial model inputs '!$A$3:$AJ$3,0)),0)</f>
        <v>0.4748527349890222</v>
      </c>
      <c r="J397" s="120">
        <f>_xlfn.IFNA(INDEX('Financial model inputs '!$A$3:$AJ$59,MATCH(F_Interface!$A397&amp;RIGHT(F_Interface!J$2,2),'Financial model inputs '!$A$3:$A$59,0),MATCH(F_Interface!$B397,'Financial model inputs '!$A$3:$AJ$3,0)),0)</f>
        <v>0.4628729740397084</v>
      </c>
      <c r="K397" s="120">
        <f>_xlfn.IFNA(INDEX('Financial model inputs '!$A$3:$AJ$59,MATCH(F_Interface!$A397&amp;RIGHT(F_Interface!K$2,2),'Financial model inputs '!$A$3:$A$59,0),MATCH(F_Interface!$B397,'Financial model inputs '!$A$3:$AJ$3,0)),0)</f>
        <v>0.45107986916283538</v>
      </c>
      <c r="L397" s="120">
        <f>_xlfn.IFNA(INDEX('Financial model inputs '!$A$3:$AJ$59,MATCH(F_Interface!$A397&amp;RIGHT(F_Interface!L$2,2),'Financial model inputs '!$A$3:$A$59,0),MATCH(F_Interface!$B397,'Financial model inputs '!$A$3:$AJ$3,0)),0)</f>
        <v>0.43997094016435351</v>
      </c>
    </row>
    <row r="398" spans="1:12" x14ac:dyDescent="0.2">
      <c r="A398" s="9" t="s">
        <v>116</v>
      </c>
      <c r="B398" s="120" t="s">
        <v>261</v>
      </c>
      <c r="C398" s="10" t="str">
        <f t="shared" si="11"/>
        <v>SVEC_BRPDR_PR19CA008</v>
      </c>
      <c r="D398" s="120" t="s">
        <v>249</v>
      </c>
      <c r="E398" s="120"/>
      <c r="F398" s="143" t="s">
        <v>2</v>
      </c>
      <c r="G398" s="120"/>
      <c r="H398" s="120">
        <f>_xlfn.IFNA(INDEX('Financial model inputs '!$A$3:$AJ$59,MATCH(F_Interface!$A398&amp;RIGHT(F_Interface!H$2,2),'Financial model inputs '!$A$3:$A$59,0),MATCH(F_Interface!$B398,'Financial model inputs '!$A$3:$AJ$3,0)),0)</f>
        <v>1.0448100286716873</v>
      </c>
      <c r="I398" s="120">
        <f>_xlfn.IFNA(INDEX('Financial model inputs '!$A$3:$AJ$59,MATCH(F_Interface!$A398&amp;RIGHT(F_Interface!I$2,2),'Financial model inputs '!$A$3:$A$59,0),MATCH(F_Interface!$B398,'Financial model inputs '!$A$3:$AJ$3,0)),0)</f>
        <v>1.0448100286716888</v>
      </c>
      <c r="J398" s="120">
        <f>_xlfn.IFNA(INDEX('Financial model inputs '!$A$3:$AJ$59,MATCH(F_Interface!$A398&amp;RIGHT(F_Interface!J$2,2),'Financial model inputs '!$A$3:$A$59,0),MATCH(F_Interface!$B398,'Financial model inputs '!$A$3:$AJ$3,0)),0)</f>
        <v>1.0448100286716868</v>
      </c>
      <c r="K398" s="120">
        <f>_xlfn.IFNA(INDEX('Financial model inputs '!$A$3:$AJ$59,MATCH(F_Interface!$A398&amp;RIGHT(F_Interface!K$2,2),'Financial model inputs '!$A$3:$A$59,0),MATCH(F_Interface!$B398,'Financial model inputs '!$A$3:$AJ$3,0)),0)</f>
        <v>1.0448100286716866</v>
      </c>
      <c r="L398" s="120">
        <f>_xlfn.IFNA(INDEX('Financial model inputs '!$A$3:$AJ$59,MATCH(F_Interface!$A398&amp;RIGHT(F_Interface!L$2,2),'Financial model inputs '!$A$3:$A$59,0),MATCH(F_Interface!$B398,'Financial model inputs '!$A$3:$AJ$3,0)),0)</f>
        <v>1.0448100286716862</v>
      </c>
    </row>
    <row r="399" spans="1:12" x14ac:dyDescent="0.2">
      <c r="A399" s="9" t="s">
        <v>101</v>
      </c>
      <c r="B399" s="120" t="s">
        <v>261</v>
      </c>
      <c r="C399" s="10" t="str">
        <f t="shared" si="11"/>
        <v>SVHC_BRPDR_PR19CA008</v>
      </c>
      <c r="D399" s="120" t="s">
        <v>249</v>
      </c>
      <c r="E399" s="120"/>
      <c r="F399" s="143" t="s">
        <v>2</v>
      </c>
      <c r="G399" s="120"/>
      <c r="H399" s="120">
        <f>_xlfn.IFNA(INDEX('Financial model inputs '!$A$3:$AJ$59,MATCH(F_Interface!$A399&amp;RIGHT(F_Interface!H$2,2),'Financial model inputs '!$A$3:$A$59,0),MATCH(F_Interface!$B399,'Financial model inputs '!$A$3:$AJ$3,0)),0)</f>
        <v>0</v>
      </c>
      <c r="I399" s="120">
        <f>_xlfn.IFNA(INDEX('Financial model inputs '!$A$3:$AJ$59,MATCH(F_Interface!$A399&amp;RIGHT(F_Interface!I$2,2),'Financial model inputs '!$A$3:$A$59,0),MATCH(F_Interface!$B399,'Financial model inputs '!$A$3:$AJ$3,0)),0)</f>
        <v>0</v>
      </c>
      <c r="J399" s="120">
        <f>_xlfn.IFNA(INDEX('Financial model inputs '!$A$3:$AJ$59,MATCH(F_Interface!$A399&amp;RIGHT(F_Interface!J$2,2),'Financial model inputs '!$A$3:$A$59,0),MATCH(F_Interface!$B399,'Financial model inputs '!$A$3:$AJ$3,0)),0)</f>
        <v>0</v>
      </c>
      <c r="K399" s="120">
        <f>_xlfn.IFNA(INDEX('Financial model inputs '!$A$3:$AJ$59,MATCH(F_Interface!$A399&amp;RIGHT(F_Interface!K$2,2),'Financial model inputs '!$A$3:$A$59,0),MATCH(F_Interface!$B399,'Financial model inputs '!$A$3:$AJ$3,0)),0)</f>
        <v>0</v>
      </c>
      <c r="L399" s="120">
        <f>_xlfn.IFNA(INDEX('Financial model inputs '!$A$3:$AJ$59,MATCH(F_Interface!$A399&amp;RIGHT(F_Interface!L$2,2),'Financial model inputs '!$A$3:$A$59,0),MATCH(F_Interface!$B399,'Financial model inputs '!$A$3:$AJ$3,0)),0)</f>
        <v>0</v>
      </c>
    </row>
    <row r="400" spans="1:12" x14ac:dyDescent="0.2">
      <c r="A400" s="9" t="s">
        <v>8</v>
      </c>
      <c r="B400" s="120" t="s">
        <v>261</v>
      </c>
      <c r="C400" s="10" t="str">
        <f t="shared" si="11"/>
        <v>SVTC_BRPDR_PR19CA008</v>
      </c>
      <c r="D400" s="120" t="s">
        <v>249</v>
      </c>
      <c r="E400" s="120"/>
      <c r="F400" s="143" t="s">
        <v>2</v>
      </c>
      <c r="G400" s="120"/>
      <c r="H400" s="120">
        <f>_xlfn.IFNA(INDEX('Financial model inputs '!$A$3:$AJ$59,MATCH(F_Interface!$A400&amp;RIGHT(F_Interface!H$2,2),'Financial model inputs '!$A$3:$A$59,0),MATCH(F_Interface!$B400,'Financial model inputs '!$A$3:$AJ$3,0)),0)</f>
        <v>0</v>
      </c>
      <c r="I400" s="120">
        <f>_xlfn.IFNA(INDEX('Financial model inputs '!$A$3:$AJ$59,MATCH(F_Interface!$A400&amp;RIGHT(F_Interface!I$2,2),'Financial model inputs '!$A$3:$A$59,0),MATCH(F_Interface!$B400,'Financial model inputs '!$A$3:$AJ$3,0)),0)</f>
        <v>0</v>
      </c>
      <c r="J400" s="120">
        <f>_xlfn.IFNA(INDEX('Financial model inputs '!$A$3:$AJ$59,MATCH(F_Interface!$A400&amp;RIGHT(F_Interface!J$2,2),'Financial model inputs '!$A$3:$A$59,0),MATCH(F_Interface!$B400,'Financial model inputs '!$A$3:$AJ$3,0)),0)</f>
        <v>0</v>
      </c>
      <c r="K400" s="120">
        <f>_xlfn.IFNA(INDEX('Financial model inputs '!$A$3:$AJ$59,MATCH(F_Interface!$A400&amp;RIGHT(F_Interface!K$2,2),'Financial model inputs '!$A$3:$A$59,0),MATCH(F_Interface!$B400,'Financial model inputs '!$A$3:$AJ$3,0)),0)</f>
        <v>0</v>
      </c>
      <c r="L400" s="120">
        <f>_xlfn.IFNA(INDEX('Financial model inputs '!$A$3:$AJ$59,MATCH(F_Interface!$A400&amp;RIGHT(F_Interface!L$2,2),'Financial model inputs '!$A$3:$A$59,0),MATCH(F_Interface!$B400,'Financial model inputs '!$A$3:$AJ$3,0)),0)</f>
        <v>0</v>
      </c>
    </row>
    <row r="401" spans="1:12" x14ac:dyDescent="0.2">
      <c r="A401" s="9" t="s">
        <v>12</v>
      </c>
      <c r="B401" s="120" t="s">
        <v>261</v>
      </c>
      <c r="C401" s="10" t="str">
        <f t="shared" si="11"/>
        <v>SWBC_BRPDR_PR19CA008</v>
      </c>
      <c r="D401" s="120" t="s">
        <v>249</v>
      </c>
      <c r="E401" s="120"/>
      <c r="F401" s="143" t="s">
        <v>2</v>
      </c>
      <c r="G401" s="120"/>
      <c r="H401" s="120">
        <f>_xlfn.IFNA(INDEX('Financial model inputs '!$A$3:$AJ$59,MATCH(F_Interface!$A401&amp;RIGHT(F_Interface!H$2,2),'Financial model inputs '!$A$3:$A$59,0),MATCH(F_Interface!$B401,'Financial model inputs '!$A$3:$AJ$3,0)),0)</f>
        <v>0.80617553374249229</v>
      </c>
      <c r="I401" s="120">
        <f>_xlfn.IFNA(INDEX('Financial model inputs '!$A$3:$AJ$59,MATCH(F_Interface!$A401&amp;RIGHT(F_Interface!I$2,2),'Financial model inputs '!$A$3:$A$59,0),MATCH(F_Interface!$B401,'Financial model inputs '!$A$3:$AJ$3,0)),0)</f>
        <v>0.80709091289251655</v>
      </c>
      <c r="J401" s="120">
        <f>_xlfn.IFNA(INDEX('Financial model inputs '!$A$3:$AJ$59,MATCH(F_Interface!$A401&amp;RIGHT(F_Interface!J$2,2),'Financial model inputs '!$A$3:$A$59,0),MATCH(F_Interface!$B401,'Financial model inputs '!$A$3:$AJ$3,0)),0)</f>
        <v>0</v>
      </c>
      <c r="K401" s="120">
        <f>_xlfn.IFNA(INDEX('Financial model inputs '!$A$3:$AJ$59,MATCH(F_Interface!$A401&amp;RIGHT(F_Interface!K$2,2),'Financial model inputs '!$A$3:$A$59,0),MATCH(F_Interface!$B401,'Financial model inputs '!$A$3:$AJ$3,0)),0)</f>
        <v>0</v>
      </c>
      <c r="L401" s="120">
        <f>_xlfn.IFNA(INDEX('Financial model inputs '!$A$3:$AJ$59,MATCH(F_Interface!$A401&amp;RIGHT(F_Interface!L$2,2),'Financial model inputs '!$A$3:$A$59,0),MATCH(F_Interface!$B401,'Financial model inputs '!$A$3:$AJ$3,0)),0)</f>
        <v>0</v>
      </c>
    </row>
    <row r="402" spans="1:12" x14ac:dyDescent="0.2">
      <c r="A402" s="9" t="s">
        <v>9</v>
      </c>
      <c r="B402" s="120" t="s">
        <v>261</v>
      </c>
      <c r="C402" s="10" t="str">
        <f t="shared" si="11"/>
        <v>TMSC_BRPDR_PR19CA008</v>
      </c>
      <c r="D402" s="120" t="s">
        <v>249</v>
      </c>
      <c r="E402" s="120"/>
      <c r="F402" s="143" t="s">
        <v>2</v>
      </c>
      <c r="G402" s="120"/>
      <c r="H402" s="120">
        <f>_xlfn.IFNA(INDEX('Financial model inputs '!$A$3:$AJ$59,MATCH(F_Interface!$A402&amp;RIGHT(F_Interface!H$2,2),'Financial model inputs '!$A$3:$A$59,0),MATCH(F_Interface!$B402,'Financial model inputs '!$A$3:$AJ$3,0)),0)</f>
        <v>2.3657548038044807</v>
      </c>
      <c r="I402" s="120">
        <f>_xlfn.IFNA(INDEX('Financial model inputs '!$A$3:$AJ$59,MATCH(F_Interface!$A402&amp;RIGHT(F_Interface!I$2,2),'Financial model inputs '!$A$3:$A$59,0),MATCH(F_Interface!$B402,'Financial model inputs '!$A$3:$AJ$3,0)),0)</f>
        <v>2.3657548038044731</v>
      </c>
      <c r="J402" s="120">
        <f>_xlfn.IFNA(INDEX('Financial model inputs '!$A$3:$AJ$59,MATCH(F_Interface!$A402&amp;RIGHT(F_Interface!J$2,2),'Financial model inputs '!$A$3:$A$59,0),MATCH(F_Interface!$B402,'Financial model inputs '!$A$3:$AJ$3,0)),0)</f>
        <v>2.3657548038044709</v>
      </c>
      <c r="K402" s="120">
        <f>_xlfn.IFNA(INDEX('Financial model inputs '!$A$3:$AJ$59,MATCH(F_Interface!$A402&amp;RIGHT(F_Interface!K$2,2),'Financial model inputs '!$A$3:$A$59,0),MATCH(F_Interface!$B402,'Financial model inputs '!$A$3:$AJ$3,0)),0)</f>
        <v>0</v>
      </c>
      <c r="L402" s="120">
        <f>_xlfn.IFNA(INDEX('Financial model inputs '!$A$3:$AJ$59,MATCH(F_Interface!$A402&amp;RIGHT(F_Interface!L$2,2),'Financial model inputs '!$A$3:$A$59,0),MATCH(F_Interface!$B402,'Financial model inputs '!$A$3:$AJ$3,0)),0)</f>
        <v>0</v>
      </c>
    </row>
    <row r="403" spans="1:12" x14ac:dyDescent="0.2">
      <c r="A403" s="9" t="s">
        <v>15</v>
      </c>
      <c r="B403" s="120" t="s">
        <v>261</v>
      </c>
      <c r="C403" s="10" t="str">
        <f t="shared" si="11"/>
        <v>WSHC_BRPDR_PR19CA008</v>
      </c>
      <c r="D403" s="120" t="s">
        <v>249</v>
      </c>
      <c r="E403" s="120"/>
      <c r="F403" s="143" t="s">
        <v>2</v>
      </c>
      <c r="G403" s="120"/>
      <c r="H403" s="120">
        <f>_xlfn.IFNA(INDEX('Financial model inputs '!$A$3:$AJ$59,MATCH(F_Interface!$A403&amp;RIGHT(F_Interface!H$2,2),'Financial model inputs '!$A$3:$A$59,0),MATCH(F_Interface!$B403,'Financial model inputs '!$A$3:$AJ$3,0)),0)</f>
        <v>0</v>
      </c>
      <c r="I403" s="120">
        <f>_xlfn.IFNA(INDEX('Financial model inputs '!$A$3:$AJ$59,MATCH(F_Interface!$A403&amp;RIGHT(F_Interface!I$2,2),'Financial model inputs '!$A$3:$A$59,0),MATCH(F_Interface!$B403,'Financial model inputs '!$A$3:$AJ$3,0)),0)</f>
        <v>0</v>
      </c>
      <c r="J403" s="120">
        <f>_xlfn.IFNA(INDEX('Financial model inputs '!$A$3:$AJ$59,MATCH(F_Interface!$A403&amp;RIGHT(F_Interface!J$2,2),'Financial model inputs '!$A$3:$A$59,0),MATCH(F_Interface!$B403,'Financial model inputs '!$A$3:$AJ$3,0)),0)</f>
        <v>0</v>
      </c>
      <c r="K403" s="120">
        <f>_xlfn.IFNA(INDEX('Financial model inputs '!$A$3:$AJ$59,MATCH(F_Interface!$A403&amp;RIGHT(F_Interface!K$2,2),'Financial model inputs '!$A$3:$A$59,0),MATCH(F_Interface!$B403,'Financial model inputs '!$A$3:$AJ$3,0)),0)</f>
        <v>0</v>
      </c>
      <c r="L403" s="120">
        <f>_xlfn.IFNA(INDEX('Financial model inputs '!$A$3:$AJ$59,MATCH(F_Interface!$A403&amp;RIGHT(F_Interface!L$2,2),'Financial model inputs '!$A$3:$A$59,0),MATCH(F_Interface!$B403,'Financial model inputs '!$A$3:$AJ$3,0)),0)</f>
        <v>0</v>
      </c>
    </row>
    <row r="404" spans="1:12" x14ac:dyDescent="0.2">
      <c r="A404" s="9" t="s">
        <v>10</v>
      </c>
      <c r="B404" s="120" t="s">
        <v>261</v>
      </c>
      <c r="C404" s="10" t="str">
        <f t="shared" si="11"/>
        <v>WSXC_BRPDR_PR19CA008</v>
      </c>
      <c r="D404" s="120" t="s">
        <v>249</v>
      </c>
      <c r="E404" s="120"/>
      <c r="F404" s="143" t="s">
        <v>2</v>
      </c>
      <c r="G404" s="120"/>
      <c r="H404" s="120">
        <f>_xlfn.IFNA(INDEX('Financial model inputs '!$A$3:$AJ$59,MATCH(F_Interface!$A404&amp;RIGHT(F_Interface!H$2,2),'Financial model inputs '!$A$3:$A$59,0),MATCH(F_Interface!$B404,'Financial model inputs '!$A$3:$AJ$3,0)),0)</f>
        <v>0.64335238982312426</v>
      </c>
      <c r="I404" s="120">
        <f>_xlfn.IFNA(INDEX('Financial model inputs '!$A$3:$AJ$59,MATCH(F_Interface!$A404&amp;RIGHT(F_Interface!I$2,2),'Financial model inputs '!$A$3:$A$59,0),MATCH(F_Interface!$B404,'Financial model inputs '!$A$3:$AJ$3,0)),0)</f>
        <v>0.62552776116242281</v>
      </c>
      <c r="J404" s="120">
        <f>_xlfn.IFNA(INDEX('Financial model inputs '!$A$3:$AJ$59,MATCH(F_Interface!$A404&amp;RIGHT(F_Interface!J$2,2),'Financial model inputs '!$A$3:$A$59,0),MATCH(F_Interface!$B404,'Financial model inputs '!$A$3:$AJ$3,0)),0)</f>
        <v>0.60773220677925732</v>
      </c>
      <c r="K404" s="120">
        <f>_xlfn.IFNA(INDEX('Financial model inputs '!$A$3:$AJ$59,MATCH(F_Interface!$A404&amp;RIGHT(F_Interface!K$2,2),'Financial model inputs '!$A$3:$A$59,0),MATCH(F_Interface!$B404,'Financial model inputs '!$A$3:$AJ$3,0)),0)</f>
        <v>0</v>
      </c>
      <c r="L404" s="120">
        <f>_xlfn.IFNA(INDEX('Financial model inputs '!$A$3:$AJ$59,MATCH(F_Interface!$A404&amp;RIGHT(F_Interface!L$2,2),'Financial model inputs '!$A$3:$A$59,0),MATCH(F_Interface!$B404,'Financial model inputs '!$A$3:$AJ$3,0)),0)</f>
        <v>0</v>
      </c>
    </row>
    <row r="405" spans="1:12" x14ac:dyDescent="0.2">
      <c r="A405" s="9" t="s">
        <v>11</v>
      </c>
      <c r="B405" s="120" t="s">
        <v>261</v>
      </c>
      <c r="C405" s="10" t="str">
        <f t="shared" si="11"/>
        <v>YKYC_BRPDR_PR19CA008</v>
      </c>
      <c r="D405" s="120" t="s">
        <v>249</v>
      </c>
      <c r="E405" s="120"/>
      <c r="F405" s="143" t="s">
        <v>2</v>
      </c>
      <c r="G405" s="120"/>
      <c r="H405" s="120">
        <f>_xlfn.IFNA(INDEX('Financial model inputs '!$A$3:$AJ$59,MATCH(F_Interface!$A405&amp;RIGHT(F_Interface!H$2,2),'Financial model inputs '!$A$3:$A$59,0),MATCH(F_Interface!$B405,'Financial model inputs '!$A$3:$AJ$3,0)),0)</f>
        <v>1.4690434381838828</v>
      </c>
      <c r="I405" s="120">
        <f>_xlfn.IFNA(INDEX('Financial model inputs '!$A$3:$AJ$59,MATCH(F_Interface!$A405&amp;RIGHT(F_Interface!I$2,2),'Financial model inputs '!$A$3:$A$59,0),MATCH(F_Interface!$B405,'Financial model inputs '!$A$3:$AJ$3,0)),0)</f>
        <v>1.4690434381838828</v>
      </c>
      <c r="J405" s="120">
        <f>_xlfn.IFNA(INDEX('Financial model inputs '!$A$3:$AJ$59,MATCH(F_Interface!$A405&amp;RIGHT(F_Interface!J$2,2),'Financial model inputs '!$A$3:$A$59,0),MATCH(F_Interface!$B405,'Financial model inputs '!$A$3:$AJ$3,0)),0)</f>
        <v>0</v>
      </c>
      <c r="K405" s="120">
        <f>_xlfn.IFNA(INDEX('Financial model inputs '!$A$3:$AJ$59,MATCH(F_Interface!$A405&amp;RIGHT(F_Interface!K$2,2),'Financial model inputs '!$A$3:$A$59,0),MATCH(F_Interface!$B405,'Financial model inputs '!$A$3:$AJ$3,0)),0)</f>
        <v>0</v>
      </c>
      <c r="L405" s="120">
        <f>_xlfn.IFNA(INDEX('Financial model inputs '!$A$3:$AJ$59,MATCH(F_Interface!$A405&amp;RIGHT(F_Interface!L$2,2),'Financial model inputs '!$A$3:$A$59,0),MATCH(F_Interface!$B405,'Financial model inputs '!$A$3:$AJ$3,0)),0)</f>
        <v>0</v>
      </c>
    </row>
    <row r="406" spans="1:12" x14ac:dyDescent="0.2">
      <c r="A406" s="9" t="s">
        <v>4</v>
      </c>
      <c r="B406" s="143" t="s">
        <v>262</v>
      </c>
      <c r="C406" s="10" t="str">
        <f t="shared" si="11"/>
        <v>ANHC_DUMMYPDR_PR19CA008</v>
      </c>
      <c r="D406" s="120" t="s">
        <v>185</v>
      </c>
      <c r="E406" s="120"/>
      <c r="F406" s="143" t="s">
        <v>2</v>
      </c>
      <c r="G406" s="120"/>
      <c r="H406" s="120">
        <f>_xlfn.IFNA(INDEX('Financial model inputs '!$A$3:$AJ$59,MATCH(F_Interface!$A406&amp;RIGHT(F_Interface!H$2,2),'Financial model inputs '!$A$3:$A$59,0),MATCH(F_Interface!$B406,'Financial model inputs '!$A$3:$AJ$3,0)),0)</f>
        <v>0</v>
      </c>
      <c r="I406" s="120">
        <f>_xlfn.IFNA(INDEX('Financial model inputs '!$A$3:$AJ$59,MATCH(F_Interface!$A406&amp;RIGHT(F_Interface!I$2,2),'Financial model inputs '!$A$3:$A$59,0),MATCH(F_Interface!$B406,'Financial model inputs '!$A$3:$AJ$3,0)),0)</f>
        <v>0</v>
      </c>
      <c r="J406" s="120">
        <f>_xlfn.IFNA(INDEX('Financial model inputs '!$A$3:$AJ$59,MATCH(F_Interface!$A406&amp;RIGHT(F_Interface!J$2,2),'Financial model inputs '!$A$3:$A$59,0),MATCH(F_Interface!$B406,'Financial model inputs '!$A$3:$AJ$3,0)),0)</f>
        <v>0</v>
      </c>
      <c r="K406" s="120">
        <f>_xlfn.IFNA(INDEX('Financial model inputs '!$A$3:$AJ$59,MATCH(F_Interface!$A406&amp;RIGHT(F_Interface!K$2,2),'Financial model inputs '!$A$3:$A$59,0),MATCH(F_Interface!$B406,'Financial model inputs '!$A$3:$AJ$3,0)),0)</f>
        <v>0</v>
      </c>
      <c r="L406" s="120">
        <f>_xlfn.IFNA(INDEX('Financial model inputs '!$A$3:$AJ$59,MATCH(F_Interface!$A406&amp;RIGHT(F_Interface!L$2,2),'Financial model inputs '!$A$3:$A$59,0),MATCH(F_Interface!$B406,'Financial model inputs '!$A$3:$AJ$3,0)),0)</f>
        <v>0</v>
      </c>
    </row>
    <row r="407" spans="1:12" x14ac:dyDescent="0.2">
      <c r="A407" s="9" t="s">
        <v>87</v>
      </c>
      <c r="B407" s="143" t="s">
        <v>262</v>
      </c>
      <c r="C407" s="10" t="str">
        <f t="shared" si="11"/>
        <v>HDDC_DUMMYPDR_PR19CA008</v>
      </c>
      <c r="D407" s="120" t="s">
        <v>185</v>
      </c>
      <c r="E407" s="120"/>
      <c r="F407" s="143" t="s">
        <v>2</v>
      </c>
      <c r="G407" s="120"/>
      <c r="H407" s="120">
        <f>_xlfn.IFNA(INDEX('Financial model inputs '!$A$3:$AJ$59,MATCH(F_Interface!$A407&amp;RIGHT(F_Interface!H$2,2),'Financial model inputs '!$A$3:$A$59,0),MATCH(F_Interface!$B407,'Financial model inputs '!$A$3:$AJ$3,0)),0)</f>
        <v>0</v>
      </c>
      <c r="I407" s="120">
        <f>_xlfn.IFNA(INDEX('Financial model inputs '!$A$3:$AJ$59,MATCH(F_Interface!$A407&amp;RIGHT(F_Interface!I$2,2),'Financial model inputs '!$A$3:$A$59,0),MATCH(F_Interface!$B407,'Financial model inputs '!$A$3:$AJ$3,0)),0)</f>
        <v>0</v>
      </c>
      <c r="J407" s="120">
        <f>_xlfn.IFNA(INDEX('Financial model inputs '!$A$3:$AJ$59,MATCH(F_Interface!$A407&amp;RIGHT(F_Interface!J$2,2),'Financial model inputs '!$A$3:$A$59,0),MATCH(F_Interface!$B407,'Financial model inputs '!$A$3:$AJ$3,0)),0)</f>
        <v>0</v>
      </c>
      <c r="K407" s="120">
        <f>_xlfn.IFNA(INDEX('Financial model inputs '!$A$3:$AJ$59,MATCH(F_Interface!$A407&amp;RIGHT(F_Interface!K$2,2),'Financial model inputs '!$A$3:$A$59,0),MATCH(F_Interface!$B407,'Financial model inputs '!$A$3:$AJ$3,0)),0)</f>
        <v>0</v>
      </c>
      <c r="L407" s="120">
        <f>_xlfn.IFNA(INDEX('Financial model inputs '!$A$3:$AJ$59,MATCH(F_Interface!$A407&amp;RIGHT(F_Interface!L$2,2),'Financial model inputs '!$A$3:$A$59,0),MATCH(F_Interface!$B407,'Financial model inputs '!$A$3:$AJ$3,0)),0)</f>
        <v>0</v>
      </c>
    </row>
    <row r="408" spans="1:12" x14ac:dyDescent="0.2">
      <c r="A408" s="9" t="s">
        <v>5</v>
      </c>
      <c r="B408" s="143" t="s">
        <v>262</v>
      </c>
      <c r="C408" s="10" t="str">
        <f t="shared" si="11"/>
        <v>NESC_DUMMYPDR_PR19CA008</v>
      </c>
      <c r="D408" s="120" t="s">
        <v>185</v>
      </c>
      <c r="E408" s="120"/>
      <c r="F408" s="143" t="s">
        <v>2</v>
      </c>
      <c r="G408" s="120"/>
      <c r="H408" s="120">
        <f>_xlfn.IFNA(INDEX('Financial model inputs '!$A$3:$AJ$59,MATCH(F_Interface!$A408&amp;RIGHT(F_Interface!H$2,2),'Financial model inputs '!$A$3:$A$59,0),MATCH(F_Interface!$B408,'Financial model inputs '!$A$3:$AJ$3,0)),0)</f>
        <v>0</v>
      </c>
      <c r="I408" s="120">
        <f>_xlfn.IFNA(INDEX('Financial model inputs '!$A$3:$AJ$59,MATCH(F_Interface!$A408&amp;RIGHT(F_Interface!I$2,2),'Financial model inputs '!$A$3:$A$59,0),MATCH(F_Interface!$B408,'Financial model inputs '!$A$3:$AJ$3,0)),0)</f>
        <v>0</v>
      </c>
      <c r="J408" s="120">
        <f>_xlfn.IFNA(INDEX('Financial model inputs '!$A$3:$AJ$59,MATCH(F_Interface!$A408&amp;RIGHT(F_Interface!J$2,2),'Financial model inputs '!$A$3:$A$59,0),MATCH(F_Interface!$B408,'Financial model inputs '!$A$3:$AJ$3,0)),0)</f>
        <v>0</v>
      </c>
      <c r="K408" s="120">
        <f>_xlfn.IFNA(INDEX('Financial model inputs '!$A$3:$AJ$59,MATCH(F_Interface!$A408&amp;RIGHT(F_Interface!K$2,2),'Financial model inputs '!$A$3:$A$59,0),MATCH(F_Interface!$B408,'Financial model inputs '!$A$3:$AJ$3,0)),0)</f>
        <v>0</v>
      </c>
      <c r="L408" s="120">
        <f>_xlfn.IFNA(INDEX('Financial model inputs '!$A$3:$AJ$59,MATCH(F_Interface!$A408&amp;RIGHT(F_Interface!L$2,2),'Financial model inputs '!$A$3:$A$59,0),MATCH(F_Interface!$B408,'Financial model inputs '!$A$3:$AJ$3,0)),0)</f>
        <v>0</v>
      </c>
    </row>
    <row r="409" spans="1:12" x14ac:dyDescent="0.2">
      <c r="A409" s="9" t="s">
        <v>6</v>
      </c>
      <c r="B409" s="143" t="s">
        <v>262</v>
      </c>
      <c r="C409" s="10" t="str">
        <f t="shared" si="11"/>
        <v>NWTC_DUMMYPDR_PR19CA008</v>
      </c>
      <c r="D409" s="120" t="s">
        <v>185</v>
      </c>
      <c r="E409" s="120"/>
      <c r="F409" s="143" t="s">
        <v>2</v>
      </c>
      <c r="G409" s="120"/>
      <c r="H409" s="120">
        <f>_xlfn.IFNA(INDEX('Financial model inputs '!$A$3:$AJ$59,MATCH(F_Interface!$A409&amp;RIGHT(F_Interface!H$2,2),'Financial model inputs '!$A$3:$A$59,0),MATCH(F_Interface!$B409,'Financial model inputs '!$A$3:$AJ$3,0)),0)</f>
        <v>0</v>
      </c>
      <c r="I409" s="120">
        <f>_xlfn.IFNA(INDEX('Financial model inputs '!$A$3:$AJ$59,MATCH(F_Interface!$A409&amp;RIGHT(F_Interface!I$2,2),'Financial model inputs '!$A$3:$A$59,0),MATCH(F_Interface!$B409,'Financial model inputs '!$A$3:$AJ$3,0)),0)</f>
        <v>0</v>
      </c>
      <c r="J409" s="120">
        <f>_xlfn.IFNA(INDEX('Financial model inputs '!$A$3:$AJ$59,MATCH(F_Interface!$A409&amp;RIGHT(F_Interface!J$2,2),'Financial model inputs '!$A$3:$A$59,0),MATCH(F_Interface!$B409,'Financial model inputs '!$A$3:$AJ$3,0)),0)</f>
        <v>0</v>
      </c>
      <c r="K409" s="120">
        <f>_xlfn.IFNA(INDEX('Financial model inputs '!$A$3:$AJ$59,MATCH(F_Interface!$A409&amp;RIGHT(F_Interface!K$2,2),'Financial model inputs '!$A$3:$A$59,0),MATCH(F_Interface!$B409,'Financial model inputs '!$A$3:$AJ$3,0)),0)</f>
        <v>0</v>
      </c>
      <c r="L409" s="120">
        <f>_xlfn.IFNA(INDEX('Financial model inputs '!$A$3:$AJ$59,MATCH(F_Interface!$A409&amp;RIGHT(F_Interface!L$2,2),'Financial model inputs '!$A$3:$A$59,0),MATCH(F_Interface!$B409,'Financial model inputs '!$A$3:$AJ$3,0)),0)</f>
        <v>0</v>
      </c>
    </row>
    <row r="410" spans="1:12" x14ac:dyDescent="0.2">
      <c r="A410" s="9" t="s">
        <v>7</v>
      </c>
      <c r="B410" s="143" t="s">
        <v>262</v>
      </c>
      <c r="C410" s="10" t="str">
        <f t="shared" si="11"/>
        <v>SRNC_DUMMYPDR_PR19CA008</v>
      </c>
      <c r="D410" s="120" t="s">
        <v>185</v>
      </c>
      <c r="E410" s="120"/>
      <c r="F410" s="143" t="s">
        <v>2</v>
      </c>
      <c r="G410" s="120"/>
      <c r="H410" s="120">
        <f>_xlfn.IFNA(INDEX('Financial model inputs '!$A$3:$AJ$59,MATCH(F_Interface!$A410&amp;RIGHT(F_Interface!H$2,2),'Financial model inputs '!$A$3:$A$59,0),MATCH(F_Interface!$B410,'Financial model inputs '!$A$3:$AJ$3,0)),0)</f>
        <v>0</v>
      </c>
      <c r="I410" s="120">
        <f>_xlfn.IFNA(INDEX('Financial model inputs '!$A$3:$AJ$59,MATCH(F_Interface!$A410&amp;RIGHT(F_Interface!I$2,2),'Financial model inputs '!$A$3:$A$59,0),MATCH(F_Interface!$B410,'Financial model inputs '!$A$3:$AJ$3,0)),0)</f>
        <v>0</v>
      </c>
      <c r="J410" s="120">
        <f>_xlfn.IFNA(INDEX('Financial model inputs '!$A$3:$AJ$59,MATCH(F_Interface!$A410&amp;RIGHT(F_Interface!J$2,2),'Financial model inputs '!$A$3:$A$59,0),MATCH(F_Interface!$B410,'Financial model inputs '!$A$3:$AJ$3,0)),0)</f>
        <v>0</v>
      </c>
      <c r="K410" s="120">
        <f>_xlfn.IFNA(INDEX('Financial model inputs '!$A$3:$AJ$59,MATCH(F_Interface!$A410&amp;RIGHT(F_Interface!K$2,2),'Financial model inputs '!$A$3:$A$59,0),MATCH(F_Interface!$B410,'Financial model inputs '!$A$3:$AJ$3,0)),0)</f>
        <v>0</v>
      </c>
      <c r="L410" s="120">
        <f>_xlfn.IFNA(INDEX('Financial model inputs '!$A$3:$AJ$59,MATCH(F_Interface!$A410&amp;RIGHT(F_Interface!L$2,2),'Financial model inputs '!$A$3:$A$59,0),MATCH(F_Interface!$B410,'Financial model inputs '!$A$3:$AJ$3,0)),0)</f>
        <v>0</v>
      </c>
    </row>
    <row r="411" spans="1:12" x14ac:dyDescent="0.2">
      <c r="A411" s="9" t="s">
        <v>116</v>
      </c>
      <c r="B411" s="143" t="s">
        <v>262</v>
      </c>
      <c r="C411" s="10" t="str">
        <f t="shared" si="11"/>
        <v>SVEC_DUMMYPDR_PR19CA008</v>
      </c>
      <c r="D411" s="120" t="s">
        <v>185</v>
      </c>
      <c r="E411" s="120"/>
      <c r="F411" s="143" t="s">
        <v>2</v>
      </c>
      <c r="G411" s="120"/>
      <c r="H411" s="120">
        <f>_xlfn.IFNA(INDEX('Financial model inputs '!$A$3:$AJ$59,MATCH(F_Interface!$A411&amp;RIGHT(F_Interface!H$2,2),'Financial model inputs '!$A$3:$A$59,0),MATCH(F_Interface!$B411,'Financial model inputs '!$A$3:$AJ$3,0)),0)</f>
        <v>0</v>
      </c>
      <c r="I411" s="120">
        <f>_xlfn.IFNA(INDEX('Financial model inputs '!$A$3:$AJ$59,MATCH(F_Interface!$A411&amp;RIGHT(F_Interface!I$2,2),'Financial model inputs '!$A$3:$A$59,0),MATCH(F_Interface!$B411,'Financial model inputs '!$A$3:$AJ$3,0)),0)</f>
        <v>0</v>
      </c>
      <c r="J411" s="120">
        <f>_xlfn.IFNA(INDEX('Financial model inputs '!$A$3:$AJ$59,MATCH(F_Interface!$A411&amp;RIGHT(F_Interface!J$2,2),'Financial model inputs '!$A$3:$A$59,0),MATCH(F_Interface!$B411,'Financial model inputs '!$A$3:$AJ$3,0)),0)</f>
        <v>0</v>
      </c>
      <c r="K411" s="120">
        <f>_xlfn.IFNA(INDEX('Financial model inputs '!$A$3:$AJ$59,MATCH(F_Interface!$A411&amp;RIGHT(F_Interface!K$2,2),'Financial model inputs '!$A$3:$A$59,0),MATCH(F_Interface!$B411,'Financial model inputs '!$A$3:$AJ$3,0)),0)</f>
        <v>0</v>
      </c>
      <c r="L411" s="120">
        <f>_xlfn.IFNA(INDEX('Financial model inputs '!$A$3:$AJ$59,MATCH(F_Interface!$A411&amp;RIGHT(F_Interface!L$2,2),'Financial model inputs '!$A$3:$A$59,0),MATCH(F_Interface!$B411,'Financial model inputs '!$A$3:$AJ$3,0)),0)</f>
        <v>0</v>
      </c>
    </row>
    <row r="412" spans="1:12" x14ac:dyDescent="0.2">
      <c r="A412" s="9" t="s">
        <v>101</v>
      </c>
      <c r="B412" s="143" t="s">
        <v>262</v>
      </c>
      <c r="C412" s="10" t="str">
        <f t="shared" si="11"/>
        <v>SVHC_DUMMYPDR_PR19CA008</v>
      </c>
      <c r="D412" s="120" t="s">
        <v>185</v>
      </c>
      <c r="E412" s="120"/>
      <c r="F412" s="143" t="s">
        <v>2</v>
      </c>
      <c r="G412" s="120"/>
      <c r="H412" s="120">
        <f>_xlfn.IFNA(INDEX('Financial model inputs '!$A$3:$AJ$59,MATCH(F_Interface!$A412&amp;RIGHT(F_Interface!H$2,2),'Financial model inputs '!$A$3:$A$59,0),MATCH(F_Interface!$B412,'Financial model inputs '!$A$3:$AJ$3,0)),0)</f>
        <v>0</v>
      </c>
      <c r="I412" s="120">
        <f>_xlfn.IFNA(INDEX('Financial model inputs '!$A$3:$AJ$59,MATCH(F_Interface!$A412&amp;RIGHT(F_Interface!I$2,2),'Financial model inputs '!$A$3:$A$59,0),MATCH(F_Interface!$B412,'Financial model inputs '!$A$3:$AJ$3,0)),0)</f>
        <v>0</v>
      </c>
      <c r="J412" s="120">
        <f>_xlfn.IFNA(INDEX('Financial model inputs '!$A$3:$AJ$59,MATCH(F_Interface!$A412&amp;RIGHT(F_Interface!J$2,2),'Financial model inputs '!$A$3:$A$59,0),MATCH(F_Interface!$B412,'Financial model inputs '!$A$3:$AJ$3,0)),0)</f>
        <v>0</v>
      </c>
      <c r="K412" s="120">
        <f>_xlfn.IFNA(INDEX('Financial model inputs '!$A$3:$AJ$59,MATCH(F_Interface!$A412&amp;RIGHT(F_Interface!K$2,2),'Financial model inputs '!$A$3:$A$59,0),MATCH(F_Interface!$B412,'Financial model inputs '!$A$3:$AJ$3,0)),0)</f>
        <v>0</v>
      </c>
      <c r="L412" s="120">
        <f>_xlfn.IFNA(INDEX('Financial model inputs '!$A$3:$AJ$59,MATCH(F_Interface!$A412&amp;RIGHT(F_Interface!L$2,2),'Financial model inputs '!$A$3:$A$59,0),MATCH(F_Interface!$B412,'Financial model inputs '!$A$3:$AJ$3,0)),0)</f>
        <v>0</v>
      </c>
    </row>
    <row r="413" spans="1:12" x14ac:dyDescent="0.2">
      <c r="A413" s="9" t="s">
        <v>8</v>
      </c>
      <c r="B413" s="143" t="s">
        <v>262</v>
      </c>
      <c r="C413" s="10" t="str">
        <f t="shared" si="11"/>
        <v>SVTC_DUMMYPDR_PR19CA008</v>
      </c>
      <c r="D413" s="120" t="s">
        <v>185</v>
      </c>
      <c r="E413" s="120"/>
      <c r="F413" s="143" t="s">
        <v>2</v>
      </c>
      <c r="G413" s="120"/>
      <c r="H413" s="120">
        <f>_xlfn.IFNA(INDEX('Financial model inputs '!$A$3:$AJ$59,MATCH(F_Interface!$A413&amp;RIGHT(F_Interface!H$2,2),'Financial model inputs '!$A$3:$A$59,0),MATCH(F_Interface!$B413,'Financial model inputs '!$A$3:$AJ$3,0)),0)</f>
        <v>0</v>
      </c>
      <c r="I413" s="120">
        <f>_xlfn.IFNA(INDEX('Financial model inputs '!$A$3:$AJ$59,MATCH(F_Interface!$A413&amp;RIGHT(F_Interface!I$2,2),'Financial model inputs '!$A$3:$A$59,0),MATCH(F_Interface!$B413,'Financial model inputs '!$A$3:$AJ$3,0)),0)</f>
        <v>0</v>
      </c>
      <c r="J413" s="120">
        <f>_xlfn.IFNA(INDEX('Financial model inputs '!$A$3:$AJ$59,MATCH(F_Interface!$A413&amp;RIGHT(F_Interface!J$2,2),'Financial model inputs '!$A$3:$A$59,0),MATCH(F_Interface!$B413,'Financial model inputs '!$A$3:$AJ$3,0)),0)</f>
        <v>0</v>
      </c>
      <c r="K413" s="120">
        <f>_xlfn.IFNA(INDEX('Financial model inputs '!$A$3:$AJ$59,MATCH(F_Interface!$A413&amp;RIGHT(F_Interface!K$2,2),'Financial model inputs '!$A$3:$A$59,0),MATCH(F_Interface!$B413,'Financial model inputs '!$A$3:$AJ$3,0)),0)</f>
        <v>0</v>
      </c>
      <c r="L413" s="120">
        <f>_xlfn.IFNA(INDEX('Financial model inputs '!$A$3:$AJ$59,MATCH(F_Interface!$A413&amp;RIGHT(F_Interface!L$2,2),'Financial model inputs '!$A$3:$A$59,0),MATCH(F_Interface!$B413,'Financial model inputs '!$A$3:$AJ$3,0)),0)</f>
        <v>0</v>
      </c>
    </row>
    <row r="414" spans="1:12" x14ac:dyDescent="0.2">
      <c r="A414" s="9" t="s">
        <v>12</v>
      </c>
      <c r="B414" s="143" t="s">
        <v>262</v>
      </c>
      <c r="C414" s="10" t="str">
        <f t="shared" si="11"/>
        <v>SWBC_DUMMYPDR_PR19CA008</v>
      </c>
      <c r="D414" s="120" t="s">
        <v>185</v>
      </c>
      <c r="E414" s="120"/>
      <c r="F414" s="143" t="s">
        <v>2</v>
      </c>
      <c r="G414" s="120"/>
      <c r="H414" s="120">
        <f>_xlfn.IFNA(INDEX('Financial model inputs '!$A$3:$AJ$59,MATCH(F_Interface!$A414&amp;RIGHT(F_Interface!H$2,2),'Financial model inputs '!$A$3:$A$59,0),MATCH(F_Interface!$B414,'Financial model inputs '!$A$3:$AJ$3,0)),0)</f>
        <v>0</v>
      </c>
      <c r="I414" s="120">
        <f>_xlfn.IFNA(INDEX('Financial model inputs '!$A$3:$AJ$59,MATCH(F_Interface!$A414&amp;RIGHT(F_Interface!I$2,2),'Financial model inputs '!$A$3:$A$59,0),MATCH(F_Interface!$B414,'Financial model inputs '!$A$3:$AJ$3,0)),0)</f>
        <v>0</v>
      </c>
      <c r="J414" s="120">
        <f>_xlfn.IFNA(INDEX('Financial model inputs '!$A$3:$AJ$59,MATCH(F_Interface!$A414&amp;RIGHT(F_Interface!J$2,2),'Financial model inputs '!$A$3:$A$59,0),MATCH(F_Interface!$B414,'Financial model inputs '!$A$3:$AJ$3,0)),0)</f>
        <v>0</v>
      </c>
      <c r="K414" s="120">
        <f>_xlfn.IFNA(INDEX('Financial model inputs '!$A$3:$AJ$59,MATCH(F_Interface!$A414&amp;RIGHT(F_Interface!K$2,2),'Financial model inputs '!$A$3:$A$59,0),MATCH(F_Interface!$B414,'Financial model inputs '!$A$3:$AJ$3,0)),0)</f>
        <v>0</v>
      </c>
      <c r="L414" s="120">
        <f>_xlfn.IFNA(INDEX('Financial model inputs '!$A$3:$AJ$59,MATCH(F_Interface!$A414&amp;RIGHT(F_Interface!L$2,2),'Financial model inputs '!$A$3:$A$59,0),MATCH(F_Interface!$B414,'Financial model inputs '!$A$3:$AJ$3,0)),0)</f>
        <v>0</v>
      </c>
    </row>
    <row r="415" spans="1:12" x14ac:dyDescent="0.2">
      <c r="A415" s="9" t="s">
        <v>9</v>
      </c>
      <c r="B415" s="143" t="s">
        <v>262</v>
      </c>
      <c r="C415" s="10" t="str">
        <f t="shared" si="11"/>
        <v>TMSC_DUMMYPDR_PR19CA008</v>
      </c>
      <c r="D415" s="120" t="s">
        <v>185</v>
      </c>
      <c r="E415" s="120"/>
      <c r="F415" s="143" t="s">
        <v>2</v>
      </c>
      <c r="G415" s="120"/>
      <c r="H415" s="120">
        <f>_xlfn.IFNA(INDEX('Financial model inputs '!$A$3:$AJ$59,MATCH(F_Interface!$A415&amp;RIGHT(F_Interface!H$2,2),'Financial model inputs '!$A$3:$A$59,0),MATCH(F_Interface!$B415,'Financial model inputs '!$A$3:$AJ$3,0)),0)</f>
        <v>0</v>
      </c>
      <c r="I415" s="120">
        <f>_xlfn.IFNA(INDEX('Financial model inputs '!$A$3:$AJ$59,MATCH(F_Interface!$A415&amp;RIGHT(F_Interface!I$2,2),'Financial model inputs '!$A$3:$A$59,0),MATCH(F_Interface!$B415,'Financial model inputs '!$A$3:$AJ$3,0)),0)</f>
        <v>0</v>
      </c>
      <c r="J415" s="120">
        <f>_xlfn.IFNA(INDEX('Financial model inputs '!$A$3:$AJ$59,MATCH(F_Interface!$A415&amp;RIGHT(F_Interface!J$2,2),'Financial model inputs '!$A$3:$A$59,0),MATCH(F_Interface!$B415,'Financial model inputs '!$A$3:$AJ$3,0)),0)</f>
        <v>0</v>
      </c>
      <c r="K415" s="120">
        <f>_xlfn.IFNA(INDEX('Financial model inputs '!$A$3:$AJ$59,MATCH(F_Interface!$A415&amp;RIGHT(F_Interface!K$2,2),'Financial model inputs '!$A$3:$A$59,0),MATCH(F_Interface!$B415,'Financial model inputs '!$A$3:$AJ$3,0)),0)</f>
        <v>0</v>
      </c>
      <c r="L415" s="120">
        <f>_xlfn.IFNA(INDEX('Financial model inputs '!$A$3:$AJ$59,MATCH(F_Interface!$A415&amp;RIGHT(F_Interface!L$2,2),'Financial model inputs '!$A$3:$A$59,0),MATCH(F_Interface!$B415,'Financial model inputs '!$A$3:$AJ$3,0)),0)</f>
        <v>0</v>
      </c>
    </row>
    <row r="416" spans="1:12" x14ac:dyDescent="0.2">
      <c r="A416" s="9" t="s">
        <v>15</v>
      </c>
      <c r="B416" s="143" t="s">
        <v>262</v>
      </c>
      <c r="C416" s="10" t="str">
        <f t="shared" si="11"/>
        <v>WSHC_DUMMYPDR_PR19CA008</v>
      </c>
      <c r="D416" s="120" t="s">
        <v>185</v>
      </c>
      <c r="E416" s="120"/>
      <c r="F416" s="143" t="s">
        <v>2</v>
      </c>
      <c r="G416" s="120"/>
      <c r="H416" s="120">
        <f>_xlfn.IFNA(INDEX('Financial model inputs '!$A$3:$AJ$59,MATCH(F_Interface!$A416&amp;RIGHT(F_Interface!H$2,2),'Financial model inputs '!$A$3:$A$59,0),MATCH(F_Interface!$B416,'Financial model inputs '!$A$3:$AJ$3,0)),0)</f>
        <v>0</v>
      </c>
      <c r="I416" s="120">
        <f>_xlfn.IFNA(INDEX('Financial model inputs '!$A$3:$AJ$59,MATCH(F_Interface!$A416&amp;RIGHT(F_Interface!I$2,2),'Financial model inputs '!$A$3:$A$59,0),MATCH(F_Interface!$B416,'Financial model inputs '!$A$3:$AJ$3,0)),0)</f>
        <v>0</v>
      </c>
      <c r="J416" s="120">
        <f>_xlfn.IFNA(INDEX('Financial model inputs '!$A$3:$AJ$59,MATCH(F_Interface!$A416&amp;RIGHT(F_Interface!J$2,2),'Financial model inputs '!$A$3:$A$59,0),MATCH(F_Interface!$B416,'Financial model inputs '!$A$3:$AJ$3,0)),0)</f>
        <v>0</v>
      </c>
      <c r="K416" s="120">
        <f>_xlfn.IFNA(INDEX('Financial model inputs '!$A$3:$AJ$59,MATCH(F_Interface!$A416&amp;RIGHT(F_Interface!K$2,2),'Financial model inputs '!$A$3:$A$59,0),MATCH(F_Interface!$B416,'Financial model inputs '!$A$3:$AJ$3,0)),0)</f>
        <v>0</v>
      </c>
      <c r="L416" s="120">
        <f>_xlfn.IFNA(INDEX('Financial model inputs '!$A$3:$AJ$59,MATCH(F_Interface!$A416&amp;RIGHT(F_Interface!L$2,2),'Financial model inputs '!$A$3:$A$59,0),MATCH(F_Interface!$B416,'Financial model inputs '!$A$3:$AJ$3,0)),0)</f>
        <v>0</v>
      </c>
    </row>
    <row r="417" spans="1:12" x14ac:dyDescent="0.2">
      <c r="A417" s="9" t="s">
        <v>10</v>
      </c>
      <c r="B417" s="143" t="s">
        <v>262</v>
      </c>
      <c r="C417" s="10" t="str">
        <f t="shared" si="11"/>
        <v>WSXC_DUMMYPDR_PR19CA008</v>
      </c>
      <c r="D417" s="120" t="s">
        <v>185</v>
      </c>
      <c r="E417" s="120"/>
      <c r="F417" s="143" t="s">
        <v>2</v>
      </c>
      <c r="G417" s="120"/>
      <c r="H417" s="120">
        <f>_xlfn.IFNA(INDEX('Financial model inputs '!$A$3:$AJ$59,MATCH(F_Interface!$A417&amp;RIGHT(F_Interface!H$2,2),'Financial model inputs '!$A$3:$A$59,0),MATCH(F_Interface!$B417,'Financial model inputs '!$A$3:$AJ$3,0)),0)</f>
        <v>0</v>
      </c>
      <c r="I417" s="120">
        <f>_xlfn.IFNA(INDEX('Financial model inputs '!$A$3:$AJ$59,MATCH(F_Interface!$A417&amp;RIGHT(F_Interface!I$2,2),'Financial model inputs '!$A$3:$A$59,0),MATCH(F_Interface!$B417,'Financial model inputs '!$A$3:$AJ$3,0)),0)</f>
        <v>0</v>
      </c>
      <c r="J417" s="120">
        <f>_xlfn.IFNA(INDEX('Financial model inputs '!$A$3:$AJ$59,MATCH(F_Interface!$A417&amp;RIGHT(F_Interface!J$2,2),'Financial model inputs '!$A$3:$A$59,0),MATCH(F_Interface!$B417,'Financial model inputs '!$A$3:$AJ$3,0)),0)</f>
        <v>0</v>
      </c>
      <c r="K417" s="120">
        <f>_xlfn.IFNA(INDEX('Financial model inputs '!$A$3:$AJ$59,MATCH(F_Interface!$A417&amp;RIGHT(F_Interface!K$2,2),'Financial model inputs '!$A$3:$A$59,0),MATCH(F_Interface!$B417,'Financial model inputs '!$A$3:$AJ$3,0)),0)</f>
        <v>0</v>
      </c>
      <c r="L417" s="120">
        <f>_xlfn.IFNA(INDEX('Financial model inputs '!$A$3:$AJ$59,MATCH(F_Interface!$A417&amp;RIGHT(F_Interface!L$2,2),'Financial model inputs '!$A$3:$A$59,0),MATCH(F_Interface!$B417,'Financial model inputs '!$A$3:$AJ$3,0)),0)</f>
        <v>0</v>
      </c>
    </row>
    <row r="418" spans="1:12" x14ac:dyDescent="0.2">
      <c r="A418" s="9" t="s">
        <v>11</v>
      </c>
      <c r="B418" s="143" t="s">
        <v>262</v>
      </c>
      <c r="C418" s="10" t="str">
        <f t="shared" si="11"/>
        <v>YKYC_DUMMYPDR_PR19CA008</v>
      </c>
      <c r="D418" s="120" t="s">
        <v>185</v>
      </c>
      <c r="E418" s="120"/>
      <c r="F418" s="143" t="s">
        <v>2</v>
      </c>
      <c r="G418" s="120"/>
      <c r="H418" s="120">
        <f>_xlfn.IFNA(INDEX('Financial model inputs '!$A$3:$AJ$59,MATCH(F_Interface!$A418&amp;RIGHT(F_Interface!H$2,2),'Financial model inputs '!$A$3:$A$59,0),MATCH(F_Interface!$B418,'Financial model inputs '!$A$3:$AJ$3,0)),0)</f>
        <v>0</v>
      </c>
      <c r="I418" s="120">
        <f>_xlfn.IFNA(INDEX('Financial model inputs '!$A$3:$AJ$59,MATCH(F_Interface!$A418&amp;RIGHT(F_Interface!I$2,2),'Financial model inputs '!$A$3:$A$59,0),MATCH(F_Interface!$B418,'Financial model inputs '!$A$3:$AJ$3,0)),0)</f>
        <v>0</v>
      </c>
      <c r="J418" s="120">
        <f>_xlfn.IFNA(INDEX('Financial model inputs '!$A$3:$AJ$59,MATCH(F_Interface!$A418&amp;RIGHT(F_Interface!J$2,2),'Financial model inputs '!$A$3:$A$59,0),MATCH(F_Interface!$B418,'Financial model inputs '!$A$3:$AJ$3,0)),0)</f>
        <v>0</v>
      </c>
      <c r="K418" s="120">
        <f>_xlfn.IFNA(INDEX('Financial model inputs '!$A$3:$AJ$59,MATCH(F_Interface!$A418&amp;RIGHT(F_Interface!K$2,2),'Financial model inputs '!$A$3:$A$59,0),MATCH(F_Interface!$B418,'Financial model inputs '!$A$3:$AJ$3,0)),0)</f>
        <v>0</v>
      </c>
      <c r="L418" s="120">
        <f>_xlfn.IFNA(INDEX('Financial model inputs '!$A$3:$AJ$59,MATCH(F_Interface!$A418&amp;RIGHT(F_Interface!L$2,2),'Financial model inputs '!$A$3:$A$59,0),MATCH(F_Interface!$B418,'Financial model inputs '!$A$3:$AJ$3,0)),0)</f>
        <v>0</v>
      </c>
    </row>
    <row r="419" spans="1:12" x14ac:dyDescent="0.2">
      <c r="A419" s="9" t="s">
        <v>4</v>
      </c>
      <c r="B419" s="4" t="s">
        <v>373</v>
      </c>
      <c r="C419" s="10" t="str">
        <f t="shared" si="11"/>
        <v>ANHC_WWNTOTEXFM_CS_PR19CA008</v>
      </c>
      <c r="D419" s="4" t="s">
        <v>374</v>
      </c>
      <c r="E419" s="4" t="s">
        <v>373</v>
      </c>
      <c r="F419" s="143" t="s">
        <v>2</v>
      </c>
      <c r="H419" s="120">
        <f>_xlfn.IFNA(INDEX('Financial model inputs '!$A$3:$AJ$59,MATCH(F_Interface!$A419&amp;RIGHT(F_Interface!H$2,2),'Financial model inputs '!$A$3:$A$59,0),MATCH(F_Interface!$B419,'Financial model inputs '!$A$3:$AJ$3,0)),0)</f>
        <v>502.86421414348763</v>
      </c>
      <c r="I419" s="120">
        <f>_xlfn.IFNA(INDEX('Financial model inputs '!$A$3:$AJ$59,MATCH(F_Interface!$A419&amp;RIGHT(F_Interface!I$2,2),'Financial model inputs '!$A$3:$A$59,0),MATCH(F_Interface!$B419,'Financial model inputs '!$A$3:$AJ$3,0)),0)</f>
        <v>502.86421414348763</v>
      </c>
      <c r="J419" s="120">
        <f>_xlfn.IFNA(INDEX('Financial model inputs '!$A$3:$AJ$59,MATCH(F_Interface!$A419&amp;RIGHT(F_Interface!J$2,2),'Financial model inputs '!$A$3:$A$59,0),MATCH(F_Interface!$B419,'Financial model inputs '!$A$3:$AJ$3,0)),0)</f>
        <v>502.86421414348763</v>
      </c>
      <c r="K419" s="120">
        <f>_xlfn.IFNA(INDEX('Financial model inputs '!$A$3:$AJ$59,MATCH(F_Interface!$A419&amp;RIGHT(F_Interface!K$2,2),'Financial model inputs '!$A$3:$A$59,0),MATCH(F_Interface!$B419,'Financial model inputs '!$A$3:$AJ$3,0)),0)</f>
        <v>502.86421414348763</v>
      </c>
      <c r="L419" s="120">
        <f>_xlfn.IFNA(INDEX('Financial model inputs '!$A$3:$AJ$59,MATCH(F_Interface!$A419&amp;RIGHT(F_Interface!L$2,2),'Financial model inputs '!$A$3:$A$59,0),MATCH(F_Interface!$B419,'Financial model inputs '!$A$3:$AJ$3,0)),0)</f>
        <v>502.86421414348763</v>
      </c>
    </row>
    <row r="420" spans="1:12" x14ac:dyDescent="0.2">
      <c r="A420" s="9" t="s">
        <v>4</v>
      </c>
      <c r="B420" s="4" t="s">
        <v>371</v>
      </c>
      <c r="C420" s="10" t="str">
        <f t="shared" si="11"/>
        <v>ANHC_BRTOTEXFM_CS_PR19CA008</v>
      </c>
      <c r="D420" s="4" t="s">
        <v>375</v>
      </c>
      <c r="E420" s="4" t="s">
        <v>371</v>
      </c>
      <c r="F420" s="143" t="s">
        <v>2</v>
      </c>
      <c r="H420" s="120">
        <f>_xlfn.IFNA(INDEX('Financial model inputs '!$A$3:$AJ$59,MATCH(F_Interface!$A420&amp;RIGHT(F_Interface!H$2,2),'Financial model inputs '!$A$3:$A$59,0),MATCH(F_Interface!$B420,'Financial model inputs '!$A$3:$AJ$3,0)),0)</f>
        <v>65.620267940345556</v>
      </c>
      <c r="I420" s="120">
        <f>_xlfn.IFNA(INDEX('Financial model inputs '!$A$3:$AJ$59,MATCH(F_Interface!$A420&amp;RIGHT(F_Interface!I$2,2),'Financial model inputs '!$A$3:$A$59,0),MATCH(F_Interface!$B420,'Financial model inputs '!$A$3:$AJ$3,0)),0)</f>
        <v>65.620267940345556</v>
      </c>
      <c r="J420" s="120">
        <f>_xlfn.IFNA(INDEX('Financial model inputs '!$A$3:$AJ$59,MATCH(F_Interface!$A420&amp;RIGHT(F_Interface!J$2,2),'Financial model inputs '!$A$3:$A$59,0),MATCH(F_Interface!$B420,'Financial model inputs '!$A$3:$AJ$3,0)),0)</f>
        <v>65.620267940345556</v>
      </c>
      <c r="K420" s="120">
        <f>_xlfn.IFNA(INDEX('Financial model inputs '!$A$3:$AJ$59,MATCH(F_Interface!$A420&amp;RIGHT(F_Interface!K$2,2),'Financial model inputs '!$A$3:$A$59,0),MATCH(F_Interface!$B420,'Financial model inputs '!$A$3:$AJ$3,0)),0)</f>
        <v>65.620267940345556</v>
      </c>
      <c r="L420" s="120">
        <f>_xlfn.IFNA(INDEX('Financial model inputs '!$A$3:$AJ$59,MATCH(F_Interface!$A420&amp;RIGHT(F_Interface!L$2,2),'Financial model inputs '!$A$3:$A$59,0),MATCH(F_Interface!$B420,'Financial model inputs '!$A$3:$AJ$3,0)),0)</f>
        <v>65.620267940345556</v>
      </c>
    </row>
    <row r="421" spans="1:12" x14ac:dyDescent="0.2">
      <c r="A421" s="9" t="s">
        <v>87</v>
      </c>
      <c r="B421" s="4" t="s">
        <v>373</v>
      </c>
      <c r="C421" s="10" t="str">
        <f t="shared" ref="C421:C446" si="12">A421&amp;B421</f>
        <v>HDDC_WWNTOTEXFM_CS_PR19CA008</v>
      </c>
      <c r="D421" s="4" t="s">
        <v>374</v>
      </c>
      <c r="E421" s="4" t="s">
        <v>373</v>
      </c>
      <c r="F421" s="143" t="s">
        <v>2</v>
      </c>
      <c r="H421" s="120">
        <f>_xlfn.IFNA(INDEX('Financial model inputs '!$A$3:$AJ$59,MATCH(F_Interface!$A421&amp;RIGHT(F_Interface!H$2,2),'Financial model inputs '!$A$3:$A$59,0),MATCH(F_Interface!$B421,'Financial model inputs '!$A$3:$AJ$3,0)),0)</f>
        <v>4.5382200305454479</v>
      </c>
      <c r="I421" s="120">
        <f>_xlfn.IFNA(INDEX('Financial model inputs '!$A$3:$AJ$59,MATCH(F_Interface!$A421&amp;RIGHT(F_Interface!I$2,2),'Financial model inputs '!$A$3:$A$59,0),MATCH(F_Interface!$B421,'Financial model inputs '!$A$3:$AJ$3,0)),0)</f>
        <v>4.5382200305454479</v>
      </c>
      <c r="J421" s="120">
        <f>_xlfn.IFNA(INDEX('Financial model inputs '!$A$3:$AJ$59,MATCH(F_Interface!$A421&amp;RIGHT(F_Interface!J$2,2),'Financial model inputs '!$A$3:$A$59,0),MATCH(F_Interface!$B421,'Financial model inputs '!$A$3:$AJ$3,0)),0)</f>
        <v>4.5382200305454479</v>
      </c>
      <c r="K421" s="120">
        <f>_xlfn.IFNA(INDEX('Financial model inputs '!$A$3:$AJ$59,MATCH(F_Interface!$A421&amp;RIGHT(F_Interface!K$2,2),'Financial model inputs '!$A$3:$A$59,0),MATCH(F_Interface!$B421,'Financial model inputs '!$A$3:$AJ$3,0)),0)</f>
        <v>4.5382200305454479</v>
      </c>
      <c r="L421" s="120">
        <f>_xlfn.IFNA(INDEX('Financial model inputs '!$A$3:$AJ$59,MATCH(F_Interface!$A421&amp;RIGHT(F_Interface!L$2,2),'Financial model inputs '!$A$3:$A$59,0),MATCH(F_Interface!$B421,'Financial model inputs '!$A$3:$AJ$3,0)),0)</f>
        <v>4.5382200305454479</v>
      </c>
    </row>
    <row r="422" spans="1:12" x14ac:dyDescent="0.2">
      <c r="A422" s="9" t="s">
        <v>87</v>
      </c>
      <c r="B422" s="4" t="s">
        <v>371</v>
      </c>
      <c r="C422" s="10" t="str">
        <f t="shared" si="12"/>
        <v>HDDC_BRTOTEXFM_CS_PR19CA008</v>
      </c>
      <c r="D422" s="4" t="s">
        <v>375</v>
      </c>
      <c r="E422" s="4" t="s">
        <v>371</v>
      </c>
      <c r="F422" s="143" t="s">
        <v>2</v>
      </c>
      <c r="H422" s="120">
        <f>_xlfn.IFNA(INDEX('Financial model inputs '!$A$3:$AJ$59,MATCH(F_Interface!$A422&amp;RIGHT(F_Interface!H$2,2),'Financial model inputs '!$A$3:$A$59,0),MATCH(F_Interface!$B422,'Financial model inputs '!$A$3:$AJ$3,0)),0)</f>
        <v>1.0705975592581454</v>
      </c>
      <c r="I422" s="120">
        <f>_xlfn.IFNA(INDEX('Financial model inputs '!$A$3:$AJ$59,MATCH(F_Interface!$A422&amp;RIGHT(F_Interface!I$2,2),'Financial model inputs '!$A$3:$A$59,0),MATCH(F_Interface!$B422,'Financial model inputs '!$A$3:$AJ$3,0)),0)</f>
        <v>1.0705975592581454</v>
      </c>
      <c r="J422" s="120">
        <f>_xlfn.IFNA(INDEX('Financial model inputs '!$A$3:$AJ$59,MATCH(F_Interface!$A422&amp;RIGHT(F_Interface!J$2,2),'Financial model inputs '!$A$3:$A$59,0),MATCH(F_Interface!$B422,'Financial model inputs '!$A$3:$AJ$3,0)),0)</f>
        <v>1.0705975592581454</v>
      </c>
      <c r="K422" s="120">
        <f>_xlfn.IFNA(INDEX('Financial model inputs '!$A$3:$AJ$59,MATCH(F_Interface!$A422&amp;RIGHT(F_Interface!K$2,2),'Financial model inputs '!$A$3:$A$59,0),MATCH(F_Interface!$B422,'Financial model inputs '!$A$3:$AJ$3,0)),0)</f>
        <v>1.0705975592581454</v>
      </c>
      <c r="L422" s="120">
        <f>_xlfn.IFNA(INDEX('Financial model inputs '!$A$3:$AJ$59,MATCH(F_Interface!$A422&amp;RIGHT(F_Interface!L$2,2),'Financial model inputs '!$A$3:$A$59,0),MATCH(F_Interface!$B422,'Financial model inputs '!$A$3:$AJ$3,0)),0)</f>
        <v>1.0705975592581454</v>
      </c>
    </row>
    <row r="423" spans="1:12" x14ac:dyDescent="0.2">
      <c r="A423" s="9" t="s">
        <v>5</v>
      </c>
      <c r="B423" s="4" t="s">
        <v>373</v>
      </c>
      <c r="C423" s="10" t="str">
        <f t="shared" si="12"/>
        <v>NESC_WWNTOTEXFM_CS_PR19CA008</v>
      </c>
      <c r="D423" s="4" t="s">
        <v>374</v>
      </c>
      <c r="E423" s="4" t="s">
        <v>373</v>
      </c>
      <c r="F423" s="143" t="s">
        <v>2</v>
      </c>
      <c r="H423" s="120">
        <f>_xlfn.IFNA(INDEX('Financial model inputs '!$A$3:$AJ$59,MATCH(F_Interface!$A423&amp;RIGHT(F_Interface!H$2,2),'Financial model inputs '!$A$3:$A$59,0),MATCH(F_Interface!$B423,'Financial model inputs '!$A$3:$AJ$3,0)),0)</f>
        <v>185.72905147386797</v>
      </c>
      <c r="I423" s="120">
        <f>_xlfn.IFNA(INDEX('Financial model inputs '!$A$3:$AJ$59,MATCH(F_Interface!$A423&amp;RIGHT(F_Interface!I$2,2),'Financial model inputs '!$A$3:$A$59,0),MATCH(F_Interface!$B423,'Financial model inputs '!$A$3:$AJ$3,0)),0)</f>
        <v>185.72905147386797</v>
      </c>
      <c r="J423" s="120">
        <f>_xlfn.IFNA(INDEX('Financial model inputs '!$A$3:$AJ$59,MATCH(F_Interface!$A423&amp;RIGHT(F_Interface!J$2,2),'Financial model inputs '!$A$3:$A$59,0),MATCH(F_Interface!$B423,'Financial model inputs '!$A$3:$AJ$3,0)),0)</f>
        <v>185.72905147386797</v>
      </c>
      <c r="K423" s="120">
        <f>_xlfn.IFNA(INDEX('Financial model inputs '!$A$3:$AJ$59,MATCH(F_Interface!$A423&amp;RIGHT(F_Interface!K$2,2),'Financial model inputs '!$A$3:$A$59,0),MATCH(F_Interface!$B423,'Financial model inputs '!$A$3:$AJ$3,0)),0)</f>
        <v>185.72905147386797</v>
      </c>
      <c r="L423" s="120">
        <f>_xlfn.IFNA(INDEX('Financial model inputs '!$A$3:$AJ$59,MATCH(F_Interface!$A423&amp;RIGHT(F_Interface!L$2,2),'Financial model inputs '!$A$3:$A$59,0),MATCH(F_Interface!$B423,'Financial model inputs '!$A$3:$AJ$3,0)),0)</f>
        <v>185.72905147386797</v>
      </c>
    </row>
    <row r="424" spans="1:12" x14ac:dyDescent="0.2">
      <c r="A424" s="9" t="s">
        <v>5</v>
      </c>
      <c r="B424" s="4" t="s">
        <v>371</v>
      </c>
      <c r="C424" s="10" t="str">
        <f t="shared" si="12"/>
        <v>NESC_BRTOTEXFM_CS_PR19CA008</v>
      </c>
      <c r="D424" s="4" t="s">
        <v>375</v>
      </c>
      <c r="E424" s="4" t="s">
        <v>371</v>
      </c>
      <c r="F424" s="143" t="s">
        <v>2</v>
      </c>
      <c r="H424" s="120">
        <f>_xlfn.IFNA(INDEX('Financial model inputs '!$A$3:$AJ$59,MATCH(F_Interface!$A424&amp;RIGHT(F_Interface!H$2,2),'Financial model inputs '!$A$3:$A$59,0),MATCH(F_Interface!$B424,'Financial model inputs '!$A$3:$AJ$3,0)),0)</f>
        <v>24.907960108969355</v>
      </c>
      <c r="I424" s="120">
        <f>_xlfn.IFNA(INDEX('Financial model inputs '!$A$3:$AJ$59,MATCH(F_Interface!$A424&amp;RIGHT(F_Interface!I$2,2),'Financial model inputs '!$A$3:$A$59,0),MATCH(F_Interface!$B424,'Financial model inputs '!$A$3:$AJ$3,0)),0)</f>
        <v>24.907960108969355</v>
      </c>
      <c r="J424" s="120">
        <f>_xlfn.IFNA(INDEX('Financial model inputs '!$A$3:$AJ$59,MATCH(F_Interface!$A424&amp;RIGHT(F_Interface!J$2,2),'Financial model inputs '!$A$3:$A$59,0),MATCH(F_Interface!$B424,'Financial model inputs '!$A$3:$AJ$3,0)),0)</f>
        <v>24.907960108969355</v>
      </c>
      <c r="K424" s="120">
        <f>_xlfn.IFNA(INDEX('Financial model inputs '!$A$3:$AJ$59,MATCH(F_Interface!$A424&amp;RIGHT(F_Interface!K$2,2),'Financial model inputs '!$A$3:$A$59,0),MATCH(F_Interface!$B424,'Financial model inputs '!$A$3:$AJ$3,0)),0)</f>
        <v>24.907960108969355</v>
      </c>
      <c r="L424" s="120">
        <f>_xlfn.IFNA(INDEX('Financial model inputs '!$A$3:$AJ$59,MATCH(F_Interface!$A424&amp;RIGHT(F_Interface!L$2,2),'Financial model inputs '!$A$3:$A$59,0),MATCH(F_Interface!$B424,'Financial model inputs '!$A$3:$AJ$3,0)),0)</f>
        <v>24.907960108969355</v>
      </c>
    </row>
    <row r="425" spans="1:12" x14ac:dyDescent="0.2">
      <c r="A425" s="9" t="s">
        <v>6</v>
      </c>
      <c r="B425" s="4" t="s">
        <v>373</v>
      </c>
      <c r="C425" s="10" t="str">
        <f t="shared" si="12"/>
        <v>NWTC_WWNTOTEXFM_CS_PR19CA008</v>
      </c>
      <c r="D425" s="4" t="s">
        <v>374</v>
      </c>
      <c r="E425" s="4" t="s">
        <v>373</v>
      </c>
      <c r="F425" s="143" t="s">
        <v>2</v>
      </c>
      <c r="H425" s="120">
        <f>_xlfn.IFNA(INDEX('Financial model inputs '!$A$3:$AJ$59,MATCH(F_Interface!$A425&amp;RIGHT(F_Interface!H$2,2),'Financial model inputs '!$A$3:$A$59,0),MATCH(F_Interface!$B425,'Financial model inputs '!$A$3:$AJ$3,0)),0)</f>
        <v>494.50239301896755</v>
      </c>
      <c r="I425" s="120">
        <f>_xlfn.IFNA(INDEX('Financial model inputs '!$A$3:$AJ$59,MATCH(F_Interface!$A425&amp;RIGHT(F_Interface!I$2,2),'Financial model inputs '!$A$3:$A$59,0),MATCH(F_Interface!$B425,'Financial model inputs '!$A$3:$AJ$3,0)),0)</f>
        <v>494.50239301896755</v>
      </c>
      <c r="J425" s="120">
        <f>_xlfn.IFNA(INDEX('Financial model inputs '!$A$3:$AJ$59,MATCH(F_Interface!$A425&amp;RIGHT(F_Interface!J$2,2),'Financial model inputs '!$A$3:$A$59,0),MATCH(F_Interface!$B425,'Financial model inputs '!$A$3:$AJ$3,0)),0)</f>
        <v>494.50239301896755</v>
      </c>
      <c r="K425" s="120">
        <f>_xlfn.IFNA(INDEX('Financial model inputs '!$A$3:$AJ$59,MATCH(F_Interface!$A425&amp;RIGHT(F_Interface!K$2,2),'Financial model inputs '!$A$3:$A$59,0),MATCH(F_Interface!$B425,'Financial model inputs '!$A$3:$AJ$3,0)),0)</f>
        <v>494.50239301896755</v>
      </c>
      <c r="L425" s="120">
        <f>_xlfn.IFNA(INDEX('Financial model inputs '!$A$3:$AJ$59,MATCH(F_Interface!$A425&amp;RIGHT(F_Interface!L$2,2),'Financial model inputs '!$A$3:$A$59,0),MATCH(F_Interface!$B425,'Financial model inputs '!$A$3:$AJ$3,0)),0)</f>
        <v>494.50239301896755</v>
      </c>
    </row>
    <row r="426" spans="1:12" x14ac:dyDescent="0.2">
      <c r="A426" s="9" t="s">
        <v>6</v>
      </c>
      <c r="B426" s="4" t="s">
        <v>371</v>
      </c>
      <c r="C426" s="10" t="str">
        <f t="shared" si="12"/>
        <v>NWTC_BRTOTEXFM_CS_PR19CA008</v>
      </c>
      <c r="D426" s="4" t="s">
        <v>375</v>
      </c>
      <c r="E426" s="4" t="s">
        <v>371</v>
      </c>
      <c r="F426" s="143" t="s">
        <v>2</v>
      </c>
      <c r="H426" s="120">
        <f>_xlfn.IFNA(INDEX('Financial model inputs '!$A$3:$AJ$59,MATCH(F_Interface!$A426&amp;RIGHT(F_Interface!H$2,2),'Financial model inputs '!$A$3:$A$59,0),MATCH(F_Interface!$B426,'Financial model inputs '!$A$3:$AJ$3,0)),0)</f>
        <v>78.027142314909341</v>
      </c>
      <c r="I426" s="120">
        <f>_xlfn.IFNA(INDEX('Financial model inputs '!$A$3:$AJ$59,MATCH(F_Interface!$A426&amp;RIGHT(F_Interface!I$2,2),'Financial model inputs '!$A$3:$A$59,0),MATCH(F_Interface!$B426,'Financial model inputs '!$A$3:$AJ$3,0)),0)</f>
        <v>78.027142314909341</v>
      </c>
      <c r="J426" s="120">
        <f>_xlfn.IFNA(INDEX('Financial model inputs '!$A$3:$AJ$59,MATCH(F_Interface!$A426&amp;RIGHT(F_Interface!J$2,2),'Financial model inputs '!$A$3:$A$59,0),MATCH(F_Interface!$B426,'Financial model inputs '!$A$3:$AJ$3,0)),0)</f>
        <v>78.027142314909341</v>
      </c>
      <c r="K426" s="120">
        <f>_xlfn.IFNA(INDEX('Financial model inputs '!$A$3:$AJ$59,MATCH(F_Interface!$A426&amp;RIGHT(F_Interface!K$2,2),'Financial model inputs '!$A$3:$A$59,0),MATCH(F_Interface!$B426,'Financial model inputs '!$A$3:$AJ$3,0)),0)</f>
        <v>78.027142314909341</v>
      </c>
      <c r="L426" s="120">
        <f>_xlfn.IFNA(INDEX('Financial model inputs '!$A$3:$AJ$59,MATCH(F_Interface!$A426&amp;RIGHT(F_Interface!L$2,2),'Financial model inputs '!$A$3:$A$59,0),MATCH(F_Interface!$B426,'Financial model inputs '!$A$3:$AJ$3,0)),0)</f>
        <v>78.027142314909341</v>
      </c>
    </row>
    <row r="427" spans="1:12" x14ac:dyDescent="0.2">
      <c r="A427" s="9" t="s">
        <v>7</v>
      </c>
      <c r="B427" s="4" t="s">
        <v>373</v>
      </c>
      <c r="C427" s="10" t="str">
        <f t="shared" si="12"/>
        <v>SRNC_WWNTOTEXFM_CS_PR19CA008</v>
      </c>
      <c r="D427" s="4" t="s">
        <v>374</v>
      </c>
      <c r="E427" s="4" t="s">
        <v>373</v>
      </c>
      <c r="F427" s="143" t="s">
        <v>2</v>
      </c>
      <c r="H427" s="120">
        <f>_xlfn.IFNA(INDEX('Financial model inputs '!$A$3:$AJ$59,MATCH(F_Interface!$A427&amp;RIGHT(F_Interface!H$2,2),'Financial model inputs '!$A$3:$A$59,0),MATCH(F_Interface!$B427,'Financial model inputs '!$A$3:$AJ$3,0)),0)</f>
        <v>388.42579143404009</v>
      </c>
      <c r="I427" s="120">
        <f>_xlfn.IFNA(INDEX('Financial model inputs '!$A$3:$AJ$59,MATCH(F_Interface!$A427&amp;RIGHT(F_Interface!I$2,2),'Financial model inputs '!$A$3:$A$59,0),MATCH(F_Interface!$B427,'Financial model inputs '!$A$3:$AJ$3,0)),0)</f>
        <v>388.42579143404009</v>
      </c>
      <c r="J427" s="120">
        <f>_xlfn.IFNA(INDEX('Financial model inputs '!$A$3:$AJ$59,MATCH(F_Interface!$A427&amp;RIGHT(F_Interface!J$2,2),'Financial model inputs '!$A$3:$A$59,0),MATCH(F_Interface!$B427,'Financial model inputs '!$A$3:$AJ$3,0)),0)</f>
        <v>388.42579143404009</v>
      </c>
      <c r="K427" s="120">
        <f>_xlfn.IFNA(INDEX('Financial model inputs '!$A$3:$AJ$59,MATCH(F_Interface!$A427&amp;RIGHT(F_Interface!K$2,2),'Financial model inputs '!$A$3:$A$59,0),MATCH(F_Interface!$B427,'Financial model inputs '!$A$3:$AJ$3,0)),0)</f>
        <v>388.42579143404009</v>
      </c>
      <c r="L427" s="120">
        <f>_xlfn.IFNA(INDEX('Financial model inputs '!$A$3:$AJ$59,MATCH(F_Interface!$A427&amp;RIGHT(F_Interface!L$2,2),'Financial model inputs '!$A$3:$A$59,0),MATCH(F_Interface!$B427,'Financial model inputs '!$A$3:$AJ$3,0)),0)</f>
        <v>388.42579143404009</v>
      </c>
    </row>
    <row r="428" spans="1:12" x14ac:dyDescent="0.2">
      <c r="A428" s="9" t="s">
        <v>7</v>
      </c>
      <c r="B428" s="4" t="s">
        <v>371</v>
      </c>
      <c r="C428" s="10" t="str">
        <f t="shared" si="12"/>
        <v>SRNC_BRTOTEXFM_CS_PR19CA008</v>
      </c>
      <c r="D428" s="4" t="s">
        <v>375</v>
      </c>
      <c r="E428" s="4" t="s">
        <v>371</v>
      </c>
      <c r="F428" s="143" t="s">
        <v>2</v>
      </c>
      <c r="H428" s="120">
        <f>_xlfn.IFNA(INDEX('Financial model inputs '!$A$3:$AJ$59,MATCH(F_Interface!$A428&amp;RIGHT(F_Interface!H$2,2),'Financial model inputs '!$A$3:$A$59,0),MATCH(F_Interface!$B428,'Financial model inputs '!$A$3:$AJ$3,0)),0)</f>
        <v>42.241604649250533</v>
      </c>
      <c r="I428" s="120">
        <f>_xlfn.IFNA(INDEX('Financial model inputs '!$A$3:$AJ$59,MATCH(F_Interface!$A428&amp;RIGHT(F_Interface!I$2,2),'Financial model inputs '!$A$3:$A$59,0),MATCH(F_Interface!$B428,'Financial model inputs '!$A$3:$AJ$3,0)),0)</f>
        <v>42.241604649250533</v>
      </c>
      <c r="J428" s="120">
        <f>_xlfn.IFNA(INDEX('Financial model inputs '!$A$3:$AJ$59,MATCH(F_Interface!$A428&amp;RIGHT(F_Interface!J$2,2),'Financial model inputs '!$A$3:$A$59,0),MATCH(F_Interface!$B428,'Financial model inputs '!$A$3:$AJ$3,0)),0)</f>
        <v>42.241604649250533</v>
      </c>
      <c r="K428" s="120">
        <f>_xlfn.IFNA(INDEX('Financial model inputs '!$A$3:$AJ$59,MATCH(F_Interface!$A428&amp;RIGHT(F_Interface!K$2,2),'Financial model inputs '!$A$3:$A$59,0),MATCH(F_Interface!$B428,'Financial model inputs '!$A$3:$AJ$3,0)),0)</f>
        <v>42.241604649250533</v>
      </c>
      <c r="L428" s="120">
        <f>_xlfn.IFNA(INDEX('Financial model inputs '!$A$3:$AJ$59,MATCH(F_Interface!$A428&amp;RIGHT(F_Interface!L$2,2),'Financial model inputs '!$A$3:$A$59,0),MATCH(F_Interface!$B428,'Financial model inputs '!$A$3:$AJ$3,0)),0)</f>
        <v>42.241604649250533</v>
      </c>
    </row>
    <row r="429" spans="1:12" x14ac:dyDescent="0.2">
      <c r="A429" s="9" t="s">
        <v>116</v>
      </c>
      <c r="B429" s="4" t="s">
        <v>373</v>
      </c>
      <c r="C429" s="10" t="str">
        <f t="shared" si="12"/>
        <v>SVEC_WWNTOTEXFM_CS_PR19CA008</v>
      </c>
      <c r="D429" s="4" t="s">
        <v>374</v>
      </c>
      <c r="E429" s="4" t="s">
        <v>373</v>
      </c>
      <c r="F429" s="143" t="s">
        <v>2</v>
      </c>
      <c r="H429" s="120">
        <f>_xlfn.IFNA(INDEX('Financial model inputs '!$A$3:$AJ$59,MATCH(F_Interface!$A429&amp;RIGHT(F_Interface!H$2,2),'Financial model inputs '!$A$3:$A$59,0),MATCH(F_Interface!$B429,'Financial model inputs '!$A$3:$AJ$3,0)),0)</f>
        <v>537.65827941248631</v>
      </c>
      <c r="I429" s="120">
        <f>_xlfn.IFNA(INDEX('Financial model inputs '!$A$3:$AJ$59,MATCH(F_Interface!$A429&amp;RIGHT(F_Interface!I$2,2),'Financial model inputs '!$A$3:$A$59,0),MATCH(F_Interface!$B429,'Financial model inputs '!$A$3:$AJ$3,0)),0)</f>
        <v>537.65827941248631</v>
      </c>
      <c r="J429" s="120">
        <f>_xlfn.IFNA(INDEX('Financial model inputs '!$A$3:$AJ$59,MATCH(F_Interface!$A429&amp;RIGHT(F_Interface!J$2,2),'Financial model inputs '!$A$3:$A$59,0),MATCH(F_Interface!$B429,'Financial model inputs '!$A$3:$AJ$3,0)),0)</f>
        <v>537.65827941248631</v>
      </c>
      <c r="K429" s="120">
        <f>_xlfn.IFNA(INDEX('Financial model inputs '!$A$3:$AJ$59,MATCH(F_Interface!$A429&amp;RIGHT(F_Interface!K$2,2),'Financial model inputs '!$A$3:$A$59,0),MATCH(F_Interface!$B429,'Financial model inputs '!$A$3:$AJ$3,0)),0)</f>
        <v>537.65827941248631</v>
      </c>
      <c r="L429" s="120">
        <f>_xlfn.IFNA(INDEX('Financial model inputs '!$A$3:$AJ$59,MATCH(F_Interface!$A429&amp;RIGHT(F_Interface!L$2,2),'Financial model inputs '!$A$3:$A$59,0),MATCH(F_Interface!$B429,'Financial model inputs '!$A$3:$AJ$3,0)),0)</f>
        <v>537.65827941248631</v>
      </c>
    </row>
    <row r="430" spans="1:12" x14ac:dyDescent="0.2">
      <c r="A430" s="9" t="s">
        <v>116</v>
      </c>
      <c r="B430" s="4" t="s">
        <v>371</v>
      </c>
      <c r="C430" s="10" t="str">
        <f t="shared" si="12"/>
        <v>SVEC_BRTOTEXFM_CS_PR19CA008</v>
      </c>
      <c r="D430" s="4" t="s">
        <v>375</v>
      </c>
      <c r="E430" s="4" t="s">
        <v>371</v>
      </c>
      <c r="F430" s="143" t="s">
        <v>2</v>
      </c>
      <c r="H430" s="120">
        <f>_xlfn.IFNA(INDEX('Financial model inputs '!$A$3:$AJ$59,MATCH(F_Interface!$A430&amp;RIGHT(F_Interface!H$2,2),'Financial model inputs '!$A$3:$A$59,0),MATCH(F_Interface!$B430,'Financial model inputs '!$A$3:$AJ$3,0)),0)</f>
        <v>89.643451098945491</v>
      </c>
      <c r="I430" s="120">
        <f>_xlfn.IFNA(INDEX('Financial model inputs '!$A$3:$AJ$59,MATCH(F_Interface!$A430&amp;RIGHT(F_Interface!I$2,2),'Financial model inputs '!$A$3:$A$59,0),MATCH(F_Interface!$B430,'Financial model inputs '!$A$3:$AJ$3,0)),0)</f>
        <v>89.643451098945491</v>
      </c>
      <c r="J430" s="120">
        <f>_xlfn.IFNA(INDEX('Financial model inputs '!$A$3:$AJ$59,MATCH(F_Interface!$A430&amp;RIGHT(F_Interface!J$2,2),'Financial model inputs '!$A$3:$A$59,0),MATCH(F_Interface!$B430,'Financial model inputs '!$A$3:$AJ$3,0)),0)</f>
        <v>89.643451098945491</v>
      </c>
      <c r="K430" s="120">
        <f>_xlfn.IFNA(INDEX('Financial model inputs '!$A$3:$AJ$59,MATCH(F_Interface!$A430&amp;RIGHT(F_Interface!K$2,2),'Financial model inputs '!$A$3:$A$59,0),MATCH(F_Interface!$B430,'Financial model inputs '!$A$3:$AJ$3,0)),0)</f>
        <v>89.643451098945491</v>
      </c>
      <c r="L430" s="120">
        <f>_xlfn.IFNA(INDEX('Financial model inputs '!$A$3:$AJ$59,MATCH(F_Interface!$A430&amp;RIGHT(F_Interface!L$2,2),'Financial model inputs '!$A$3:$A$59,0),MATCH(F_Interface!$B430,'Financial model inputs '!$A$3:$AJ$3,0)),0)</f>
        <v>89.643451098945491</v>
      </c>
    </row>
    <row r="431" spans="1:12" x14ac:dyDescent="0.2">
      <c r="A431" s="9" t="s">
        <v>101</v>
      </c>
      <c r="B431" s="4" t="s">
        <v>373</v>
      </c>
      <c r="C431" s="10" t="str">
        <f t="shared" si="12"/>
        <v>SVHC_WWNTOTEXFM_CS_PR19CA008</v>
      </c>
      <c r="D431" s="4" t="s">
        <v>374</v>
      </c>
      <c r="E431" s="4" t="s">
        <v>373</v>
      </c>
      <c r="F431" s="143" t="s">
        <v>2</v>
      </c>
      <c r="H431" s="120">
        <f>_xlfn.IFNA(INDEX('Financial model inputs '!$A$3:$AJ$59,MATCH(F_Interface!$A431&amp;RIGHT(F_Interface!H$2,2),'Financial model inputs '!$A$3:$A$59,0),MATCH(F_Interface!$B431,'Financial model inputs '!$A$3:$AJ$3,0)),0)</f>
        <v>0</v>
      </c>
      <c r="I431" s="120">
        <f>_xlfn.IFNA(INDEX('Financial model inputs '!$A$3:$AJ$59,MATCH(F_Interface!$A431&amp;RIGHT(F_Interface!I$2,2),'Financial model inputs '!$A$3:$A$59,0),MATCH(F_Interface!$B431,'Financial model inputs '!$A$3:$AJ$3,0)),0)</f>
        <v>0</v>
      </c>
      <c r="J431" s="120">
        <f>_xlfn.IFNA(INDEX('Financial model inputs '!$A$3:$AJ$59,MATCH(F_Interface!$A431&amp;RIGHT(F_Interface!J$2,2),'Financial model inputs '!$A$3:$A$59,0),MATCH(F_Interface!$B431,'Financial model inputs '!$A$3:$AJ$3,0)),0)</f>
        <v>0</v>
      </c>
      <c r="K431" s="120">
        <f>_xlfn.IFNA(INDEX('Financial model inputs '!$A$3:$AJ$59,MATCH(F_Interface!$A431&amp;RIGHT(F_Interface!K$2,2),'Financial model inputs '!$A$3:$A$59,0),MATCH(F_Interface!$B431,'Financial model inputs '!$A$3:$AJ$3,0)),0)</f>
        <v>0</v>
      </c>
      <c r="L431" s="120">
        <f>_xlfn.IFNA(INDEX('Financial model inputs '!$A$3:$AJ$59,MATCH(F_Interface!$A431&amp;RIGHT(F_Interface!L$2,2),'Financial model inputs '!$A$3:$A$59,0),MATCH(F_Interface!$B431,'Financial model inputs '!$A$3:$AJ$3,0)),0)</f>
        <v>0</v>
      </c>
    </row>
    <row r="432" spans="1:12" x14ac:dyDescent="0.2">
      <c r="A432" s="9" t="s">
        <v>101</v>
      </c>
      <c r="B432" s="4" t="s">
        <v>371</v>
      </c>
      <c r="C432" s="10" t="str">
        <f t="shared" si="12"/>
        <v>SVHC_BRTOTEXFM_CS_PR19CA008</v>
      </c>
      <c r="D432" s="4" t="s">
        <v>375</v>
      </c>
      <c r="E432" s="4" t="s">
        <v>371</v>
      </c>
      <c r="F432" s="143" t="s">
        <v>2</v>
      </c>
      <c r="H432" s="120">
        <f>_xlfn.IFNA(INDEX('Financial model inputs '!$A$3:$AJ$59,MATCH(F_Interface!$A432&amp;RIGHT(F_Interface!H$2,2),'Financial model inputs '!$A$3:$A$59,0),MATCH(F_Interface!$B432,'Financial model inputs '!$A$3:$AJ$3,0)),0)</f>
        <v>0</v>
      </c>
      <c r="I432" s="120">
        <f>_xlfn.IFNA(INDEX('Financial model inputs '!$A$3:$AJ$59,MATCH(F_Interface!$A432&amp;RIGHT(F_Interface!I$2,2),'Financial model inputs '!$A$3:$A$59,0),MATCH(F_Interface!$B432,'Financial model inputs '!$A$3:$AJ$3,0)),0)</f>
        <v>0</v>
      </c>
      <c r="J432" s="120">
        <f>_xlfn.IFNA(INDEX('Financial model inputs '!$A$3:$AJ$59,MATCH(F_Interface!$A432&amp;RIGHT(F_Interface!J$2,2),'Financial model inputs '!$A$3:$A$59,0),MATCH(F_Interface!$B432,'Financial model inputs '!$A$3:$AJ$3,0)),0)</f>
        <v>0</v>
      </c>
      <c r="K432" s="120">
        <f>_xlfn.IFNA(INDEX('Financial model inputs '!$A$3:$AJ$59,MATCH(F_Interface!$A432&amp;RIGHT(F_Interface!K$2,2),'Financial model inputs '!$A$3:$A$59,0),MATCH(F_Interface!$B432,'Financial model inputs '!$A$3:$AJ$3,0)),0)</f>
        <v>0</v>
      </c>
      <c r="L432" s="120">
        <f>_xlfn.IFNA(INDEX('Financial model inputs '!$A$3:$AJ$59,MATCH(F_Interface!$A432&amp;RIGHT(F_Interface!L$2,2),'Financial model inputs '!$A$3:$A$59,0),MATCH(F_Interface!$B432,'Financial model inputs '!$A$3:$AJ$3,0)),0)</f>
        <v>0</v>
      </c>
    </row>
    <row r="433" spans="1:12" x14ac:dyDescent="0.2">
      <c r="A433" s="9" t="s">
        <v>8</v>
      </c>
      <c r="B433" s="4" t="s">
        <v>373</v>
      </c>
      <c r="C433" s="10" t="str">
        <f t="shared" si="12"/>
        <v>SVTC_WWNTOTEXFM_CS_PR19CA008</v>
      </c>
      <c r="D433" s="4" t="s">
        <v>374</v>
      </c>
      <c r="E433" s="4" t="s">
        <v>373</v>
      </c>
      <c r="F433" s="143" t="s">
        <v>2</v>
      </c>
      <c r="H433" s="120">
        <f>_xlfn.IFNA(INDEX('Financial model inputs '!$A$3:$AJ$59,MATCH(F_Interface!$A433&amp;RIGHT(F_Interface!H$2,2),'Financial model inputs '!$A$3:$A$59,0),MATCH(F_Interface!$B433,'Financial model inputs '!$A$3:$AJ$3,0)),0)</f>
        <v>0</v>
      </c>
      <c r="I433" s="120">
        <f>_xlfn.IFNA(INDEX('Financial model inputs '!$A$3:$AJ$59,MATCH(F_Interface!$A433&amp;RIGHT(F_Interface!I$2,2),'Financial model inputs '!$A$3:$A$59,0),MATCH(F_Interface!$B433,'Financial model inputs '!$A$3:$AJ$3,0)),0)</f>
        <v>0</v>
      </c>
      <c r="J433" s="120">
        <f>_xlfn.IFNA(INDEX('Financial model inputs '!$A$3:$AJ$59,MATCH(F_Interface!$A433&amp;RIGHT(F_Interface!J$2,2),'Financial model inputs '!$A$3:$A$59,0),MATCH(F_Interface!$B433,'Financial model inputs '!$A$3:$AJ$3,0)),0)</f>
        <v>0</v>
      </c>
      <c r="K433" s="120">
        <f>_xlfn.IFNA(INDEX('Financial model inputs '!$A$3:$AJ$59,MATCH(F_Interface!$A433&amp;RIGHT(F_Interface!K$2,2),'Financial model inputs '!$A$3:$A$59,0),MATCH(F_Interface!$B433,'Financial model inputs '!$A$3:$AJ$3,0)),0)</f>
        <v>0</v>
      </c>
      <c r="L433" s="120">
        <f>_xlfn.IFNA(INDEX('Financial model inputs '!$A$3:$AJ$59,MATCH(F_Interface!$A433&amp;RIGHT(F_Interface!L$2,2),'Financial model inputs '!$A$3:$A$59,0),MATCH(F_Interface!$B433,'Financial model inputs '!$A$3:$AJ$3,0)),0)</f>
        <v>0</v>
      </c>
    </row>
    <row r="434" spans="1:12" x14ac:dyDescent="0.2">
      <c r="A434" s="9" t="s">
        <v>8</v>
      </c>
      <c r="B434" s="4" t="s">
        <v>371</v>
      </c>
      <c r="C434" s="10" t="str">
        <f t="shared" si="12"/>
        <v>SVTC_BRTOTEXFM_CS_PR19CA008</v>
      </c>
      <c r="D434" s="4" t="s">
        <v>375</v>
      </c>
      <c r="E434" s="4" t="s">
        <v>371</v>
      </c>
      <c r="F434" s="143" t="s">
        <v>2</v>
      </c>
      <c r="H434" s="120">
        <f>_xlfn.IFNA(INDEX('Financial model inputs '!$A$3:$AJ$59,MATCH(F_Interface!$A434&amp;RIGHT(F_Interface!H$2,2),'Financial model inputs '!$A$3:$A$59,0),MATCH(F_Interface!$B434,'Financial model inputs '!$A$3:$AJ$3,0)),0)</f>
        <v>0</v>
      </c>
      <c r="I434" s="120">
        <f>_xlfn.IFNA(INDEX('Financial model inputs '!$A$3:$AJ$59,MATCH(F_Interface!$A434&amp;RIGHT(F_Interface!I$2,2),'Financial model inputs '!$A$3:$A$59,0),MATCH(F_Interface!$B434,'Financial model inputs '!$A$3:$AJ$3,0)),0)</f>
        <v>0</v>
      </c>
      <c r="J434" s="120">
        <f>_xlfn.IFNA(INDEX('Financial model inputs '!$A$3:$AJ$59,MATCH(F_Interface!$A434&amp;RIGHT(F_Interface!J$2,2),'Financial model inputs '!$A$3:$A$59,0),MATCH(F_Interface!$B434,'Financial model inputs '!$A$3:$AJ$3,0)),0)</f>
        <v>0</v>
      </c>
      <c r="K434" s="120">
        <f>_xlfn.IFNA(INDEX('Financial model inputs '!$A$3:$AJ$59,MATCH(F_Interface!$A434&amp;RIGHT(F_Interface!K$2,2),'Financial model inputs '!$A$3:$A$59,0),MATCH(F_Interface!$B434,'Financial model inputs '!$A$3:$AJ$3,0)),0)</f>
        <v>0</v>
      </c>
      <c r="L434" s="120">
        <f>_xlfn.IFNA(INDEX('Financial model inputs '!$A$3:$AJ$59,MATCH(F_Interface!$A434&amp;RIGHT(F_Interface!L$2,2),'Financial model inputs '!$A$3:$A$59,0),MATCH(F_Interface!$B434,'Financial model inputs '!$A$3:$AJ$3,0)),0)</f>
        <v>0</v>
      </c>
    </row>
    <row r="435" spans="1:12" x14ac:dyDescent="0.2">
      <c r="A435" s="9" t="s">
        <v>12</v>
      </c>
      <c r="B435" s="4" t="s">
        <v>373</v>
      </c>
      <c r="C435" s="10" t="str">
        <f t="shared" si="12"/>
        <v>SWBC_WWNTOTEXFM_CS_PR19CA008</v>
      </c>
      <c r="D435" s="4" t="s">
        <v>374</v>
      </c>
      <c r="E435" s="4" t="s">
        <v>373</v>
      </c>
      <c r="F435" s="143" t="s">
        <v>2</v>
      </c>
      <c r="H435" s="120">
        <f>_xlfn.IFNA(INDEX('Financial model inputs '!$A$3:$AJ$59,MATCH(F_Interface!$A435&amp;RIGHT(F_Interface!H$2,2),'Financial model inputs '!$A$3:$A$59,0),MATCH(F_Interface!$B435,'Financial model inputs '!$A$3:$AJ$3,0)),0)</f>
        <v>163.2608872862873</v>
      </c>
      <c r="I435" s="120">
        <f>_xlfn.IFNA(INDEX('Financial model inputs '!$A$3:$AJ$59,MATCH(F_Interface!$A435&amp;RIGHT(F_Interface!I$2,2),'Financial model inputs '!$A$3:$A$59,0),MATCH(F_Interface!$B435,'Financial model inputs '!$A$3:$AJ$3,0)),0)</f>
        <v>163.2608872862873</v>
      </c>
      <c r="J435" s="120">
        <f>_xlfn.IFNA(INDEX('Financial model inputs '!$A$3:$AJ$59,MATCH(F_Interface!$A435&amp;RIGHT(F_Interface!J$2,2),'Financial model inputs '!$A$3:$A$59,0),MATCH(F_Interface!$B435,'Financial model inputs '!$A$3:$AJ$3,0)),0)</f>
        <v>163.2608872862873</v>
      </c>
      <c r="K435" s="120">
        <f>_xlfn.IFNA(INDEX('Financial model inputs '!$A$3:$AJ$59,MATCH(F_Interface!$A435&amp;RIGHT(F_Interface!K$2,2),'Financial model inputs '!$A$3:$A$59,0),MATCH(F_Interface!$B435,'Financial model inputs '!$A$3:$AJ$3,0)),0)</f>
        <v>163.2608872862873</v>
      </c>
      <c r="L435" s="120">
        <f>_xlfn.IFNA(INDEX('Financial model inputs '!$A$3:$AJ$59,MATCH(F_Interface!$A435&amp;RIGHT(F_Interface!L$2,2),'Financial model inputs '!$A$3:$A$59,0),MATCH(F_Interface!$B435,'Financial model inputs '!$A$3:$AJ$3,0)),0)</f>
        <v>163.2608872862873</v>
      </c>
    </row>
    <row r="436" spans="1:12" x14ac:dyDescent="0.2">
      <c r="A436" s="9" t="s">
        <v>12</v>
      </c>
      <c r="B436" s="4" t="s">
        <v>371</v>
      </c>
      <c r="C436" s="10" t="str">
        <f t="shared" si="12"/>
        <v>SWBC_BRTOTEXFM_CS_PR19CA008</v>
      </c>
      <c r="D436" s="4" t="s">
        <v>375</v>
      </c>
      <c r="E436" s="4" t="s">
        <v>371</v>
      </c>
      <c r="F436" s="143" t="s">
        <v>2</v>
      </c>
      <c r="H436" s="120">
        <f>_xlfn.IFNA(INDEX('Financial model inputs '!$A$3:$AJ$59,MATCH(F_Interface!$A436&amp;RIGHT(F_Interface!H$2,2),'Financial model inputs '!$A$3:$A$59,0),MATCH(F_Interface!$B436,'Financial model inputs '!$A$3:$AJ$3,0)),0)</f>
        <v>19.467777286324896</v>
      </c>
      <c r="I436" s="120">
        <f>_xlfn.IFNA(INDEX('Financial model inputs '!$A$3:$AJ$59,MATCH(F_Interface!$A436&amp;RIGHT(F_Interface!I$2,2),'Financial model inputs '!$A$3:$A$59,0),MATCH(F_Interface!$B436,'Financial model inputs '!$A$3:$AJ$3,0)),0)</f>
        <v>19.467777286324896</v>
      </c>
      <c r="J436" s="120">
        <f>_xlfn.IFNA(INDEX('Financial model inputs '!$A$3:$AJ$59,MATCH(F_Interface!$A436&amp;RIGHT(F_Interface!J$2,2),'Financial model inputs '!$A$3:$A$59,0),MATCH(F_Interface!$B436,'Financial model inputs '!$A$3:$AJ$3,0)),0)</f>
        <v>19.467777286324896</v>
      </c>
      <c r="K436" s="120">
        <f>_xlfn.IFNA(INDEX('Financial model inputs '!$A$3:$AJ$59,MATCH(F_Interface!$A436&amp;RIGHT(F_Interface!K$2,2),'Financial model inputs '!$A$3:$A$59,0),MATCH(F_Interface!$B436,'Financial model inputs '!$A$3:$AJ$3,0)),0)</f>
        <v>19.467777286324896</v>
      </c>
      <c r="L436" s="120">
        <f>_xlfn.IFNA(INDEX('Financial model inputs '!$A$3:$AJ$59,MATCH(F_Interface!$A436&amp;RIGHT(F_Interface!L$2,2),'Financial model inputs '!$A$3:$A$59,0),MATCH(F_Interface!$B436,'Financial model inputs '!$A$3:$AJ$3,0)),0)</f>
        <v>19.467777286324896</v>
      </c>
    </row>
    <row r="437" spans="1:12" x14ac:dyDescent="0.2">
      <c r="A437" s="9" t="s">
        <v>9</v>
      </c>
      <c r="B437" s="4" t="s">
        <v>373</v>
      </c>
      <c r="C437" s="10" t="str">
        <f t="shared" si="12"/>
        <v>TMSC_WWNTOTEXFM_CS_PR19CA008</v>
      </c>
      <c r="D437" s="4" t="s">
        <v>374</v>
      </c>
      <c r="E437" s="4" t="s">
        <v>373</v>
      </c>
      <c r="F437" s="143" t="s">
        <v>2</v>
      </c>
      <c r="H437" s="120">
        <f>_xlfn.IFNA(INDEX('Financial model inputs '!$A$3:$AJ$59,MATCH(F_Interface!$A437&amp;RIGHT(F_Interface!H$2,2),'Financial model inputs '!$A$3:$A$59,0),MATCH(F_Interface!$B437,'Financial model inputs '!$A$3:$AJ$3,0)),0)</f>
        <v>724.49584363488407</v>
      </c>
      <c r="I437" s="120">
        <f>_xlfn.IFNA(INDEX('Financial model inputs '!$A$3:$AJ$59,MATCH(F_Interface!$A437&amp;RIGHT(F_Interface!I$2,2),'Financial model inputs '!$A$3:$A$59,0),MATCH(F_Interface!$B437,'Financial model inputs '!$A$3:$AJ$3,0)),0)</f>
        <v>724.49584363488407</v>
      </c>
      <c r="J437" s="120">
        <f>_xlfn.IFNA(INDEX('Financial model inputs '!$A$3:$AJ$59,MATCH(F_Interface!$A437&amp;RIGHT(F_Interface!J$2,2),'Financial model inputs '!$A$3:$A$59,0),MATCH(F_Interface!$B437,'Financial model inputs '!$A$3:$AJ$3,0)),0)</f>
        <v>724.49584363488407</v>
      </c>
      <c r="K437" s="120">
        <f>_xlfn.IFNA(INDEX('Financial model inputs '!$A$3:$AJ$59,MATCH(F_Interface!$A437&amp;RIGHT(F_Interface!K$2,2),'Financial model inputs '!$A$3:$A$59,0),MATCH(F_Interface!$B437,'Financial model inputs '!$A$3:$AJ$3,0)),0)</f>
        <v>724.49584363488407</v>
      </c>
      <c r="L437" s="120">
        <f>_xlfn.IFNA(INDEX('Financial model inputs '!$A$3:$AJ$59,MATCH(F_Interface!$A437&amp;RIGHT(F_Interface!L$2,2),'Financial model inputs '!$A$3:$A$59,0),MATCH(F_Interface!$B437,'Financial model inputs '!$A$3:$AJ$3,0)),0)</f>
        <v>724.49584363488407</v>
      </c>
    </row>
    <row r="438" spans="1:12" x14ac:dyDescent="0.2">
      <c r="A438" s="9" t="s">
        <v>9</v>
      </c>
      <c r="B438" s="4" t="s">
        <v>371</v>
      </c>
      <c r="C438" s="10" t="str">
        <f t="shared" si="12"/>
        <v>TMSC_BRTOTEXFM_CS_PR19CA008</v>
      </c>
      <c r="D438" s="4" t="s">
        <v>375</v>
      </c>
      <c r="E438" s="4" t="s">
        <v>371</v>
      </c>
      <c r="F438" s="143" t="s">
        <v>2</v>
      </c>
      <c r="H438" s="120">
        <f>_xlfn.IFNA(INDEX('Financial model inputs '!$A$3:$AJ$59,MATCH(F_Interface!$A438&amp;RIGHT(F_Interface!H$2,2),'Financial model inputs '!$A$3:$A$59,0),MATCH(F_Interface!$B438,'Financial model inputs '!$A$3:$AJ$3,0)),0)</f>
        <v>144.69722938200402</v>
      </c>
      <c r="I438" s="120">
        <f>_xlfn.IFNA(INDEX('Financial model inputs '!$A$3:$AJ$59,MATCH(F_Interface!$A438&amp;RIGHT(F_Interface!I$2,2),'Financial model inputs '!$A$3:$A$59,0),MATCH(F_Interface!$B438,'Financial model inputs '!$A$3:$AJ$3,0)),0)</f>
        <v>144.69722938200402</v>
      </c>
      <c r="J438" s="120">
        <f>_xlfn.IFNA(INDEX('Financial model inputs '!$A$3:$AJ$59,MATCH(F_Interface!$A438&amp;RIGHT(F_Interface!J$2,2),'Financial model inputs '!$A$3:$A$59,0),MATCH(F_Interface!$B438,'Financial model inputs '!$A$3:$AJ$3,0)),0)</f>
        <v>144.69722938200402</v>
      </c>
      <c r="K438" s="120">
        <f>_xlfn.IFNA(INDEX('Financial model inputs '!$A$3:$AJ$59,MATCH(F_Interface!$A438&amp;RIGHT(F_Interface!K$2,2),'Financial model inputs '!$A$3:$A$59,0),MATCH(F_Interface!$B438,'Financial model inputs '!$A$3:$AJ$3,0)),0)</f>
        <v>144.69722938200402</v>
      </c>
      <c r="L438" s="120">
        <f>_xlfn.IFNA(INDEX('Financial model inputs '!$A$3:$AJ$59,MATCH(F_Interface!$A438&amp;RIGHT(F_Interface!L$2,2),'Financial model inputs '!$A$3:$A$59,0),MATCH(F_Interface!$B438,'Financial model inputs '!$A$3:$AJ$3,0)),0)</f>
        <v>144.69722938200402</v>
      </c>
    </row>
    <row r="439" spans="1:12" x14ac:dyDescent="0.2">
      <c r="A439" s="9" t="s">
        <v>15</v>
      </c>
      <c r="B439" s="4" t="s">
        <v>373</v>
      </c>
      <c r="C439" s="10" t="str">
        <f t="shared" si="12"/>
        <v>WSHC_WWNTOTEXFM_CS_PR19CA008</v>
      </c>
      <c r="D439" s="4" t="s">
        <v>374</v>
      </c>
      <c r="E439" s="4" t="s">
        <v>373</v>
      </c>
      <c r="F439" s="143" t="s">
        <v>2</v>
      </c>
      <c r="H439" s="120">
        <f>_xlfn.IFNA(INDEX('Financial model inputs '!$A$3:$AJ$59,MATCH(F_Interface!$A439&amp;RIGHT(F_Interface!H$2,2),'Financial model inputs '!$A$3:$A$59,0),MATCH(F_Interface!$B439,'Financial model inputs '!$A$3:$AJ$3,0)),0)</f>
        <v>245.75705847466907</v>
      </c>
      <c r="I439" s="120">
        <f>_xlfn.IFNA(INDEX('Financial model inputs '!$A$3:$AJ$59,MATCH(F_Interface!$A439&amp;RIGHT(F_Interface!I$2,2),'Financial model inputs '!$A$3:$A$59,0),MATCH(F_Interface!$B439,'Financial model inputs '!$A$3:$AJ$3,0)),0)</f>
        <v>245.75705847466907</v>
      </c>
      <c r="J439" s="120">
        <f>_xlfn.IFNA(INDEX('Financial model inputs '!$A$3:$AJ$59,MATCH(F_Interface!$A439&amp;RIGHT(F_Interface!J$2,2),'Financial model inputs '!$A$3:$A$59,0),MATCH(F_Interface!$B439,'Financial model inputs '!$A$3:$AJ$3,0)),0)</f>
        <v>245.75705847466907</v>
      </c>
      <c r="K439" s="120">
        <f>_xlfn.IFNA(INDEX('Financial model inputs '!$A$3:$AJ$59,MATCH(F_Interface!$A439&amp;RIGHT(F_Interface!K$2,2),'Financial model inputs '!$A$3:$A$59,0),MATCH(F_Interface!$B439,'Financial model inputs '!$A$3:$AJ$3,0)),0)</f>
        <v>245.75705847466907</v>
      </c>
      <c r="L439" s="120">
        <f>_xlfn.IFNA(INDEX('Financial model inputs '!$A$3:$AJ$59,MATCH(F_Interface!$A439&amp;RIGHT(F_Interface!L$2,2),'Financial model inputs '!$A$3:$A$59,0),MATCH(F_Interface!$B439,'Financial model inputs '!$A$3:$AJ$3,0)),0)</f>
        <v>245.75705847466907</v>
      </c>
    </row>
    <row r="440" spans="1:12" x14ac:dyDescent="0.2">
      <c r="A440" s="9" t="s">
        <v>15</v>
      </c>
      <c r="B440" s="4" t="s">
        <v>371</v>
      </c>
      <c r="C440" s="10" t="str">
        <f t="shared" si="12"/>
        <v>WSHC_BRTOTEXFM_CS_PR19CA008</v>
      </c>
      <c r="D440" s="4" t="s">
        <v>375</v>
      </c>
      <c r="E440" s="4" t="s">
        <v>371</v>
      </c>
      <c r="F440" s="143" t="s">
        <v>2</v>
      </c>
      <c r="H440" s="120">
        <f>_xlfn.IFNA(INDEX('Financial model inputs '!$A$3:$AJ$59,MATCH(F_Interface!$A440&amp;RIGHT(F_Interface!H$2,2),'Financial model inputs '!$A$3:$A$59,0),MATCH(F_Interface!$B440,'Financial model inputs '!$A$3:$AJ$3,0)),0)</f>
        <v>33.48888002883708</v>
      </c>
      <c r="I440" s="120">
        <f>_xlfn.IFNA(INDEX('Financial model inputs '!$A$3:$AJ$59,MATCH(F_Interface!$A440&amp;RIGHT(F_Interface!I$2,2),'Financial model inputs '!$A$3:$A$59,0),MATCH(F_Interface!$B440,'Financial model inputs '!$A$3:$AJ$3,0)),0)</f>
        <v>33.48888002883708</v>
      </c>
      <c r="J440" s="120">
        <f>_xlfn.IFNA(INDEX('Financial model inputs '!$A$3:$AJ$59,MATCH(F_Interface!$A440&amp;RIGHT(F_Interface!J$2,2),'Financial model inputs '!$A$3:$A$59,0),MATCH(F_Interface!$B440,'Financial model inputs '!$A$3:$AJ$3,0)),0)</f>
        <v>33.48888002883708</v>
      </c>
      <c r="K440" s="120">
        <f>_xlfn.IFNA(INDEX('Financial model inputs '!$A$3:$AJ$59,MATCH(F_Interface!$A440&amp;RIGHT(F_Interface!K$2,2),'Financial model inputs '!$A$3:$A$59,0),MATCH(F_Interface!$B440,'Financial model inputs '!$A$3:$AJ$3,0)),0)</f>
        <v>33.48888002883708</v>
      </c>
      <c r="L440" s="120">
        <f>_xlfn.IFNA(INDEX('Financial model inputs '!$A$3:$AJ$59,MATCH(F_Interface!$A440&amp;RIGHT(F_Interface!L$2,2),'Financial model inputs '!$A$3:$A$59,0),MATCH(F_Interface!$B440,'Financial model inputs '!$A$3:$AJ$3,0)),0)</f>
        <v>33.48888002883708</v>
      </c>
    </row>
    <row r="441" spans="1:12" x14ac:dyDescent="0.2">
      <c r="A441" s="9" t="s">
        <v>10</v>
      </c>
      <c r="B441" s="4" t="s">
        <v>373</v>
      </c>
      <c r="C441" s="10" t="str">
        <f t="shared" si="12"/>
        <v>WSXC_WWNTOTEXFM_CS_PR19CA008</v>
      </c>
      <c r="D441" s="4" t="s">
        <v>374</v>
      </c>
      <c r="E441" s="4" t="s">
        <v>373</v>
      </c>
      <c r="F441" s="143" t="s">
        <v>2</v>
      </c>
      <c r="H441" s="120">
        <f>_xlfn.IFNA(INDEX('Financial model inputs '!$A$3:$AJ$59,MATCH(F_Interface!$A441&amp;RIGHT(F_Interface!H$2,2),'Financial model inputs '!$A$3:$A$59,0),MATCH(F_Interface!$B441,'Financial model inputs '!$A$3:$AJ$3,0)),0)</f>
        <v>247.02513856517641</v>
      </c>
      <c r="I441" s="120">
        <f>_xlfn.IFNA(INDEX('Financial model inputs '!$A$3:$AJ$59,MATCH(F_Interface!$A441&amp;RIGHT(F_Interface!I$2,2),'Financial model inputs '!$A$3:$A$59,0),MATCH(F_Interface!$B441,'Financial model inputs '!$A$3:$AJ$3,0)),0)</f>
        <v>247.02513856517641</v>
      </c>
      <c r="J441" s="120">
        <f>_xlfn.IFNA(INDEX('Financial model inputs '!$A$3:$AJ$59,MATCH(F_Interface!$A441&amp;RIGHT(F_Interface!J$2,2),'Financial model inputs '!$A$3:$A$59,0),MATCH(F_Interface!$B441,'Financial model inputs '!$A$3:$AJ$3,0)),0)</f>
        <v>247.02513856517641</v>
      </c>
      <c r="K441" s="120">
        <f>_xlfn.IFNA(INDEX('Financial model inputs '!$A$3:$AJ$59,MATCH(F_Interface!$A441&amp;RIGHT(F_Interface!K$2,2),'Financial model inputs '!$A$3:$A$59,0),MATCH(F_Interface!$B441,'Financial model inputs '!$A$3:$AJ$3,0)),0)</f>
        <v>247.02513856517641</v>
      </c>
      <c r="L441" s="120">
        <f>_xlfn.IFNA(INDEX('Financial model inputs '!$A$3:$AJ$59,MATCH(F_Interface!$A441&amp;RIGHT(F_Interface!L$2,2),'Financial model inputs '!$A$3:$A$59,0),MATCH(F_Interface!$B441,'Financial model inputs '!$A$3:$AJ$3,0)),0)</f>
        <v>247.02513856517641</v>
      </c>
    </row>
    <row r="442" spans="1:12" x14ac:dyDescent="0.2">
      <c r="A442" s="9" t="s">
        <v>10</v>
      </c>
      <c r="B442" s="4" t="s">
        <v>371</v>
      </c>
      <c r="C442" s="10" t="str">
        <f t="shared" si="12"/>
        <v>WSXC_BRTOTEXFM_CS_PR19CA008</v>
      </c>
      <c r="D442" s="4" t="s">
        <v>375</v>
      </c>
      <c r="E442" s="4" t="s">
        <v>371</v>
      </c>
      <c r="F442" s="143" t="s">
        <v>2</v>
      </c>
      <c r="H442" s="120">
        <f>_xlfn.IFNA(INDEX('Financial model inputs '!$A$3:$AJ$59,MATCH(F_Interface!$A442&amp;RIGHT(F_Interface!H$2,2),'Financial model inputs '!$A$3:$A$59,0),MATCH(F_Interface!$B442,'Financial model inputs '!$A$3:$AJ$3,0)),0)</f>
        <v>27.82625304696689</v>
      </c>
      <c r="I442" s="120">
        <f>_xlfn.IFNA(INDEX('Financial model inputs '!$A$3:$AJ$59,MATCH(F_Interface!$A442&amp;RIGHT(F_Interface!I$2,2),'Financial model inputs '!$A$3:$A$59,0),MATCH(F_Interface!$B442,'Financial model inputs '!$A$3:$AJ$3,0)),0)</f>
        <v>27.82625304696689</v>
      </c>
      <c r="J442" s="120">
        <f>_xlfn.IFNA(INDEX('Financial model inputs '!$A$3:$AJ$59,MATCH(F_Interface!$A442&amp;RIGHT(F_Interface!J$2,2),'Financial model inputs '!$A$3:$A$59,0),MATCH(F_Interface!$B442,'Financial model inputs '!$A$3:$AJ$3,0)),0)</f>
        <v>27.82625304696689</v>
      </c>
      <c r="K442" s="120">
        <f>_xlfn.IFNA(INDEX('Financial model inputs '!$A$3:$AJ$59,MATCH(F_Interface!$A442&amp;RIGHT(F_Interface!K$2,2),'Financial model inputs '!$A$3:$A$59,0),MATCH(F_Interface!$B442,'Financial model inputs '!$A$3:$AJ$3,0)),0)</f>
        <v>27.82625304696689</v>
      </c>
      <c r="L442" s="120">
        <f>_xlfn.IFNA(INDEX('Financial model inputs '!$A$3:$AJ$59,MATCH(F_Interface!$A442&amp;RIGHT(F_Interface!L$2,2),'Financial model inputs '!$A$3:$A$59,0),MATCH(F_Interface!$B442,'Financial model inputs '!$A$3:$AJ$3,0)),0)</f>
        <v>27.82625304696689</v>
      </c>
    </row>
    <row r="443" spans="1:12" x14ac:dyDescent="0.2">
      <c r="A443" s="9" t="s">
        <v>11</v>
      </c>
      <c r="B443" s="4" t="s">
        <v>373</v>
      </c>
      <c r="C443" s="10" t="str">
        <f t="shared" si="12"/>
        <v>YKYC_WWNTOTEXFM_CS_PR19CA008</v>
      </c>
      <c r="D443" s="4" t="s">
        <v>374</v>
      </c>
      <c r="E443" s="4" t="s">
        <v>373</v>
      </c>
      <c r="F443" s="143" t="s">
        <v>2</v>
      </c>
      <c r="H443" s="120">
        <f>_xlfn.IFNA(INDEX('Financial model inputs '!$A$3:$AJ$59,MATCH(F_Interface!$A443&amp;RIGHT(F_Interface!H$2,2),'Financial model inputs '!$A$3:$A$59,0),MATCH(F_Interface!$B443,'Financial model inputs '!$A$3:$AJ$3,0)),0)</f>
        <v>400.04327634296334</v>
      </c>
      <c r="I443" s="120">
        <f>_xlfn.IFNA(INDEX('Financial model inputs '!$A$3:$AJ$59,MATCH(F_Interface!$A443&amp;RIGHT(F_Interface!I$2,2),'Financial model inputs '!$A$3:$A$59,0),MATCH(F_Interface!$B443,'Financial model inputs '!$A$3:$AJ$3,0)),0)</f>
        <v>400.04327634296334</v>
      </c>
      <c r="J443" s="120">
        <f>_xlfn.IFNA(INDEX('Financial model inputs '!$A$3:$AJ$59,MATCH(F_Interface!$A443&amp;RIGHT(F_Interface!J$2,2),'Financial model inputs '!$A$3:$A$59,0),MATCH(F_Interface!$B443,'Financial model inputs '!$A$3:$AJ$3,0)),0)</f>
        <v>400.04327634296334</v>
      </c>
      <c r="K443" s="120">
        <f>_xlfn.IFNA(INDEX('Financial model inputs '!$A$3:$AJ$59,MATCH(F_Interface!$A443&amp;RIGHT(F_Interface!K$2,2),'Financial model inputs '!$A$3:$A$59,0),MATCH(F_Interface!$B443,'Financial model inputs '!$A$3:$AJ$3,0)),0)</f>
        <v>400.04327634296334</v>
      </c>
      <c r="L443" s="120">
        <f>_xlfn.IFNA(INDEX('Financial model inputs '!$A$3:$AJ$59,MATCH(F_Interface!$A443&amp;RIGHT(F_Interface!L$2,2),'Financial model inputs '!$A$3:$A$59,0),MATCH(F_Interface!$B443,'Financial model inputs '!$A$3:$AJ$3,0)),0)</f>
        <v>400.04327634296334</v>
      </c>
    </row>
    <row r="444" spans="1:12" x14ac:dyDescent="0.2">
      <c r="A444" s="9" t="s">
        <v>11</v>
      </c>
      <c r="B444" s="4" t="s">
        <v>371</v>
      </c>
      <c r="C444" s="10" t="str">
        <f t="shared" si="12"/>
        <v>YKYC_BRTOTEXFM_CS_PR19CA008</v>
      </c>
      <c r="D444" s="4" t="s">
        <v>375</v>
      </c>
      <c r="E444" s="4" t="s">
        <v>371</v>
      </c>
      <c r="F444" s="143" t="s">
        <v>2</v>
      </c>
      <c r="H444" s="120">
        <f>_xlfn.IFNA(INDEX('Financial model inputs '!$A$3:$AJ$59,MATCH(F_Interface!$A444&amp;RIGHT(F_Interface!H$2,2),'Financial model inputs '!$A$3:$A$59,0),MATCH(F_Interface!$B444,'Financial model inputs '!$A$3:$AJ$3,0)),0)</f>
        <v>62.8641482211615</v>
      </c>
      <c r="I444" s="120">
        <f>_xlfn.IFNA(INDEX('Financial model inputs '!$A$3:$AJ$59,MATCH(F_Interface!$A444&amp;RIGHT(F_Interface!I$2,2),'Financial model inputs '!$A$3:$A$59,0),MATCH(F_Interface!$B444,'Financial model inputs '!$A$3:$AJ$3,0)),0)</f>
        <v>62.8641482211615</v>
      </c>
      <c r="J444" s="120">
        <f>_xlfn.IFNA(INDEX('Financial model inputs '!$A$3:$AJ$59,MATCH(F_Interface!$A444&amp;RIGHT(F_Interface!J$2,2),'Financial model inputs '!$A$3:$A$59,0),MATCH(F_Interface!$B444,'Financial model inputs '!$A$3:$AJ$3,0)),0)</f>
        <v>62.8641482211615</v>
      </c>
      <c r="K444" s="120">
        <f>_xlfn.IFNA(INDEX('Financial model inputs '!$A$3:$AJ$59,MATCH(F_Interface!$A444&amp;RIGHT(F_Interface!K$2,2),'Financial model inputs '!$A$3:$A$59,0),MATCH(F_Interface!$B444,'Financial model inputs '!$A$3:$AJ$3,0)),0)</f>
        <v>62.8641482211615</v>
      </c>
      <c r="L444" s="120">
        <f>_xlfn.IFNA(INDEX('Financial model inputs '!$A$3:$AJ$59,MATCH(F_Interface!$A444&amp;RIGHT(F_Interface!L$2,2),'Financial model inputs '!$A$3:$A$59,0),MATCH(F_Interface!$B444,'Financial model inputs '!$A$3:$AJ$3,0)),0)</f>
        <v>62.8641482211615</v>
      </c>
    </row>
    <row r="445" spans="1:12" x14ac:dyDescent="0.2">
      <c r="A445" s="9" t="s">
        <v>4</v>
      </c>
      <c r="B445" s="4" t="s">
        <v>376</v>
      </c>
      <c r="C445" s="10" t="str">
        <f t="shared" si="12"/>
        <v>ANHC_WWNOTHER_EXCPDR_PR19CA008</v>
      </c>
      <c r="D445" s="4" t="s">
        <v>378</v>
      </c>
      <c r="E445" s="4" t="s">
        <v>376</v>
      </c>
      <c r="F445" s="143" t="s">
        <v>2</v>
      </c>
      <c r="H445" s="4">
        <f xml:space="preserve"> _xlfn.IFNA(INDEX('Final allowances'!$B$55:$K$65,MATCH(F_Interface!$A445,'Final allowances'!$B$55:$B$65,0),3),0) / 5</f>
        <v>1.4946000000000002</v>
      </c>
      <c r="I445" s="4">
        <f xml:space="preserve"> _xlfn.IFNA(INDEX('Final allowances'!$B$55:$K$65,MATCH(F_Interface!$A445,'Final allowances'!$B$55:$B$65,0),3),0) / 5</f>
        <v>1.4946000000000002</v>
      </c>
      <c r="J445" s="4">
        <f xml:space="preserve"> _xlfn.IFNA(INDEX('Final allowances'!$B$55:$K$65,MATCH(F_Interface!$A445,'Final allowances'!$B$55:$B$65,0),3),0) / 5</f>
        <v>1.4946000000000002</v>
      </c>
      <c r="K445" s="4">
        <f xml:space="preserve"> _xlfn.IFNA(INDEX('Final allowances'!$B$55:$K$65,MATCH(F_Interface!$A445,'Final allowances'!$B$55:$B$65,0),3),0) / 5</f>
        <v>1.4946000000000002</v>
      </c>
      <c r="L445" s="4">
        <f xml:space="preserve"> _xlfn.IFNA(INDEX('Final allowances'!$B$55:$K$65,MATCH(F_Interface!$A445,'Final allowances'!$B$55:$B$65,0),3),0) / 5</f>
        <v>1.4946000000000002</v>
      </c>
    </row>
    <row r="446" spans="1:12" x14ac:dyDescent="0.2">
      <c r="A446" s="9" t="s">
        <v>4</v>
      </c>
      <c r="B446" s="4" t="s">
        <v>377</v>
      </c>
      <c r="C446" s="10" t="str">
        <f t="shared" si="12"/>
        <v>ANHC_BROTHER_EXCPDR_PR19CA008</v>
      </c>
      <c r="D446" s="4" t="s">
        <v>379</v>
      </c>
      <c r="E446" s="4" t="s">
        <v>377</v>
      </c>
      <c r="F446" s="143" t="s">
        <v>2</v>
      </c>
      <c r="H446" s="4">
        <f xml:space="preserve"> _xlfn.IFNA(INDEX('Final allowances'!$B$55:$K$65,MATCH(F_Interface!$A446,'Final allowances'!$B$55:$B$65,0),2),0) / 5</f>
        <v>0.49379999999999996</v>
      </c>
      <c r="I446" s="4">
        <f xml:space="preserve"> _xlfn.IFNA(INDEX('Final allowances'!$B$55:$K$65,MATCH(F_Interface!$A446,'Final allowances'!$B$55:$B$65,0),2),0) / 5</f>
        <v>0.49379999999999996</v>
      </c>
      <c r="J446" s="4">
        <f xml:space="preserve"> _xlfn.IFNA(INDEX('Final allowances'!$B$55:$K$65,MATCH(F_Interface!$A446,'Final allowances'!$B$55:$B$65,0),2),0) / 5</f>
        <v>0.49379999999999996</v>
      </c>
      <c r="K446" s="4">
        <f xml:space="preserve"> _xlfn.IFNA(INDEX('Final allowances'!$B$55:$K$65,MATCH(F_Interface!$A446,'Final allowances'!$B$55:$B$65,0),2),0) / 5</f>
        <v>0.49379999999999996</v>
      </c>
      <c r="L446" s="4">
        <f xml:space="preserve"> _xlfn.IFNA(INDEX('Final allowances'!$B$55:$K$65,MATCH(F_Interface!$A446,'Final allowances'!$B$55:$B$65,0),2),0) / 5</f>
        <v>0.49379999999999996</v>
      </c>
    </row>
    <row r="447" spans="1:12" x14ac:dyDescent="0.2">
      <c r="A447" s="9" t="s">
        <v>87</v>
      </c>
      <c r="B447" s="4" t="s">
        <v>376</v>
      </c>
      <c r="C447" s="10" t="str">
        <f t="shared" ref="C447:C470" si="13">A447&amp;B447</f>
        <v>HDDC_WWNOTHER_EXCPDR_PR19CA008</v>
      </c>
      <c r="D447" s="4" t="s">
        <v>378</v>
      </c>
      <c r="E447" s="4" t="s">
        <v>376</v>
      </c>
      <c r="F447" s="143" t="s">
        <v>2</v>
      </c>
      <c r="H447" s="4">
        <f xml:space="preserve"> _xlfn.IFNA(INDEX('Final allowances'!$B$55:$K$65,MATCH(F_Interface!$A447,'Final allowances'!$B$55:$B$65,0),3),0) / 5</f>
        <v>0</v>
      </c>
      <c r="I447" s="4">
        <f xml:space="preserve"> _xlfn.IFNA(INDEX('Final allowances'!$B$55:$K$65,MATCH(F_Interface!$A447,'Final allowances'!$B$55:$B$65,0),3),0) / 5</f>
        <v>0</v>
      </c>
      <c r="J447" s="4">
        <f xml:space="preserve"> _xlfn.IFNA(INDEX('Final allowances'!$B$55:$K$65,MATCH(F_Interface!$A447,'Final allowances'!$B$55:$B$65,0),3),0) / 5</f>
        <v>0</v>
      </c>
      <c r="K447" s="4">
        <f xml:space="preserve"> _xlfn.IFNA(INDEX('Final allowances'!$B$55:$K$65,MATCH(F_Interface!$A447,'Final allowances'!$B$55:$B$65,0),3),0) / 5</f>
        <v>0</v>
      </c>
      <c r="L447" s="4">
        <f xml:space="preserve"> _xlfn.IFNA(INDEX('Final allowances'!$B$55:$K$65,MATCH(F_Interface!$A447,'Final allowances'!$B$55:$B$65,0),3),0) / 5</f>
        <v>0</v>
      </c>
    </row>
    <row r="448" spans="1:12" x14ac:dyDescent="0.2">
      <c r="A448" s="9" t="s">
        <v>87</v>
      </c>
      <c r="B448" s="4" t="s">
        <v>377</v>
      </c>
      <c r="C448" s="10" t="str">
        <f t="shared" si="13"/>
        <v>HDDC_BROTHER_EXCPDR_PR19CA008</v>
      </c>
      <c r="D448" s="4" t="s">
        <v>379</v>
      </c>
      <c r="E448" s="4" t="s">
        <v>377</v>
      </c>
      <c r="F448" s="143" t="s">
        <v>2</v>
      </c>
      <c r="H448" s="4">
        <f xml:space="preserve"> _xlfn.IFNA(INDEX('Final allowances'!$B$55:$K$65,MATCH(F_Interface!$A448,'Final allowances'!$B$55:$B$65,0),2),0) / 5</f>
        <v>0</v>
      </c>
      <c r="I448" s="4">
        <f xml:space="preserve"> _xlfn.IFNA(INDEX('Final allowances'!$B$55:$K$65,MATCH(F_Interface!$A448,'Final allowances'!$B$55:$B$65,0),2),0) / 5</f>
        <v>0</v>
      </c>
      <c r="J448" s="4">
        <f xml:space="preserve"> _xlfn.IFNA(INDEX('Final allowances'!$B$55:$K$65,MATCH(F_Interface!$A448,'Final allowances'!$B$55:$B$65,0),2),0) / 5</f>
        <v>0</v>
      </c>
      <c r="K448" s="4">
        <f xml:space="preserve"> _xlfn.IFNA(INDEX('Final allowances'!$B$55:$K$65,MATCH(F_Interface!$A448,'Final allowances'!$B$55:$B$65,0),2),0) / 5</f>
        <v>0</v>
      </c>
      <c r="L448" s="4">
        <f xml:space="preserve"> _xlfn.IFNA(INDEX('Final allowances'!$B$55:$K$65,MATCH(F_Interface!$A448,'Final allowances'!$B$55:$B$65,0),2),0) / 5</f>
        <v>0</v>
      </c>
    </row>
    <row r="449" spans="1:12" x14ac:dyDescent="0.2">
      <c r="A449" s="9" t="s">
        <v>5</v>
      </c>
      <c r="B449" s="4" t="s">
        <v>376</v>
      </c>
      <c r="C449" s="10" t="str">
        <f t="shared" si="13"/>
        <v>NESC_WWNOTHER_EXCPDR_PR19CA008</v>
      </c>
      <c r="D449" s="4" t="s">
        <v>378</v>
      </c>
      <c r="E449" s="4" t="s">
        <v>376</v>
      </c>
      <c r="F449" s="143" t="s">
        <v>2</v>
      </c>
      <c r="H449" s="4">
        <f xml:space="preserve"> _xlfn.IFNA(INDEX('Final allowances'!$B$55:$K$65,MATCH(F_Interface!$A449,'Final allowances'!$B$55:$B$65,0),3),0) / 5</f>
        <v>0.30200000000000005</v>
      </c>
      <c r="I449" s="4">
        <f xml:space="preserve"> _xlfn.IFNA(INDEX('Final allowances'!$B$55:$K$65,MATCH(F_Interface!$A449,'Final allowances'!$B$55:$B$65,0),3),0) / 5</f>
        <v>0.30200000000000005</v>
      </c>
      <c r="J449" s="4">
        <f xml:space="preserve"> _xlfn.IFNA(INDEX('Final allowances'!$B$55:$K$65,MATCH(F_Interface!$A449,'Final allowances'!$B$55:$B$65,0),3),0) / 5</f>
        <v>0.30200000000000005</v>
      </c>
      <c r="K449" s="4">
        <f xml:space="preserve"> _xlfn.IFNA(INDEX('Final allowances'!$B$55:$K$65,MATCH(F_Interface!$A449,'Final allowances'!$B$55:$B$65,0),3),0) / 5</f>
        <v>0.30200000000000005</v>
      </c>
      <c r="L449" s="4">
        <f xml:space="preserve"> _xlfn.IFNA(INDEX('Final allowances'!$B$55:$K$65,MATCH(F_Interface!$A449,'Final allowances'!$B$55:$B$65,0),3),0) / 5</f>
        <v>0.30200000000000005</v>
      </c>
    </row>
    <row r="450" spans="1:12" x14ac:dyDescent="0.2">
      <c r="A450" s="9" t="s">
        <v>5</v>
      </c>
      <c r="B450" s="4" t="s">
        <v>377</v>
      </c>
      <c r="C450" s="10" t="str">
        <f t="shared" si="13"/>
        <v>NESC_BROTHER_EXCPDR_PR19CA008</v>
      </c>
      <c r="D450" s="4" t="s">
        <v>379</v>
      </c>
      <c r="E450" s="4" t="s">
        <v>377</v>
      </c>
      <c r="F450" s="143" t="s">
        <v>2</v>
      </c>
      <c r="H450" s="4">
        <f xml:space="preserve"> _xlfn.IFNA(INDEX('Final allowances'!$B$55:$K$65,MATCH(F_Interface!$A450,'Final allowances'!$B$55:$B$65,0),2),0) / 5</f>
        <v>0</v>
      </c>
      <c r="I450" s="4">
        <f xml:space="preserve"> _xlfn.IFNA(INDEX('Final allowances'!$B$55:$K$65,MATCH(F_Interface!$A450,'Final allowances'!$B$55:$B$65,0),2),0) / 5</f>
        <v>0</v>
      </c>
      <c r="J450" s="4">
        <f xml:space="preserve"> _xlfn.IFNA(INDEX('Final allowances'!$B$55:$K$65,MATCH(F_Interface!$A450,'Final allowances'!$B$55:$B$65,0),2),0) / 5</f>
        <v>0</v>
      </c>
      <c r="K450" s="4">
        <f xml:space="preserve"> _xlfn.IFNA(INDEX('Final allowances'!$B$55:$K$65,MATCH(F_Interface!$A450,'Final allowances'!$B$55:$B$65,0),2),0) / 5</f>
        <v>0</v>
      </c>
      <c r="L450" s="4">
        <f xml:space="preserve"> _xlfn.IFNA(INDEX('Final allowances'!$B$55:$K$65,MATCH(F_Interface!$A450,'Final allowances'!$B$55:$B$65,0),2),0) / 5</f>
        <v>0</v>
      </c>
    </row>
    <row r="451" spans="1:12" x14ac:dyDescent="0.2">
      <c r="A451" s="9" t="s">
        <v>6</v>
      </c>
      <c r="B451" s="4" t="s">
        <v>376</v>
      </c>
      <c r="C451" s="10" t="str">
        <f t="shared" si="13"/>
        <v>NWTC_WWNOTHER_EXCPDR_PR19CA008</v>
      </c>
      <c r="D451" s="4" t="s">
        <v>378</v>
      </c>
      <c r="E451" s="4" t="s">
        <v>376</v>
      </c>
      <c r="F451" s="143" t="s">
        <v>2</v>
      </c>
      <c r="H451" s="4">
        <f xml:space="preserve"> _xlfn.IFNA(INDEX('Final allowances'!$B$55:$K$65,MATCH(F_Interface!$A451,'Final allowances'!$B$55:$B$65,0),3),0) / 5</f>
        <v>0.12766896401700803</v>
      </c>
      <c r="I451" s="4">
        <f xml:space="preserve"> _xlfn.IFNA(INDEX('Final allowances'!$B$55:$K$65,MATCH(F_Interface!$A451,'Final allowances'!$B$55:$B$65,0),3),0) / 5</f>
        <v>0.12766896401700803</v>
      </c>
      <c r="J451" s="4">
        <f xml:space="preserve"> _xlfn.IFNA(INDEX('Final allowances'!$B$55:$K$65,MATCH(F_Interface!$A451,'Final allowances'!$B$55:$B$65,0),3),0) / 5</f>
        <v>0.12766896401700803</v>
      </c>
      <c r="K451" s="4">
        <f xml:space="preserve"> _xlfn.IFNA(INDEX('Final allowances'!$B$55:$K$65,MATCH(F_Interface!$A451,'Final allowances'!$B$55:$B$65,0),3),0) / 5</f>
        <v>0.12766896401700803</v>
      </c>
      <c r="L451" s="4">
        <f xml:space="preserve"> _xlfn.IFNA(INDEX('Final allowances'!$B$55:$K$65,MATCH(F_Interface!$A451,'Final allowances'!$B$55:$B$65,0),3),0) / 5</f>
        <v>0.12766896401700803</v>
      </c>
    </row>
    <row r="452" spans="1:12" x14ac:dyDescent="0.2">
      <c r="A452" s="9" t="s">
        <v>6</v>
      </c>
      <c r="B452" s="4" t="s">
        <v>377</v>
      </c>
      <c r="C452" s="10" t="str">
        <f t="shared" si="13"/>
        <v>NWTC_BROTHER_EXCPDR_PR19CA008</v>
      </c>
      <c r="D452" s="4" t="s">
        <v>379</v>
      </c>
      <c r="E452" s="4" t="s">
        <v>377</v>
      </c>
      <c r="F452" s="143" t="s">
        <v>2</v>
      </c>
      <c r="H452" s="4">
        <f xml:space="preserve"> _xlfn.IFNA(INDEX('Final allowances'!$B$55:$K$65,MATCH(F_Interface!$A452,'Final allowances'!$B$55:$B$65,0),2),0) / 5</f>
        <v>0</v>
      </c>
      <c r="I452" s="4">
        <f xml:space="preserve"> _xlfn.IFNA(INDEX('Final allowances'!$B$55:$K$65,MATCH(F_Interface!$A452,'Final allowances'!$B$55:$B$65,0),2),0) / 5</f>
        <v>0</v>
      </c>
      <c r="J452" s="4">
        <f xml:space="preserve"> _xlfn.IFNA(INDEX('Final allowances'!$B$55:$K$65,MATCH(F_Interface!$A452,'Final allowances'!$B$55:$B$65,0),2),0) / 5</f>
        <v>0</v>
      </c>
      <c r="K452" s="4">
        <f xml:space="preserve"> _xlfn.IFNA(INDEX('Final allowances'!$B$55:$K$65,MATCH(F_Interface!$A452,'Final allowances'!$B$55:$B$65,0),2),0) / 5</f>
        <v>0</v>
      </c>
      <c r="L452" s="4">
        <f xml:space="preserve"> _xlfn.IFNA(INDEX('Final allowances'!$B$55:$K$65,MATCH(F_Interface!$A452,'Final allowances'!$B$55:$B$65,0),2),0) / 5</f>
        <v>0</v>
      </c>
    </row>
    <row r="453" spans="1:12" x14ac:dyDescent="0.2">
      <c r="A453" s="9" t="s">
        <v>7</v>
      </c>
      <c r="B453" s="4" t="s">
        <v>376</v>
      </c>
      <c r="C453" s="10" t="str">
        <f t="shared" si="13"/>
        <v>SRNC_WWNOTHER_EXCPDR_PR19CA008</v>
      </c>
      <c r="D453" s="4" t="s">
        <v>378</v>
      </c>
      <c r="E453" s="4" t="s">
        <v>376</v>
      </c>
      <c r="F453" s="143" t="s">
        <v>2</v>
      </c>
      <c r="H453" s="4">
        <f xml:space="preserve"> _xlfn.IFNA(INDEX('Final allowances'!$B$55:$K$65,MATCH(F_Interface!$A453,'Final allowances'!$B$55:$B$65,0),3),0) / 5</f>
        <v>1.8839999999999999</v>
      </c>
      <c r="I453" s="4">
        <f xml:space="preserve"> _xlfn.IFNA(INDEX('Final allowances'!$B$55:$K$65,MATCH(F_Interface!$A453,'Final allowances'!$B$55:$B$65,0),3),0) / 5</f>
        <v>1.8839999999999999</v>
      </c>
      <c r="J453" s="4">
        <f xml:space="preserve"> _xlfn.IFNA(INDEX('Final allowances'!$B$55:$K$65,MATCH(F_Interface!$A453,'Final allowances'!$B$55:$B$65,0),3),0) / 5</f>
        <v>1.8839999999999999</v>
      </c>
      <c r="K453" s="4">
        <f xml:space="preserve"> _xlfn.IFNA(INDEX('Final allowances'!$B$55:$K$65,MATCH(F_Interface!$A453,'Final allowances'!$B$55:$B$65,0),3),0) / 5</f>
        <v>1.8839999999999999</v>
      </c>
      <c r="L453" s="4">
        <f xml:space="preserve"> _xlfn.IFNA(INDEX('Final allowances'!$B$55:$K$65,MATCH(F_Interface!$A453,'Final allowances'!$B$55:$B$65,0),3),0) / 5</f>
        <v>1.8839999999999999</v>
      </c>
    </row>
    <row r="454" spans="1:12" x14ac:dyDescent="0.2">
      <c r="A454" s="9" t="s">
        <v>7</v>
      </c>
      <c r="B454" s="4" t="s">
        <v>377</v>
      </c>
      <c r="C454" s="10" t="str">
        <f t="shared" si="13"/>
        <v>SRNC_BROTHER_EXCPDR_PR19CA008</v>
      </c>
      <c r="D454" s="4" t="s">
        <v>379</v>
      </c>
      <c r="E454" s="4" t="s">
        <v>377</v>
      </c>
      <c r="F454" s="143" t="s">
        <v>2</v>
      </c>
      <c r="H454" s="4">
        <f xml:space="preserve"> _xlfn.IFNA(INDEX('Final allowances'!$B$55:$K$65,MATCH(F_Interface!$A454,'Final allowances'!$B$55:$B$65,0),2),0) / 5</f>
        <v>0</v>
      </c>
      <c r="I454" s="4">
        <f xml:space="preserve"> _xlfn.IFNA(INDEX('Final allowances'!$B$55:$K$65,MATCH(F_Interface!$A454,'Final allowances'!$B$55:$B$65,0),2),0) / 5</f>
        <v>0</v>
      </c>
      <c r="J454" s="4">
        <f xml:space="preserve"> _xlfn.IFNA(INDEX('Final allowances'!$B$55:$K$65,MATCH(F_Interface!$A454,'Final allowances'!$B$55:$B$65,0),2),0) / 5</f>
        <v>0</v>
      </c>
      <c r="K454" s="4">
        <f xml:space="preserve"> _xlfn.IFNA(INDEX('Final allowances'!$B$55:$K$65,MATCH(F_Interface!$A454,'Final allowances'!$B$55:$B$65,0),2),0) / 5</f>
        <v>0</v>
      </c>
      <c r="L454" s="4">
        <f xml:space="preserve"> _xlfn.IFNA(INDEX('Final allowances'!$B$55:$K$65,MATCH(F_Interface!$A454,'Final allowances'!$B$55:$B$65,0),2),0) / 5</f>
        <v>0</v>
      </c>
    </row>
    <row r="455" spans="1:12" x14ac:dyDescent="0.2">
      <c r="A455" s="9" t="s">
        <v>116</v>
      </c>
      <c r="B455" s="4" t="s">
        <v>376</v>
      </c>
      <c r="C455" s="10" t="str">
        <f t="shared" si="13"/>
        <v>SVEC_WWNOTHER_EXCPDR_PR19CA008</v>
      </c>
      <c r="D455" s="4" t="s">
        <v>378</v>
      </c>
      <c r="E455" s="4" t="s">
        <v>376</v>
      </c>
      <c r="F455" s="143" t="s">
        <v>2</v>
      </c>
      <c r="H455" s="4">
        <f xml:space="preserve"> _xlfn.IFNA(INDEX('Final allowances'!$B$55:$K$65,MATCH(F_Interface!$A455,'Final allowances'!$B$55:$B$65,0),3),0) / 5</f>
        <v>0.70698521732460162</v>
      </c>
      <c r="I455" s="4">
        <f xml:space="preserve"> _xlfn.IFNA(INDEX('Final allowances'!$B$55:$K$65,MATCH(F_Interface!$A455,'Final allowances'!$B$55:$B$65,0),3),0) / 5</f>
        <v>0.70698521732460162</v>
      </c>
      <c r="J455" s="4">
        <f xml:space="preserve"> _xlfn.IFNA(INDEX('Final allowances'!$B$55:$K$65,MATCH(F_Interface!$A455,'Final allowances'!$B$55:$B$65,0),3),0) / 5</f>
        <v>0.70698521732460162</v>
      </c>
      <c r="K455" s="4">
        <f xml:space="preserve"> _xlfn.IFNA(INDEX('Final allowances'!$B$55:$K$65,MATCH(F_Interface!$A455,'Final allowances'!$B$55:$B$65,0),3),0) / 5</f>
        <v>0.70698521732460162</v>
      </c>
      <c r="L455" s="4">
        <f xml:space="preserve"> _xlfn.IFNA(INDEX('Final allowances'!$B$55:$K$65,MATCH(F_Interface!$A455,'Final allowances'!$B$55:$B$65,0),3),0) / 5</f>
        <v>0.70698521732460162</v>
      </c>
    </row>
    <row r="456" spans="1:12" x14ac:dyDescent="0.2">
      <c r="A456" s="9" t="s">
        <v>116</v>
      </c>
      <c r="B456" s="4" t="s">
        <v>377</v>
      </c>
      <c r="C456" s="10" t="str">
        <f t="shared" si="13"/>
        <v>SVEC_BROTHER_EXCPDR_PR19CA008</v>
      </c>
      <c r="D456" s="4" t="s">
        <v>379</v>
      </c>
      <c r="E456" s="4" t="s">
        <v>377</v>
      </c>
      <c r="F456" s="143" t="s">
        <v>2</v>
      </c>
      <c r="H456" s="4">
        <f xml:space="preserve"> _xlfn.IFNA(INDEX('Final allowances'!$B$55:$K$65,MATCH(F_Interface!$A456,'Final allowances'!$B$55:$B$65,0),2),0) / 5</f>
        <v>0</v>
      </c>
      <c r="I456" s="4">
        <f xml:space="preserve"> _xlfn.IFNA(INDEX('Final allowances'!$B$55:$K$65,MATCH(F_Interface!$A456,'Final allowances'!$B$55:$B$65,0),2),0) / 5</f>
        <v>0</v>
      </c>
      <c r="J456" s="4">
        <f xml:space="preserve"> _xlfn.IFNA(INDEX('Final allowances'!$B$55:$K$65,MATCH(F_Interface!$A456,'Final allowances'!$B$55:$B$65,0),2),0) / 5</f>
        <v>0</v>
      </c>
      <c r="K456" s="4">
        <f xml:space="preserve"> _xlfn.IFNA(INDEX('Final allowances'!$B$55:$K$65,MATCH(F_Interface!$A456,'Final allowances'!$B$55:$B$65,0),2),0) / 5</f>
        <v>0</v>
      </c>
      <c r="L456" s="4">
        <f xml:space="preserve"> _xlfn.IFNA(INDEX('Final allowances'!$B$55:$K$65,MATCH(F_Interface!$A456,'Final allowances'!$B$55:$B$65,0),2),0) / 5</f>
        <v>0</v>
      </c>
    </row>
    <row r="457" spans="1:12" x14ac:dyDescent="0.2">
      <c r="A457" s="9" t="s">
        <v>101</v>
      </c>
      <c r="B457" s="4" t="s">
        <v>376</v>
      </c>
      <c r="C457" s="10" t="str">
        <f t="shared" si="13"/>
        <v>SVHC_WWNOTHER_EXCPDR_PR19CA008</v>
      </c>
      <c r="D457" s="4" t="s">
        <v>378</v>
      </c>
      <c r="E457" s="4" t="s">
        <v>376</v>
      </c>
      <c r="F457" s="143" t="s">
        <v>2</v>
      </c>
      <c r="H457" s="4">
        <f xml:space="preserve"> _xlfn.IFNA(INDEX('Final allowances'!$B$55:$K$65,MATCH(F_Interface!$A457,'Final allowances'!$B$55:$B$65,0),3),0) / 5</f>
        <v>0</v>
      </c>
      <c r="I457" s="4">
        <f xml:space="preserve"> _xlfn.IFNA(INDEX('Final allowances'!$B$55:$K$65,MATCH(F_Interface!$A457,'Final allowances'!$B$55:$B$65,0),3),0) / 5</f>
        <v>0</v>
      </c>
      <c r="J457" s="4">
        <f xml:space="preserve"> _xlfn.IFNA(INDEX('Final allowances'!$B$55:$K$65,MATCH(F_Interface!$A457,'Final allowances'!$B$55:$B$65,0),3),0) / 5</f>
        <v>0</v>
      </c>
      <c r="K457" s="4">
        <f xml:space="preserve"> _xlfn.IFNA(INDEX('Final allowances'!$B$55:$K$65,MATCH(F_Interface!$A457,'Final allowances'!$B$55:$B$65,0),3),0) / 5</f>
        <v>0</v>
      </c>
      <c r="L457" s="4">
        <f xml:space="preserve"> _xlfn.IFNA(INDEX('Final allowances'!$B$55:$K$65,MATCH(F_Interface!$A457,'Final allowances'!$B$55:$B$65,0),3),0) / 5</f>
        <v>0</v>
      </c>
    </row>
    <row r="458" spans="1:12" x14ac:dyDescent="0.2">
      <c r="A458" s="9" t="s">
        <v>101</v>
      </c>
      <c r="B458" s="4" t="s">
        <v>377</v>
      </c>
      <c r="C458" s="10" t="str">
        <f t="shared" si="13"/>
        <v>SVHC_BROTHER_EXCPDR_PR19CA008</v>
      </c>
      <c r="D458" s="4" t="s">
        <v>379</v>
      </c>
      <c r="E458" s="4" t="s">
        <v>377</v>
      </c>
      <c r="F458" s="143" t="s">
        <v>2</v>
      </c>
      <c r="H458" s="4">
        <f xml:space="preserve"> _xlfn.IFNA(INDEX('Final allowances'!$B$55:$K$65,MATCH(F_Interface!$A458,'Final allowances'!$B$55:$B$65,0),2),0) / 5</f>
        <v>0</v>
      </c>
      <c r="I458" s="4">
        <f xml:space="preserve"> _xlfn.IFNA(INDEX('Final allowances'!$B$55:$K$65,MATCH(F_Interface!$A458,'Final allowances'!$B$55:$B$65,0),2),0) / 5</f>
        <v>0</v>
      </c>
      <c r="J458" s="4">
        <f xml:space="preserve"> _xlfn.IFNA(INDEX('Final allowances'!$B$55:$K$65,MATCH(F_Interface!$A458,'Final allowances'!$B$55:$B$65,0),2),0) / 5</f>
        <v>0</v>
      </c>
      <c r="K458" s="4">
        <f xml:space="preserve"> _xlfn.IFNA(INDEX('Final allowances'!$B$55:$K$65,MATCH(F_Interface!$A458,'Final allowances'!$B$55:$B$65,0),2),0) / 5</f>
        <v>0</v>
      </c>
      <c r="L458" s="4">
        <f xml:space="preserve"> _xlfn.IFNA(INDEX('Final allowances'!$B$55:$K$65,MATCH(F_Interface!$A458,'Final allowances'!$B$55:$B$65,0),2),0) / 5</f>
        <v>0</v>
      </c>
    </row>
    <row r="459" spans="1:12" x14ac:dyDescent="0.2">
      <c r="A459" s="9" t="s">
        <v>8</v>
      </c>
      <c r="B459" s="4" t="s">
        <v>376</v>
      </c>
      <c r="C459" s="10" t="str">
        <f t="shared" si="13"/>
        <v>SVTC_WWNOTHER_EXCPDR_PR19CA008</v>
      </c>
      <c r="D459" s="4" t="s">
        <v>378</v>
      </c>
      <c r="E459" s="4" t="s">
        <v>376</v>
      </c>
      <c r="F459" s="143" t="s">
        <v>2</v>
      </c>
      <c r="H459" s="4">
        <f xml:space="preserve"> _xlfn.IFNA(INDEX('Final allowances'!$B$55:$K$65,MATCH(F_Interface!$A459,'Final allowances'!$B$55:$B$65,0),3),0) / 5</f>
        <v>0</v>
      </c>
      <c r="I459" s="4">
        <f xml:space="preserve"> _xlfn.IFNA(INDEX('Final allowances'!$B$55:$K$65,MATCH(F_Interface!$A459,'Final allowances'!$B$55:$B$65,0),3),0) / 5</f>
        <v>0</v>
      </c>
      <c r="J459" s="4">
        <f xml:space="preserve"> _xlfn.IFNA(INDEX('Final allowances'!$B$55:$K$65,MATCH(F_Interface!$A459,'Final allowances'!$B$55:$B$65,0),3),0) / 5</f>
        <v>0</v>
      </c>
      <c r="K459" s="4">
        <f xml:space="preserve"> _xlfn.IFNA(INDEX('Final allowances'!$B$55:$K$65,MATCH(F_Interface!$A459,'Final allowances'!$B$55:$B$65,0),3),0) / 5</f>
        <v>0</v>
      </c>
      <c r="L459" s="4">
        <f xml:space="preserve"> _xlfn.IFNA(INDEX('Final allowances'!$B$55:$K$65,MATCH(F_Interface!$A459,'Final allowances'!$B$55:$B$65,0),3),0) / 5</f>
        <v>0</v>
      </c>
    </row>
    <row r="460" spans="1:12" x14ac:dyDescent="0.2">
      <c r="A460" s="9" t="s">
        <v>8</v>
      </c>
      <c r="B460" s="4" t="s">
        <v>377</v>
      </c>
      <c r="C460" s="10" t="str">
        <f t="shared" si="13"/>
        <v>SVTC_BROTHER_EXCPDR_PR19CA008</v>
      </c>
      <c r="D460" s="4" t="s">
        <v>379</v>
      </c>
      <c r="E460" s="4" t="s">
        <v>377</v>
      </c>
      <c r="F460" s="143" t="s">
        <v>2</v>
      </c>
      <c r="H460" s="4">
        <f xml:space="preserve"> _xlfn.IFNA(INDEX('Final allowances'!$B$55:$K$65,MATCH(F_Interface!$A460,'Final allowances'!$B$55:$B$65,0),2),0) / 5</f>
        <v>0</v>
      </c>
      <c r="I460" s="4">
        <f xml:space="preserve"> _xlfn.IFNA(INDEX('Final allowances'!$B$55:$K$65,MATCH(F_Interface!$A460,'Final allowances'!$B$55:$B$65,0),2),0) / 5</f>
        <v>0</v>
      </c>
      <c r="J460" s="4">
        <f xml:space="preserve"> _xlfn.IFNA(INDEX('Final allowances'!$B$55:$K$65,MATCH(F_Interface!$A460,'Final allowances'!$B$55:$B$65,0),2),0) / 5</f>
        <v>0</v>
      </c>
      <c r="K460" s="4">
        <f xml:space="preserve"> _xlfn.IFNA(INDEX('Final allowances'!$B$55:$K$65,MATCH(F_Interface!$A460,'Final allowances'!$B$55:$B$65,0),2),0) / 5</f>
        <v>0</v>
      </c>
      <c r="L460" s="4">
        <f xml:space="preserve"> _xlfn.IFNA(INDEX('Final allowances'!$B$55:$K$65,MATCH(F_Interface!$A460,'Final allowances'!$B$55:$B$65,0),2),0) / 5</f>
        <v>0</v>
      </c>
    </row>
    <row r="461" spans="1:12" x14ac:dyDescent="0.2">
      <c r="A461" s="9" t="s">
        <v>12</v>
      </c>
      <c r="B461" s="4" t="s">
        <v>376</v>
      </c>
      <c r="C461" s="10" t="str">
        <f t="shared" si="13"/>
        <v>SWBC_WWNOTHER_EXCPDR_PR19CA008</v>
      </c>
      <c r="D461" s="4" t="s">
        <v>378</v>
      </c>
      <c r="E461" s="4" t="s">
        <v>376</v>
      </c>
      <c r="F461" s="143" t="s">
        <v>2</v>
      </c>
      <c r="H461" s="4">
        <f xml:space="preserve"> _xlfn.IFNA(INDEX('Final allowances'!$B$55:$K$65,MATCH(F_Interface!$A461,'Final allowances'!$B$55:$B$65,0),3),0) / 5</f>
        <v>1.59</v>
      </c>
      <c r="I461" s="4">
        <f xml:space="preserve"> _xlfn.IFNA(INDEX('Final allowances'!$B$55:$K$65,MATCH(F_Interface!$A461,'Final allowances'!$B$55:$B$65,0),3),0) / 5</f>
        <v>1.59</v>
      </c>
      <c r="J461" s="4">
        <f xml:space="preserve"> _xlfn.IFNA(INDEX('Final allowances'!$B$55:$K$65,MATCH(F_Interface!$A461,'Final allowances'!$B$55:$B$65,0),3),0) / 5</f>
        <v>1.59</v>
      </c>
      <c r="K461" s="4">
        <f xml:space="preserve"> _xlfn.IFNA(INDEX('Final allowances'!$B$55:$K$65,MATCH(F_Interface!$A461,'Final allowances'!$B$55:$B$65,0),3),0) / 5</f>
        <v>1.59</v>
      </c>
      <c r="L461" s="4">
        <f xml:space="preserve"> _xlfn.IFNA(INDEX('Final allowances'!$B$55:$K$65,MATCH(F_Interface!$A461,'Final allowances'!$B$55:$B$65,0),3),0) / 5</f>
        <v>1.59</v>
      </c>
    </row>
    <row r="462" spans="1:12" x14ac:dyDescent="0.2">
      <c r="A462" s="9" t="s">
        <v>12</v>
      </c>
      <c r="B462" s="4" t="s">
        <v>377</v>
      </c>
      <c r="C462" s="10" t="str">
        <f t="shared" si="13"/>
        <v>SWBC_BROTHER_EXCPDR_PR19CA008</v>
      </c>
      <c r="D462" s="4" t="s">
        <v>379</v>
      </c>
      <c r="E462" s="4" t="s">
        <v>377</v>
      </c>
      <c r="F462" s="143" t="s">
        <v>2</v>
      </c>
      <c r="H462" s="4">
        <f xml:space="preserve"> _xlfn.IFNA(INDEX('Final allowances'!$B$55:$K$65,MATCH(F_Interface!$A462,'Final allowances'!$B$55:$B$65,0),2),0) / 5</f>
        <v>0</v>
      </c>
      <c r="I462" s="4">
        <f xml:space="preserve"> _xlfn.IFNA(INDEX('Final allowances'!$B$55:$K$65,MATCH(F_Interface!$A462,'Final allowances'!$B$55:$B$65,0),2),0) / 5</f>
        <v>0</v>
      </c>
      <c r="J462" s="4">
        <f xml:space="preserve"> _xlfn.IFNA(INDEX('Final allowances'!$B$55:$K$65,MATCH(F_Interface!$A462,'Final allowances'!$B$55:$B$65,0),2),0) / 5</f>
        <v>0</v>
      </c>
      <c r="K462" s="4">
        <f xml:space="preserve"> _xlfn.IFNA(INDEX('Final allowances'!$B$55:$K$65,MATCH(F_Interface!$A462,'Final allowances'!$B$55:$B$65,0),2),0) / 5</f>
        <v>0</v>
      </c>
      <c r="L462" s="4">
        <f xml:space="preserve"> _xlfn.IFNA(INDEX('Final allowances'!$B$55:$K$65,MATCH(F_Interface!$A462,'Final allowances'!$B$55:$B$65,0),2),0) / 5</f>
        <v>0</v>
      </c>
    </row>
    <row r="463" spans="1:12" x14ac:dyDescent="0.2">
      <c r="A463" s="9" t="s">
        <v>9</v>
      </c>
      <c r="B463" s="4" t="s">
        <v>376</v>
      </c>
      <c r="C463" s="10" t="str">
        <f t="shared" si="13"/>
        <v>TMSC_WWNOTHER_EXCPDR_PR19CA008</v>
      </c>
      <c r="D463" s="4" t="s">
        <v>378</v>
      </c>
      <c r="E463" s="4" t="s">
        <v>376</v>
      </c>
      <c r="F463" s="143" t="s">
        <v>2</v>
      </c>
      <c r="H463" s="4">
        <f xml:space="preserve"> _xlfn.IFNA(INDEX('Final allowances'!$B$55:$K$65,MATCH(F_Interface!$A463,'Final allowances'!$B$55:$B$65,0),3),0) / 5</f>
        <v>4.1044423095898184</v>
      </c>
      <c r="I463" s="4">
        <f xml:space="preserve"> _xlfn.IFNA(INDEX('Final allowances'!$B$55:$K$65,MATCH(F_Interface!$A463,'Final allowances'!$B$55:$B$65,0),3),0) / 5</f>
        <v>4.1044423095898184</v>
      </c>
      <c r="J463" s="4">
        <f xml:space="preserve"> _xlfn.IFNA(INDEX('Final allowances'!$B$55:$K$65,MATCH(F_Interface!$A463,'Final allowances'!$B$55:$B$65,0),3),0) / 5</f>
        <v>4.1044423095898184</v>
      </c>
      <c r="K463" s="4">
        <f xml:space="preserve"> _xlfn.IFNA(INDEX('Final allowances'!$B$55:$K$65,MATCH(F_Interface!$A463,'Final allowances'!$B$55:$B$65,0),3),0) / 5</f>
        <v>4.1044423095898184</v>
      </c>
      <c r="L463" s="4">
        <f xml:space="preserve"> _xlfn.IFNA(INDEX('Final allowances'!$B$55:$K$65,MATCH(F_Interface!$A463,'Final allowances'!$B$55:$B$65,0),3),0) / 5</f>
        <v>4.1044423095898184</v>
      </c>
    </row>
    <row r="464" spans="1:12" x14ac:dyDescent="0.2">
      <c r="A464" s="9" t="s">
        <v>9</v>
      </c>
      <c r="B464" s="4" t="s">
        <v>377</v>
      </c>
      <c r="C464" s="10" t="str">
        <f t="shared" si="13"/>
        <v>TMSC_BROTHER_EXCPDR_PR19CA008</v>
      </c>
      <c r="D464" s="4" t="s">
        <v>379</v>
      </c>
      <c r="E464" s="4" t="s">
        <v>377</v>
      </c>
      <c r="F464" s="143" t="s">
        <v>2</v>
      </c>
      <c r="H464" s="4">
        <f xml:space="preserve"> _xlfn.IFNA(INDEX('Final allowances'!$B$55:$K$65,MATCH(F_Interface!$A464,'Final allowances'!$B$55:$B$65,0),2),0) / 5</f>
        <v>0.13900823369671483</v>
      </c>
      <c r="I464" s="4">
        <f xml:space="preserve"> _xlfn.IFNA(INDEX('Final allowances'!$B$55:$K$65,MATCH(F_Interface!$A464,'Final allowances'!$B$55:$B$65,0),2),0) / 5</f>
        <v>0.13900823369671483</v>
      </c>
      <c r="J464" s="4">
        <f xml:space="preserve"> _xlfn.IFNA(INDEX('Final allowances'!$B$55:$K$65,MATCH(F_Interface!$A464,'Final allowances'!$B$55:$B$65,0),2),0) / 5</f>
        <v>0.13900823369671483</v>
      </c>
      <c r="K464" s="4">
        <f xml:space="preserve"> _xlfn.IFNA(INDEX('Final allowances'!$B$55:$K$65,MATCH(F_Interface!$A464,'Final allowances'!$B$55:$B$65,0),2),0) / 5</f>
        <v>0.13900823369671483</v>
      </c>
      <c r="L464" s="4">
        <f xml:space="preserve"> _xlfn.IFNA(INDEX('Final allowances'!$B$55:$K$65,MATCH(F_Interface!$A464,'Final allowances'!$B$55:$B$65,0),2),0) / 5</f>
        <v>0.13900823369671483</v>
      </c>
    </row>
    <row r="465" spans="1:12" x14ac:dyDescent="0.2">
      <c r="A465" s="9" t="s">
        <v>15</v>
      </c>
      <c r="B465" s="4" t="s">
        <v>376</v>
      </c>
      <c r="C465" s="10" t="str">
        <f t="shared" si="13"/>
        <v>WSHC_WWNOTHER_EXCPDR_PR19CA008</v>
      </c>
      <c r="D465" s="4" t="s">
        <v>378</v>
      </c>
      <c r="E465" s="4" t="s">
        <v>376</v>
      </c>
      <c r="F465" s="143" t="s">
        <v>2</v>
      </c>
      <c r="H465" s="4">
        <f xml:space="preserve"> _xlfn.IFNA(INDEX('Final allowances'!$B$55:$K$65,MATCH(F_Interface!$A465,'Final allowances'!$B$55:$B$65,0),3),0) / 5</f>
        <v>0.19900000000000001</v>
      </c>
      <c r="I465" s="4">
        <f xml:space="preserve"> _xlfn.IFNA(INDEX('Final allowances'!$B$55:$K$65,MATCH(F_Interface!$A465,'Final allowances'!$B$55:$B$65,0),3),0) / 5</f>
        <v>0.19900000000000001</v>
      </c>
      <c r="J465" s="4">
        <f xml:space="preserve"> _xlfn.IFNA(INDEX('Final allowances'!$B$55:$K$65,MATCH(F_Interface!$A465,'Final allowances'!$B$55:$B$65,0),3),0) / 5</f>
        <v>0.19900000000000001</v>
      </c>
      <c r="K465" s="4">
        <f xml:space="preserve"> _xlfn.IFNA(INDEX('Final allowances'!$B$55:$K$65,MATCH(F_Interface!$A465,'Final allowances'!$B$55:$B$65,0),3),0) / 5</f>
        <v>0.19900000000000001</v>
      </c>
      <c r="L465" s="4">
        <f xml:space="preserve"> _xlfn.IFNA(INDEX('Final allowances'!$B$55:$K$65,MATCH(F_Interface!$A465,'Final allowances'!$B$55:$B$65,0),3),0) / 5</f>
        <v>0.19900000000000001</v>
      </c>
    </row>
    <row r="466" spans="1:12" x14ac:dyDescent="0.2">
      <c r="A466" s="9" t="s">
        <v>15</v>
      </c>
      <c r="B466" s="4" t="s">
        <v>377</v>
      </c>
      <c r="C466" s="10" t="str">
        <f t="shared" si="13"/>
        <v>WSHC_BROTHER_EXCPDR_PR19CA008</v>
      </c>
      <c r="D466" s="4" t="s">
        <v>379</v>
      </c>
      <c r="E466" s="4" t="s">
        <v>377</v>
      </c>
      <c r="F466" s="143" t="s">
        <v>2</v>
      </c>
      <c r="H466" s="4">
        <f xml:space="preserve"> _xlfn.IFNA(INDEX('Final allowances'!$B$55:$K$65,MATCH(F_Interface!$A466,'Final allowances'!$B$55:$B$65,0),2),0) / 5</f>
        <v>0</v>
      </c>
      <c r="I466" s="4">
        <f xml:space="preserve"> _xlfn.IFNA(INDEX('Final allowances'!$B$55:$K$65,MATCH(F_Interface!$A466,'Final allowances'!$B$55:$B$65,0),2),0) / 5</f>
        <v>0</v>
      </c>
      <c r="J466" s="4">
        <f xml:space="preserve"> _xlfn.IFNA(INDEX('Final allowances'!$B$55:$K$65,MATCH(F_Interface!$A466,'Final allowances'!$B$55:$B$65,0),2),0) / 5</f>
        <v>0</v>
      </c>
      <c r="K466" s="4">
        <f xml:space="preserve"> _xlfn.IFNA(INDEX('Final allowances'!$B$55:$K$65,MATCH(F_Interface!$A466,'Final allowances'!$B$55:$B$65,0),2),0) / 5</f>
        <v>0</v>
      </c>
      <c r="L466" s="4">
        <f xml:space="preserve"> _xlfn.IFNA(INDEX('Final allowances'!$B$55:$K$65,MATCH(F_Interface!$A466,'Final allowances'!$B$55:$B$65,0),2),0) / 5</f>
        <v>0</v>
      </c>
    </row>
    <row r="467" spans="1:12" x14ac:dyDescent="0.2">
      <c r="A467" s="9" t="s">
        <v>10</v>
      </c>
      <c r="B467" s="4" t="s">
        <v>376</v>
      </c>
      <c r="C467" s="10" t="str">
        <f t="shared" si="13"/>
        <v>WSXC_WWNOTHER_EXCPDR_PR19CA008</v>
      </c>
      <c r="D467" s="4" t="s">
        <v>378</v>
      </c>
      <c r="E467" s="4" t="s">
        <v>376</v>
      </c>
      <c r="F467" s="143" t="s">
        <v>2</v>
      </c>
      <c r="H467" s="4">
        <f xml:space="preserve"> _xlfn.IFNA(INDEX('Final allowances'!$B$55:$K$65,MATCH(F_Interface!$A467,'Final allowances'!$B$55:$B$65,0),3),0) / 5</f>
        <v>0.10201</v>
      </c>
      <c r="I467" s="4">
        <f xml:space="preserve"> _xlfn.IFNA(INDEX('Final allowances'!$B$55:$K$65,MATCH(F_Interface!$A467,'Final allowances'!$B$55:$B$65,0),3),0) / 5</f>
        <v>0.10201</v>
      </c>
      <c r="J467" s="4">
        <f xml:space="preserve"> _xlfn.IFNA(INDEX('Final allowances'!$B$55:$K$65,MATCH(F_Interface!$A467,'Final allowances'!$B$55:$B$65,0),3),0) / 5</f>
        <v>0.10201</v>
      </c>
      <c r="K467" s="4">
        <f xml:space="preserve"> _xlfn.IFNA(INDEX('Final allowances'!$B$55:$K$65,MATCH(F_Interface!$A467,'Final allowances'!$B$55:$B$65,0),3),0) / 5</f>
        <v>0.10201</v>
      </c>
      <c r="L467" s="4">
        <f xml:space="preserve"> _xlfn.IFNA(INDEX('Final allowances'!$B$55:$K$65,MATCH(F_Interface!$A467,'Final allowances'!$B$55:$B$65,0),3),0) / 5</f>
        <v>0.10201</v>
      </c>
    </row>
    <row r="468" spans="1:12" x14ac:dyDescent="0.2">
      <c r="A468" s="9" t="s">
        <v>10</v>
      </c>
      <c r="B468" s="4" t="s">
        <v>377</v>
      </c>
      <c r="C468" s="10" t="str">
        <f t="shared" si="13"/>
        <v>WSXC_BROTHER_EXCPDR_PR19CA008</v>
      </c>
      <c r="D468" s="4" t="s">
        <v>379</v>
      </c>
      <c r="E468" s="4" t="s">
        <v>377</v>
      </c>
      <c r="F468" s="143" t="s">
        <v>2</v>
      </c>
      <c r="H468" s="4">
        <f xml:space="preserve"> _xlfn.IFNA(INDEX('Final allowances'!$B$55:$K$65,MATCH(F_Interface!$A468,'Final allowances'!$B$55:$B$65,0),2),0) / 5</f>
        <v>0</v>
      </c>
      <c r="I468" s="4">
        <f xml:space="preserve"> _xlfn.IFNA(INDEX('Final allowances'!$B$55:$K$65,MATCH(F_Interface!$A468,'Final allowances'!$B$55:$B$65,0),2),0) / 5</f>
        <v>0</v>
      </c>
      <c r="J468" s="4">
        <f xml:space="preserve"> _xlfn.IFNA(INDEX('Final allowances'!$B$55:$K$65,MATCH(F_Interface!$A468,'Final allowances'!$B$55:$B$65,0),2),0) / 5</f>
        <v>0</v>
      </c>
      <c r="K468" s="4">
        <f xml:space="preserve"> _xlfn.IFNA(INDEX('Final allowances'!$B$55:$K$65,MATCH(F_Interface!$A468,'Final allowances'!$B$55:$B$65,0),2),0) / 5</f>
        <v>0</v>
      </c>
      <c r="L468" s="4">
        <f xml:space="preserve"> _xlfn.IFNA(INDEX('Final allowances'!$B$55:$K$65,MATCH(F_Interface!$A468,'Final allowances'!$B$55:$B$65,0),2),0) / 5</f>
        <v>0</v>
      </c>
    </row>
    <row r="469" spans="1:12" x14ac:dyDescent="0.2">
      <c r="A469" s="9" t="s">
        <v>11</v>
      </c>
      <c r="B469" s="4" t="s">
        <v>376</v>
      </c>
      <c r="C469" s="10" t="str">
        <f t="shared" si="13"/>
        <v>YKYC_WWNOTHER_EXCPDR_PR19CA008</v>
      </c>
      <c r="D469" s="4" t="s">
        <v>378</v>
      </c>
      <c r="E469" s="4" t="s">
        <v>376</v>
      </c>
      <c r="F469" s="143" t="s">
        <v>2</v>
      </c>
      <c r="H469" s="4">
        <f xml:space="preserve"> _xlfn.IFNA(INDEX('Final allowances'!$B$55:$K$65,MATCH(F_Interface!$A469,'Final allowances'!$B$55:$B$65,0),3),0) / 5</f>
        <v>0</v>
      </c>
      <c r="I469" s="4">
        <f xml:space="preserve"> _xlfn.IFNA(INDEX('Final allowances'!$B$55:$K$65,MATCH(F_Interface!$A469,'Final allowances'!$B$55:$B$65,0),3),0) / 5</f>
        <v>0</v>
      </c>
      <c r="J469" s="4">
        <f xml:space="preserve"> _xlfn.IFNA(INDEX('Final allowances'!$B$55:$K$65,MATCH(F_Interface!$A469,'Final allowances'!$B$55:$B$65,0),3),0) / 5</f>
        <v>0</v>
      </c>
      <c r="K469" s="4">
        <f xml:space="preserve"> _xlfn.IFNA(INDEX('Final allowances'!$B$55:$K$65,MATCH(F_Interface!$A469,'Final allowances'!$B$55:$B$65,0),3),0) / 5</f>
        <v>0</v>
      </c>
      <c r="L469" s="4">
        <f xml:space="preserve"> _xlfn.IFNA(INDEX('Final allowances'!$B$55:$K$65,MATCH(F_Interface!$A469,'Final allowances'!$B$55:$B$65,0),3),0) / 5</f>
        <v>0</v>
      </c>
    </row>
    <row r="470" spans="1:12" x14ac:dyDescent="0.2">
      <c r="A470" s="9" t="s">
        <v>11</v>
      </c>
      <c r="B470" s="4" t="s">
        <v>377</v>
      </c>
      <c r="C470" s="10" t="str">
        <f t="shared" si="13"/>
        <v>YKYC_BROTHER_EXCPDR_PR19CA008</v>
      </c>
      <c r="D470" s="4" t="s">
        <v>379</v>
      </c>
      <c r="E470" s="4" t="s">
        <v>377</v>
      </c>
      <c r="F470" s="143" t="s">
        <v>2</v>
      </c>
      <c r="H470" s="4">
        <f xml:space="preserve"> _xlfn.IFNA(INDEX('Final allowances'!$B$55:$K$65,MATCH(F_Interface!$A470,'Final allowances'!$B$55:$B$65,0),2),0) / 5</f>
        <v>0</v>
      </c>
      <c r="I470" s="4">
        <f xml:space="preserve"> _xlfn.IFNA(INDEX('Final allowances'!$B$55:$K$65,MATCH(F_Interface!$A470,'Final allowances'!$B$55:$B$65,0),2),0) / 5</f>
        <v>0</v>
      </c>
      <c r="J470" s="4">
        <f xml:space="preserve"> _xlfn.IFNA(INDEX('Final allowances'!$B$55:$K$65,MATCH(F_Interface!$A470,'Final allowances'!$B$55:$B$65,0),2),0) / 5</f>
        <v>0</v>
      </c>
      <c r="K470" s="4">
        <f xml:space="preserve"> _xlfn.IFNA(INDEX('Final allowances'!$B$55:$K$65,MATCH(F_Interface!$A470,'Final allowances'!$B$55:$B$65,0),2),0) / 5</f>
        <v>0</v>
      </c>
      <c r="L470" s="4">
        <f xml:space="preserve"> _xlfn.IFNA(INDEX('Final allowances'!$B$55:$K$65,MATCH(F_Interface!$A470,'Final allowances'!$B$55:$B$65,0),2),0) / 5</f>
        <v>0</v>
      </c>
    </row>
  </sheetData>
  <autoFilter ref="A2:L47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N30"/>
  <sheetViews>
    <sheetView showGridLines="0" zoomScale="80" zoomScaleNormal="80" workbookViewId="0"/>
  </sheetViews>
  <sheetFormatPr defaultColWidth="9" defaultRowHeight="12.75" x14ac:dyDescent="0.2"/>
  <cols>
    <col min="1" max="2" width="2.875" style="17" customWidth="1"/>
    <col min="3" max="3" width="10.625" style="17" customWidth="1"/>
    <col min="4" max="4" width="11.875" style="17" customWidth="1"/>
    <col min="5" max="5" width="12.125" style="17" customWidth="1"/>
    <col min="6" max="6" width="11.625" style="17" bestFit="1" customWidth="1"/>
    <col min="7" max="7" width="11.375" style="17" customWidth="1"/>
    <col min="8" max="8" width="10.625" style="17" bestFit="1" customWidth="1"/>
    <col min="9" max="9" width="9" style="17"/>
    <col min="10" max="10" width="10" style="17" customWidth="1"/>
    <col min="11" max="16384" width="9" style="17"/>
  </cols>
  <sheetData>
    <row r="3" spans="2:14" x14ac:dyDescent="0.2">
      <c r="C3" s="16" t="s">
        <v>102</v>
      </c>
    </row>
    <row r="4" spans="2:14" x14ac:dyDescent="0.2">
      <c r="C4" s="16"/>
    </row>
    <row r="5" spans="2:14" x14ac:dyDescent="0.2">
      <c r="C5" s="16" t="s">
        <v>380</v>
      </c>
      <c r="J5" s="16" t="s">
        <v>35</v>
      </c>
    </row>
    <row r="6" spans="2:14" ht="13.5" customHeight="1" x14ac:dyDescent="0.2">
      <c r="C6" s="178" t="s">
        <v>104</v>
      </c>
      <c r="D6" s="179"/>
      <c r="E6" s="179"/>
      <c r="F6" s="84">
        <v>0.98628593234914042</v>
      </c>
      <c r="G6" s="17" t="s">
        <v>361</v>
      </c>
      <c r="I6" s="22"/>
      <c r="J6" s="178" t="s">
        <v>104</v>
      </c>
      <c r="K6" s="179"/>
      <c r="L6" s="179"/>
      <c r="M6" s="84">
        <v>0.98628593234914042</v>
      </c>
      <c r="N6" s="17" t="s">
        <v>361</v>
      </c>
    </row>
    <row r="7" spans="2:14" ht="13.5" customHeight="1" x14ac:dyDescent="0.2">
      <c r="C7" s="178" t="s">
        <v>105</v>
      </c>
      <c r="D7" s="179"/>
      <c r="E7" s="179"/>
      <c r="F7" s="84">
        <f>'Modelled costs'!AG19</f>
        <v>1.0118700143617623</v>
      </c>
      <c r="G7" s="17" t="s">
        <v>361</v>
      </c>
      <c r="I7" s="22"/>
      <c r="J7" s="178" t="s">
        <v>105</v>
      </c>
      <c r="K7" s="179"/>
      <c r="L7" s="179"/>
      <c r="M7" s="84">
        <f>'Modelled costs'!AG19</f>
        <v>1.0118700143617623</v>
      </c>
      <c r="N7" s="17" t="s">
        <v>361</v>
      </c>
    </row>
    <row r="8" spans="2:14" x14ac:dyDescent="0.2">
      <c r="H8" s="22"/>
      <c r="I8" s="22"/>
      <c r="J8" s="22"/>
      <c r="K8" s="50"/>
    </row>
    <row r="9" spans="2:14" x14ac:dyDescent="0.2">
      <c r="C9" s="16"/>
      <c r="G9" s="17" t="s">
        <v>114</v>
      </c>
      <c r="I9" s="22"/>
      <c r="J9" s="22"/>
      <c r="K9" s="50"/>
    </row>
    <row r="10" spans="2:14" x14ac:dyDescent="0.2">
      <c r="C10" s="16"/>
      <c r="I10" s="22"/>
      <c r="J10" s="22"/>
      <c r="K10" s="50"/>
    </row>
    <row r="11" spans="2:14" x14ac:dyDescent="0.2">
      <c r="G11" s="21" t="s">
        <v>103</v>
      </c>
      <c r="H11" s="22"/>
      <c r="I11" s="22"/>
      <c r="J11" s="252" t="s">
        <v>424</v>
      </c>
      <c r="K11" s="252"/>
      <c r="L11" s="252"/>
      <c r="M11" s="252"/>
      <c r="N11" s="252"/>
    </row>
    <row r="12" spans="2:14" x14ac:dyDescent="0.2">
      <c r="C12" s="18" t="str">
        <f>IF($G$11="Historical",$C$6,$C$7)</f>
        <v>Within sector catch-up - historical</v>
      </c>
      <c r="D12" s="19"/>
      <c r="E12" s="20"/>
      <c r="G12" s="84">
        <f>IF($G$11="Historical",$F$6,$F$7)</f>
        <v>0.98628593234914042</v>
      </c>
      <c r="H12" s="220"/>
      <c r="I12" s="22"/>
      <c r="J12" s="252"/>
      <c r="K12" s="252"/>
      <c r="L12" s="252"/>
      <c r="M12" s="252"/>
      <c r="N12" s="252"/>
    </row>
    <row r="13" spans="2:14" ht="25.5" x14ac:dyDescent="0.2">
      <c r="C13" s="6" t="s">
        <v>115</v>
      </c>
      <c r="D13" s="176" t="s">
        <v>26</v>
      </c>
      <c r="E13" s="176" t="s">
        <v>397</v>
      </c>
      <c r="F13" s="176" t="s">
        <v>353</v>
      </c>
      <c r="G13" s="176" t="s">
        <v>398</v>
      </c>
      <c r="H13" s="22"/>
      <c r="I13" s="22"/>
      <c r="J13" s="252"/>
      <c r="K13" s="252"/>
      <c r="L13" s="252"/>
      <c r="M13" s="252"/>
      <c r="N13" s="252"/>
    </row>
    <row r="14" spans="2:14" x14ac:dyDescent="0.2">
      <c r="B14" s="21">
        <v>1</v>
      </c>
      <c r="C14" s="7">
        <v>2021</v>
      </c>
      <c r="D14" s="51">
        <v>1.4999999999999999E-2</v>
      </c>
      <c r="E14" s="51">
        <v>4.0000000000000001E-3</v>
      </c>
      <c r="F14" s="51">
        <f>D14-E14</f>
        <v>1.0999999999999999E-2</v>
      </c>
      <c r="G14" s="51">
        <f>IF($G$11="Historical",F14,0)</f>
        <v>1.0999999999999999E-2</v>
      </c>
      <c r="H14" s="22"/>
      <c r="I14" s="22"/>
      <c r="J14" s="252"/>
      <c r="K14" s="252"/>
      <c r="L14" s="252"/>
      <c r="M14" s="252"/>
      <c r="N14" s="252"/>
    </row>
    <row r="15" spans="2:14" x14ac:dyDescent="0.2">
      <c r="B15" s="21">
        <v>2</v>
      </c>
      <c r="C15" s="7">
        <v>2022</v>
      </c>
      <c r="D15" s="51">
        <v>1.4999999999999999E-2</v>
      </c>
      <c r="E15" s="51">
        <v>3.8999999999999998E-3</v>
      </c>
      <c r="F15" s="51">
        <f t="shared" ref="F15:F18" si="0">D15-E15</f>
        <v>1.1099999999999999E-2</v>
      </c>
      <c r="G15" s="51">
        <f>IF(G11="Historical",(1+F14)*(1+F15)-1,0)</f>
        <v>2.22220999999998E-2</v>
      </c>
      <c r="H15" s="22"/>
      <c r="I15" s="22"/>
      <c r="J15" s="22"/>
      <c r="K15" s="50"/>
    </row>
    <row r="16" spans="2:14" x14ac:dyDescent="0.2">
      <c r="B16" s="21">
        <v>3</v>
      </c>
      <c r="C16" s="7">
        <v>2023</v>
      </c>
      <c r="D16" s="51">
        <v>1.4999999999999999E-2</v>
      </c>
      <c r="E16" s="51">
        <v>4.1000000000000003E-3</v>
      </c>
      <c r="F16" s="51">
        <f t="shared" si="0"/>
        <v>1.09E-2</v>
      </c>
      <c r="G16" s="51">
        <f>IF(G11="Historical",(1+F14)*(1+F15)*(1+F16)-1,0)</f>
        <v>3.3364320889999632E-2</v>
      </c>
      <c r="H16" s="22"/>
      <c r="I16" s="22"/>
      <c r="J16" s="22"/>
      <c r="K16" s="50"/>
    </row>
    <row r="17" spans="2:11" x14ac:dyDescent="0.2">
      <c r="B17" s="21">
        <v>4</v>
      </c>
      <c r="C17" s="7">
        <v>2024</v>
      </c>
      <c r="D17" s="51">
        <v>1.4999999999999999E-2</v>
      </c>
      <c r="E17" s="51">
        <v>4.4999999999999997E-3</v>
      </c>
      <c r="F17" s="51">
        <f t="shared" si="0"/>
        <v>1.0499999999999999E-2</v>
      </c>
      <c r="G17" s="51">
        <f>IF(G11="Historical",(1+F14)*(1+F15)*(1+F16)*(1+F17)-1,0)</f>
        <v>4.4214646259344681E-2</v>
      </c>
      <c r="H17" s="22"/>
      <c r="I17" s="22"/>
      <c r="J17" s="22"/>
      <c r="K17" s="50"/>
    </row>
    <row r="18" spans="2:11" x14ac:dyDescent="0.2">
      <c r="B18" s="21">
        <v>5</v>
      </c>
      <c r="C18" s="7">
        <v>2025</v>
      </c>
      <c r="D18" s="51">
        <v>1.4999999999999999E-2</v>
      </c>
      <c r="E18" s="51">
        <v>4.8999999999999998E-3</v>
      </c>
      <c r="F18" s="51">
        <f t="shared" si="0"/>
        <v>1.01E-2</v>
      </c>
      <c r="G18" s="51">
        <f>IF(G11="Historical",(1+F14)*(1+F15)*(1+F16)*(1+F17)*(1+F18)-1,0)</f>
        <v>5.47612141865641E-2</v>
      </c>
      <c r="H18" s="22"/>
      <c r="I18" s="22"/>
      <c r="J18" s="22"/>
      <c r="K18" s="50"/>
    </row>
    <row r="20" spans="2:11" x14ac:dyDescent="0.2">
      <c r="C20" s="16" t="s">
        <v>106</v>
      </c>
      <c r="G20" s="16" t="s">
        <v>381</v>
      </c>
    </row>
    <row r="21" spans="2:11" x14ac:dyDescent="0.2">
      <c r="C21" s="16"/>
    </row>
    <row r="22" spans="2:11" x14ac:dyDescent="0.2">
      <c r="C22" s="21" t="s">
        <v>27</v>
      </c>
      <c r="D22" s="85">
        <v>0.5</v>
      </c>
      <c r="E22" s="221"/>
      <c r="G22" s="21" t="s">
        <v>125</v>
      </c>
      <c r="H22" s="85">
        <v>0.5</v>
      </c>
      <c r="I22" s="24"/>
    </row>
    <row r="23" spans="2:11" x14ac:dyDescent="0.2">
      <c r="C23" s="21" t="s">
        <v>28</v>
      </c>
      <c r="D23" s="85">
        <v>0.5</v>
      </c>
      <c r="E23" s="221"/>
      <c r="G23" s="21" t="s">
        <v>126</v>
      </c>
      <c r="H23" s="85">
        <v>0.5</v>
      </c>
      <c r="I23" s="24"/>
    </row>
    <row r="24" spans="2:11" x14ac:dyDescent="0.2">
      <c r="C24" s="21" t="s">
        <v>32</v>
      </c>
      <c r="D24" s="85">
        <v>0.5</v>
      </c>
      <c r="E24" s="221"/>
    </row>
    <row r="25" spans="2:11" x14ac:dyDescent="0.2">
      <c r="C25" s="21" t="s">
        <v>33</v>
      </c>
      <c r="D25" s="85">
        <v>0.5</v>
      </c>
      <c r="E25" s="221"/>
    </row>
    <row r="26" spans="2:11" x14ac:dyDescent="0.2">
      <c r="C26" s="21" t="s">
        <v>36</v>
      </c>
      <c r="D26" s="85">
        <v>0.5</v>
      </c>
      <c r="E26" s="221"/>
    </row>
    <row r="27" spans="2:11" x14ac:dyDescent="0.2">
      <c r="C27" s="21" t="s">
        <v>37</v>
      </c>
      <c r="D27" s="85">
        <v>0.5</v>
      </c>
      <c r="E27" s="221"/>
    </row>
    <row r="28" spans="2:11" x14ac:dyDescent="0.2">
      <c r="C28" s="21" t="s">
        <v>39</v>
      </c>
      <c r="D28" s="85">
        <v>0.5</v>
      </c>
      <c r="E28" s="221"/>
    </row>
    <row r="29" spans="2:11" x14ac:dyDescent="0.2">
      <c r="C29" s="21" t="s">
        <v>40</v>
      </c>
      <c r="D29" s="85">
        <v>0.5</v>
      </c>
      <c r="E29" s="221"/>
    </row>
    <row r="30" spans="2:11" x14ac:dyDescent="0.2">
      <c r="C30" s="22"/>
      <c r="D30" s="23"/>
      <c r="E30" s="24"/>
    </row>
  </sheetData>
  <mergeCells count="1">
    <mergeCell ref="J11:N14"/>
  </mergeCells>
  <conditionalFormatting sqref="E22:E30">
    <cfRule type="expression" dxfId="10" priority="9">
      <formula>E22="error"</formula>
    </cfRule>
    <cfRule type="expression" dxfId="9" priority="10">
      <formula>E22="OK"</formula>
    </cfRule>
  </conditionalFormatting>
  <conditionalFormatting sqref="I22:I23">
    <cfRule type="expression" dxfId="8" priority="3">
      <formula>I22="error"</formula>
    </cfRule>
    <cfRule type="expression" dxfId="7" priority="4">
      <formula>I22="OK"</formula>
    </cfRule>
  </conditionalFormatting>
  <conditionalFormatting sqref="I22:I23">
    <cfRule type="expression" dxfId="6" priority="5">
      <formula>I22="error"</formula>
    </cfRule>
    <cfRule type="expression" dxfId="5" priority="6">
      <formula>I22="OK"</formula>
    </cfRule>
  </conditionalFormatting>
  <conditionalFormatting sqref="D22:D29">
    <cfRule type="cellIs" dxfId="4" priority="2" operator="equal">
      <formula>0</formula>
    </cfRule>
  </conditionalFormatting>
  <conditionalFormatting sqref="H22:H23">
    <cfRule type="cellIs" dxfId="3" priority="1" operator="equal">
      <formula>0</formula>
    </cfRule>
  </conditionalFormatting>
  <dataValidations count="1">
    <dataValidation type="list" allowBlank="1" showInputMessage="1" showErrorMessage="1" sqref="G11">
      <formula1>"Forward looking, Historical"</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
  <sheetViews>
    <sheetView showGridLines="0" workbookViewId="0"/>
  </sheetViews>
  <sheetFormatPr defaultRowHeight="14.25" x14ac:dyDescent="0.2"/>
  <sheetData>
    <row r="1" spans="1:1" ht="15" x14ac:dyDescent="0.25">
      <c r="A1" s="222" t="s">
        <v>428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W66"/>
  <sheetViews>
    <sheetView showGridLines="0"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9" defaultRowHeight="12.75" x14ac:dyDescent="0.2"/>
  <cols>
    <col min="1" max="3" width="9" style="11"/>
    <col min="4" max="4" width="12.375" style="11" customWidth="1"/>
    <col min="5" max="6" width="9.625" style="11" bestFit="1" customWidth="1"/>
    <col min="7" max="7" width="9.375" style="11" bestFit="1" customWidth="1"/>
    <col min="8" max="8" width="9" style="11"/>
    <col min="9" max="9" width="10.625" style="11" customWidth="1"/>
    <col min="10" max="10" width="10.875" style="11" customWidth="1"/>
    <col min="11" max="11" width="11" style="11" customWidth="1"/>
    <col min="12" max="12" width="10.5" style="11" customWidth="1"/>
    <col min="13" max="13" width="12.875" style="11" customWidth="1"/>
    <col min="14" max="17" width="10.875" style="11" customWidth="1"/>
    <col min="18" max="21" width="11.625" style="11" customWidth="1"/>
    <col min="22" max="29" width="11" style="11" customWidth="1"/>
    <col min="30" max="35" width="12.625" style="11" customWidth="1"/>
    <col min="36" max="37" width="9" style="11"/>
    <col min="38" max="38" width="9.625" style="11" customWidth="1"/>
    <col min="39" max="42" width="9" style="11"/>
    <col min="43" max="43" width="9.625" style="11" customWidth="1"/>
    <col min="44" max="16384" width="9" style="11"/>
  </cols>
  <sheetData>
    <row r="1" spans="1:49" ht="15.75" x14ac:dyDescent="0.25">
      <c r="A1" s="65" t="s">
        <v>150</v>
      </c>
    </row>
    <row r="2" spans="1:49" x14ac:dyDescent="0.2">
      <c r="A2" s="93" t="s">
        <v>152</v>
      </c>
      <c r="J2" s="253" t="s">
        <v>431</v>
      </c>
      <c r="K2" s="253"/>
      <c r="L2" s="253"/>
      <c r="M2" s="253"/>
      <c r="N2" s="253"/>
    </row>
    <row r="3" spans="1:49" ht="53.25" customHeight="1" x14ac:dyDescent="0.2">
      <c r="D3" s="30"/>
      <c r="E3" s="30"/>
      <c r="F3" s="30"/>
      <c r="G3" s="17"/>
      <c r="H3" s="17"/>
      <c r="I3" s="17"/>
      <c r="J3" s="253"/>
      <c r="K3" s="253"/>
      <c r="L3" s="253"/>
      <c r="M3" s="253"/>
      <c r="N3" s="253"/>
      <c r="O3" s="17"/>
      <c r="P3" s="17"/>
      <c r="Q3" s="17"/>
      <c r="R3" s="17"/>
      <c r="S3" s="17"/>
      <c r="T3" s="17"/>
      <c r="U3" s="17"/>
      <c r="V3" s="17"/>
      <c r="W3" s="17"/>
      <c r="X3" s="17"/>
      <c r="Y3" s="17"/>
      <c r="Z3" s="17"/>
      <c r="AA3" s="17"/>
      <c r="AB3" s="17"/>
      <c r="AC3" s="17"/>
      <c r="AD3" s="104" t="s">
        <v>160</v>
      </c>
      <c r="AE3" s="104"/>
      <c r="AF3" s="104"/>
      <c r="AG3" s="104"/>
      <c r="AH3" s="104"/>
      <c r="AI3" s="104"/>
    </row>
    <row r="4" spans="1:49" s="13" customFormat="1" ht="41.25" customHeight="1" x14ac:dyDescent="0.2">
      <c r="D4" s="108" t="s">
        <v>127</v>
      </c>
      <c r="E4" s="108"/>
      <c r="F4" s="108"/>
      <c r="G4" s="108"/>
      <c r="H4" s="108"/>
      <c r="I4" s="108"/>
      <c r="J4" s="110" t="s">
        <v>163</v>
      </c>
      <c r="K4" s="110"/>
      <c r="L4" s="110"/>
      <c r="M4" s="110"/>
      <c r="N4" s="110"/>
      <c r="O4" s="110"/>
      <c r="P4" s="110"/>
      <c r="Q4" s="110"/>
      <c r="R4" s="110"/>
      <c r="S4" s="110"/>
      <c r="T4" s="110"/>
      <c r="U4" s="110"/>
      <c r="V4" s="110"/>
      <c r="W4" s="110"/>
      <c r="X4" s="110"/>
      <c r="Y4" s="110"/>
      <c r="Z4" s="110"/>
      <c r="AA4" s="110"/>
      <c r="AB4" s="110"/>
      <c r="AC4" s="110"/>
      <c r="AD4" s="115" t="s">
        <v>184</v>
      </c>
      <c r="AE4" s="109"/>
      <c r="AF4" s="109"/>
      <c r="AG4" s="109"/>
      <c r="AH4" s="109"/>
      <c r="AI4" s="109"/>
    </row>
    <row r="5" spans="1:49" ht="38.25" x14ac:dyDescent="0.2">
      <c r="D5" s="52" t="s">
        <v>315</v>
      </c>
      <c r="E5" s="52" t="s">
        <v>293</v>
      </c>
      <c r="F5" s="52" t="s">
        <v>294</v>
      </c>
      <c r="G5" s="52" t="s">
        <v>295</v>
      </c>
      <c r="H5" s="52" t="s">
        <v>296</v>
      </c>
      <c r="I5" s="52" t="s">
        <v>297</v>
      </c>
      <c r="J5" s="111" t="s">
        <v>298</v>
      </c>
      <c r="K5" s="111" t="s">
        <v>299</v>
      </c>
      <c r="L5" s="111" t="s">
        <v>365</v>
      </c>
      <c r="M5" s="111" t="s">
        <v>300</v>
      </c>
      <c r="N5" s="111" t="s">
        <v>301</v>
      </c>
      <c r="O5" s="111" t="s">
        <v>302</v>
      </c>
      <c r="P5" s="111" t="s">
        <v>366</v>
      </c>
      <c r="Q5" s="111" t="s">
        <v>303</v>
      </c>
      <c r="R5" s="111" t="s">
        <v>304</v>
      </c>
      <c r="S5" s="111" t="s">
        <v>305</v>
      </c>
      <c r="T5" s="111" t="s">
        <v>367</v>
      </c>
      <c r="U5" s="111" t="s">
        <v>306</v>
      </c>
      <c r="V5" s="111" t="s">
        <v>307</v>
      </c>
      <c r="W5" s="111" t="s">
        <v>308</v>
      </c>
      <c r="X5" s="111" t="s">
        <v>368</v>
      </c>
      <c r="Y5" s="111" t="s">
        <v>309</v>
      </c>
      <c r="Z5" s="111" t="s">
        <v>310</v>
      </c>
      <c r="AA5" s="111" t="s">
        <v>311</v>
      </c>
      <c r="AB5" s="111" t="s">
        <v>369</v>
      </c>
      <c r="AC5" s="111" t="s">
        <v>312</v>
      </c>
      <c r="AD5" s="99" t="s">
        <v>399</v>
      </c>
      <c r="AE5" s="99" t="s">
        <v>313</v>
      </c>
      <c r="AF5" s="99" t="s">
        <v>314</v>
      </c>
      <c r="AG5" s="99" t="s">
        <v>161</v>
      </c>
      <c r="AH5" s="99" t="s">
        <v>161</v>
      </c>
      <c r="AI5" s="99" t="s">
        <v>161</v>
      </c>
      <c r="AL5" s="101" t="s">
        <v>127</v>
      </c>
      <c r="AM5" s="101"/>
      <c r="AN5" s="101"/>
      <c r="AO5" s="101"/>
      <c r="AP5" s="101"/>
      <c r="AQ5" s="101"/>
      <c r="AR5" s="98" t="s">
        <v>155</v>
      </c>
      <c r="AS5" s="98"/>
      <c r="AT5" s="98"/>
      <c r="AU5" s="98"/>
      <c r="AV5" s="98"/>
      <c r="AW5" s="98"/>
    </row>
    <row r="6" spans="1:49" ht="76.5" x14ac:dyDescent="0.2">
      <c r="A6" s="71" t="s">
        <v>148</v>
      </c>
      <c r="B6" s="71" t="s">
        <v>13</v>
      </c>
      <c r="C6" s="92" t="s">
        <v>115</v>
      </c>
      <c r="D6" s="31" t="s">
        <v>35</v>
      </c>
      <c r="E6" s="31" t="s">
        <v>121</v>
      </c>
      <c r="F6" s="31" t="s">
        <v>120</v>
      </c>
      <c r="G6" s="31" t="s">
        <v>123</v>
      </c>
      <c r="H6" s="31" t="s">
        <v>122</v>
      </c>
      <c r="I6" s="31" t="s">
        <v>124</v>
      </c>
      <c r="J6" s="112" t="s">
        <v>164</v>
      </c>
      <c r="K6" s="112" t="s">
        <v>165</v>
      </c>
      <c r="L6" s="112" t="s">
        <v>166</v>
      </c>
      <c r="M6" s="112" t="s">
        <v>167</v>
      </c>
      <c r="N6" s="112" t="s">
        <v>168</v>
      </c>
      <c r="O6" s="112" t="s">
        <v>169</v>
      </c>
      <c r="P6" s="112" t="s">
        <v>170</v>
      </c>
      <c r="Q6" s="112" t="s">
        <v>171</v>
      </c>
      <c r="R6" s="112" t="s">
        <v>172</v>
      </c>
      <c r="S6" s="112" t="s">
        <v>173</v>
      </c>
      <c r="T6" s="112" t="s">
        <v>174</v>
      </c>
      <c r="U6" s="112" t="s">
        <v>175</v>
      </c>
      <c r="V6" s="112" t="s">
        <v>176</v>
      </c>
      <c r="W6" s="112" t="s">
        <v>177</v>
      </c>
      <c r="X6" s="112" t="s">
        <v>178</v>
      </c>
      <c r="Y6" s="112" t="s">
        <v>179</v>
      </c>
      <c r="Z6" s="112" t="s">
        <v>180</v>
      </c>
      <c r="AA6" s="112" t="s">
        <v>181</v>
      </c>
      <c r="AB6" s="112" t="s">
        <v>182</v>
      </c>
      <c r="AC6" s="112" t="s">
        <v>183</v>
      </c>
      <c r="AD6" s="100" t="s">
        <v>35</v>
      </c>
      <c r="AE6" s="100" t="s">
        <v>356</v>
      </c>
      <c r="AF6" s="100" t="s">
        <v>285</v>
      </c>
      <c r="AG6" s="100" t="s">
        <v>287</v>
      </c>
      <c r="AH6" s="100" t="s">
        <v>122</v>
      </c>
      <c r="AI6" s="100" t="s">
        <v>124</v>
      </c>
      <c r="AL6" s="31" t="s">
        <v>35</v>
      </c>
      <c r="AM6" s="31" t="s">
        <v>121</v>
      </c>
      <c r="AN6" s="31" t="s">
        <v>120</v>
      </c>
      <c r="AO6" s="31" t="s">
        <v>123</v>
      </c>
      <c r="AP6" s="31" t="s">
        <v>122</v>
      </c>
      <c r="AQ6" s="31" t="s">
        <v>124</v>
      </c>
      <c r="AR6" s="100" t="s">
        <v>35</v>
      </c>
      <c r="AS6" s="100" t="s">
        <v>121</v>
      </c>
      <c r="AT6" s="100" t="s">
        <v>120</v>
      </c>
      <c r="AU6" s="100" t="s">
        <v>123</v>
      </c>
      <c r="AV6" s="100" t="s">
        <v>122</v>
      </c>
      <c r="AW6" s="100" t="s">
        <v>124</v>
      </c>
    </row>
    <row r="7" spans="1:49" x14ac:dyDescent="0.2">
      <c r="A7" s="3" t="str">
        <f>B7&amp;RIGHT(C7,2)</f>
        <v>ANH21</v>
      </c>
      <c r="B7" s="3" t="str">
        <f>'Forecast drivers'!B8</f>
        <v>ANH</v>
      </c>
      <c r="C7" s="3">
        <f>'Forecast drivers'!C8</f>
        <v>2021</v>
      </c>
      <c r="D7" s="49">
        <v>90.900140995094105</v>
      </c>
      <c r="E7" s="49">
        <v>220.94022407352162</v>
      </c>
      <c r="F7" s="49">
        <v>178.42943593581177</v>
      </c>
      <c r="G7" s="49">
        <v>311.84036506861571</v>
      </c>
      <c r="H7" s="49">
        <v>399.36966000933342</v>
      </c>
      <c r="I7" s="49">
        <v>490.26980100442751</v>
      </c>
      <c r="J7" s="113">
        <v>0</v>
      </c>
      <c r="K7" s="113">
        <v>0.45</v>
      </c>
      <c r="L7" s="113">
        <v>27.1233909853282</v>
      </c>
      <c r="M7" s="113">
        <v>1.9321720470395201</v>
      </c>
      <c r="N7" s="113">
        <v>0.91200000000000003</v>
      </c>
      <c r="O7" s="113">
        <v>0</v>
      </c>
      <c r="P7" s="113">
        <v>0</v>
      </c>
      <c r="Q7" s="113">
        <v>2.9618924792941099</v>
      </c>
      <c r="R7" s="113">
        <v>1.4E-2</v>
      </c>
      <c r="S7" s="113">
        <v>0</v>
      </c>
      <c r="T7" s="113">
        <v>0</v>
      </c>
      <c r="U7" s="113">
        <v>0.901578415351171</v>
      </c>
      <c r="V7" s="113">
        <v>0.43099999999999999</v>
      </c>
      <c r="W7" s="113">
        <v>0</v>
      </c>
      <c r="X7" s="113">
        <v>0</v>
      </c>
      <c r="Y7" s="113">
        <v>0.64398458239369305</v>
      </c>
      <c r="Z7" s="113">
        <v>3.9E-2</v>
      </c>
      <c r="AA7" s="113">
        <v>0</v>
      </c>
      <c r="AB7" s="113">
        <v>0</v>
      </c>
      <c r="AC7" s="113">
        <v>0.38639074943621599</v>
      </c>
      <c r="AD7" s="103">
        <v>99.684057173253734</v>
      </c>
      <c r="AE7" s="103">
        <v>287.28483392686888</v>
      </c>
      <c r="AF7" s="103">
        <v>186.16323566645167</v>
      </c>
      <c r="AG7" s="103">
        <f>AD7+AE7</f>
        <v>386.96889110012262</v>
      </c>
      <c r="AH7" s="103">
        <f>AE7+AF7</f>
        <v>473.44806959332055</v>
      </c>
      <c r="AI7" s="103">
        <f>AD7+AE7+AF7</f>
        <v>573.13212676657429</v>
      </c>
      <c r="AJ7" s="105"/>
      <c r="AK7" s="62" t="s">
        <v>4</v>
      </c>
      <c r="AL7" s="60">
        <f t="shared" ref="AL7:AL17" si="0">SUMIFS(D$7:D$66,$B$7:$B$66,$AK7)</f>
        <v>442.21721209869582</v>
      </c>
      <c r="AM7" s="60">
        <f t="shared" ref="AM7:AM17" si="1">SUMIFS(E$7:E$66,$B$7:$B$66,$AK7)</f>
        <v>1097.7850272900616</v>
      </c>
      <c r="AN7" s="60">
        <f t="shared" ref="AN7:AN17" si="2">SUMIFS(F$7:F$66,$B$7:$B$66,$AK7)</f>
        <v>958.0205203294222</v>
      </c>
      <c r="AO7" s="60">
        <f t="shared" ref="AO7:AO17" si="3">SUMIFS(G$7:G$66,$B$7:$B$66,$AK7)</f>
        <v>1540.0022393887573</v>
      </c>
      <c r="AP7" s="60">
        <f t="shared" ref="AP7:AP17" si="4">SUMIFS(H$7:H$66,$B$7:$B$66,$AK7)</f>
        <v>2055.8055476194841</v>
      </c>
      <c r="AQ7" s="60">
        <f t="shared" ref="AQ7:AQ17" si="5">SUMIFS(I$7:I$66,$B$7:$B$66,$AK7)</f>
        <v>2498.0227597181793</v>
      </c>
      <c r="AR7" s="60">
        <f t="shared" ref="AR7:AR17" si="6">SUMIFS(AD$7:AD$66,$B$7:$B$66,$AK7)</f>
        <v>488.63271494137092</v>
      </c>
      <c r="AS7" s="60">
        <f t="shared" ref="AS7:AS17" si="7">SUMIFS(AE$7:AE$66,$B$7:$B$66,$AK7)</f>
        <v>1941.2550738950363</v>
      </c>
      <c r="AT7" s="60">
        <f t="shared" ref="AT7:AT17" si="8">SUMIFS(AF$7:AF$66,$B$7:$B$66,$AK7)</f>
        <v>1009.4605480071359</v>
      </c>
      <c r="AU7" s="60">
        <f t="shared" ref="AU7:AU17" si="9">SUMIFS(AG$7:AG$66,$B$7:$B$66,$AK7)</f>
        <v>2429.8877888364073</v>
      </c>
      <c r="AV7" s="60">
        <f t="shared" ref="AV7:AV17" si="10">SUMIFS(AH$7:AH$66,$B$7:$B$66,$AK7)</f>
        <v>2950.7156219021717</v>
      </c>
      <c r="AW7" s="60">
        <f t="shared" ref="AW7:AW17" si="11">SUMIFS(AI$7:AI$66,$B$7:$B$66,$AK7)</f>
        <v>3439.3483368435427</v>
      </c>
    </row>
    <row r="8" spans="1:49" x14ac:dyDescent="0.2">
      <c r="A8" s="3" t="str">
        <f t="shared" ref="A8:A66" si="12">B8&amp;RIGHT(C8,2)</f>
        <v>ANH22</v>
      </c>
      <c r="B8" s="3" t="str">
        <f>'Forecast drivers'!B9</f>
        <v>ANH</v>
      </c>
      <c r="C8" s="3">
        <f>'Forecast drivers'!C9</f>
        <v>2022</v>
      </c>
      <c r="D8" s="49">
        <v>93.614191913411261</v>
      </c>
      <c r="E8" s="49">
        <v>234.59035874431137</v>
      </c>
      <c r="F8" s="49">
        <v>209.71305540057676</v>
      </c>
      <c r="G8" s="49">
        <v>328.20455065772262</v>
      </c>
      <c r="H8" s="49">
        <v>444.30341414488817</v>
      </c>
      <c r="I8" s="49">
        <v>537.91760605829938</v>
      </c>
      <c r="J8" s="113">
        <v>0</v>
      </c>
      <c r="K8" s="113">
        <v>0.497</v>
      </c>
      <c r="L8" s="113">
        <v>28.887725093717599</v>
      </c>
      <c r="M8" s="113">
        <v>1.9510000000000001</v>
      </c>
      <c r="N8" s="113">
        <v>0.92100000000000004</v>
      </c>
      <c r="O8" s="113">
        <v>2.5999999999999999E-2</v>
      </c>
      <c r="P8" s="113">
        <v>0</v>
      </c>
      <c r="Q8" s="113">
        <v>2.9910000000000001</v>
      </c>
      <c r="R8" s="113">
        <v>1.4E-2</v>
      </c>
      <c r="S8" s="113">
        <v>0</v>
      </c>
      <c r="T8" s="113">
        <v>0</v>
      </c>
      <c r="U8" s="113">
        <v>0.91100000000000003</v>
      </c>
      <c r="V8" s="113">
        <v>0.436</v>
      </c>
      <c r="W8" s="113">
        <v>0</v>
      </c>
      <c r="X8" s="113">
        <v>0</v>
      </c>
      <c r="Y8" s="113">
        <v>0.65</v>
      </c>
      <c r="Z8" s="113">
        <v>0.04</v>
      </c>
      <c r="AA8" s="113">
        <v>0</v>
      </c>
      <c r="AB8" s="113">
        <v>0</v>
      </c>
      <c r="AC8" s="113">
        <v>0.39</v>
      </c>
      <c r="AD8" s="103">
        <v>104.00431519815348</v>
      </c>
      <c r="AE8" s="103">
        <v>348.63295268334304</v>
      </c>
      <c r="AF8" s="103">
        <v>227.52441380917759</v>
      </c>
      <c r="AG8" s="103">
        <f t="shared" ref="AG8:AG66" si="13">AD8+AE8</f>
        <v>452.63726788149654</v>
      </c>
      <c r="AH8" s="103">
        <f t="shared" ref="AH8:AH66" si="14">AE8+AF8</f>
        <v>576.15736649252062</v>
      </c>
      <c r="AI8" s="103">
        <f t="shared" ref="AI8:AI66" si="15">AD8+AE8+AF8</f>
        <v>680.16168169067419</v>
      </c>
      <c r="AJ8" s="105"/>
      <c r="AK8" s="62" t="s">
        <v>87</v>
      </c>
      <c r="AL8" s="60">
        <f t="shared" si="0"/>
        <v>2.8399157116782576</v>
      </c>
      <c r="AM8" s="60">
        <f t="shared" si="1"/>
        <v>12.600592931748896</v>
      </c>
      <c r="AN8" s="60">
        <f t="shared" si="2"/>
        <v>6.0054199356795364</v>
      </c>
      <c r="AO8" s="60">
        <f t="shared" si="3"/>
        <v>15.440508643427153</v>
      </c>
      <c r="AP8" s="60">
        <f t="shared" si="4"/>
        <v>18.606012867428429</v>
      </c>
      <c r="AQ8" s="60">
        <f t="shared" si="5"/>
        <v>21.445928579106688</v>
      </c>
      <c r="AR8" s="60">
        <f t="shared" si="6"/>
        <v>3.6020000000000008</v>
      </c>
      <c r="AS8" s="60">
        <f t="shared" si="7"/>
        <v>15.77967222007063</v>
      </c>
      <c r="AT8" s="60">
        <f t="shared" si="8"/>
        <v>6.1323277799293701</v>
      </c>
      <c r="AU8" s="60">
        <f t="shared" si="9"/>
        <v>19.38167222007063</v>
      </c>
      <c r="AV8" s="60">
        <f t="shared" si="10"/>
        <v>21.912000000000003</v>
      </c>
      <c r="AW8" s="60">
        <f t="shared" si="11"/>
        <v>25.513999999999999</v>
      </c>
    </row>
    <row r="9" spans="1:49" x14ac:dyDescent="0.2">
      <c r="A9" s="3" t="str">
        <f t="shared" si="12"/>
        <v>ANH23</v>
      </c>
      <c r="B9" s="3" t="str">
        <f>'Forecast drivers'!B10</f>
        <v>ANH</v>
      </c>
      <c r="C9" s="3">
        <f>'Forecast drivers'!C10</f>
        <v>2023</v>
      </c>
      <c r="D9" s="49">
        <v>88.079010576403832</v>
      </c>
      <c r="E9" s="49">
        <v>202.0601252829787</v>
      </c>
      <c r="F9" s="49">
        <v>188.58427092495268</v>
      </c>
      <c r="G9" s="49">
        <v>290.13913585938252</v>
      </c>
      <c r="H9" s="49">
        <v>390.64439620793138</v>
      </c>
      <c r="I9" s="49">
        <v>478.72340678433522</v>
      </c>
      <c r="J9" s="113">
        <v>0</v>
      </c>
      <c r="K9" s="113">
        <v>0.51</v>
      </c>
      <c r="L9" s="113">
        <v>28.584678985822201</v>
      </c>
      <c r="M9" s="113">
        <v>1.97</v>
      </c>
      <c r="N9" s="113">
        <v>0.92900000000000005</v>
      </c>
      <c r="O9" s="113">
        <v>3.5999999999999997E-2</v>
      </c>
      <c r="P9" s="113">
        <v>0</v>
      </c>
      <c r="Q9" s="113">
        <v>3.02</v>
      </c>
      <c r="R9" s="113">
        <v>1.4E-2</v>
      </c>
      <c r="S9" s="113">
        <v>0</v>
      </c>
      <c r="T9" s="113">
        <v>0</v>
      </c>
      <c r="U9" s="113">
        <v>0.91900000000000004</v>
      </c>
      <c r="V9" s="113">
        <v>0.439</v>
      </c>
      <c r="W9" s="113">
        <v>0</v>
      </c>
      <c r="X9" s="113">
        <v>0</v>
      </c>
      <c r="Y9" s="113">
        <v>0.65700000000000003</v>
      </c>
      <c r="Z9" s="113">
        <v>4.1000000000000002E-2</v>
      </c>
      <c r="AA9" s="113">
        <v>0</v>
      </c>
      <c r="AB9" s="113">
        <v>0</v>
      </c>
      <c r="AC9" s="113">
        <v>0.39400000000000002</v>
      </c>
      <c r="AD9" s="103">
        <v>98.234328448940218</v>
      </c>
      <c r="AE9" s="103">
        <v>381.83587793667806</v>
      </c>
      <c r="AF9" s="103">
        <v>201.19472841452821</v>
      </c>
      <c r="AG9" s="103">
        <f t="shared" si="13"/>
        <v>480.07020638561829</v>
      </c>
      <c r="AH9" s="103">
        <f t="shared" si="14"/>
        <v>583.0306063512063</v>
      </c>
      <c r="AI9" s="103">
        <f t="shared" si="15"/>
        <v>681.26493480014653</v>
      </c>
      <c r="AJ9" s="105"/>
      <c r="AK9" s="62" t="s">
        <v>5</v>
      </c>
      <c r="AL9" s="60">
        <f t="shared" si="0"/>
        <v>67.344000000000008</v>
      </c>
      <c r="AM9" s="60">
        <f t="shared" si="1"/>
        <v>417.57600000000002</v>
      </c>
      <c r="AN9" s="60">
        <f t="shared" si="2"/>
        <v>396.42500000000001</v>
      </c>
      <c r="AO9" s="60">
        <f t="shared" si="3"/>
        <v>484.92000000000007</v>
      </c>
      <c r="AP9" s="60">
        <f t="shared" si="4"/>
        <v>814.00099999999998</v>
      </c>
      <c r="AQ9" s="60">
        <f t="shared" si="5"/>
        <v>881.34500000000003</v>
      </c>
      <c r="AR9" s="60">
        <f t="shared" si="6"/>
        <v>74.143000000000001</v>
      </c>
      <c r="AS9" s="60">
        <f t="shared" si="7"/>
        <v>660.47300000000007</v>
      </c>
      <c r="AT9" s="60">
        <f t="shared" si="8"/>
        <v>480.25299999999999</v>
      </c>
      <c r="AU9" s="60">
        <f t="shared" si="9"/>
        <v>734.6160000000001</v>
      </c>
      <c r="AV9" s="60">
        <f t="shared" si="10"/>
        <v>1140.7260000000001</v>
      </c>
      <c r="AW9" s="60">
        <f t="shared" si="11"/>
        <v>1214.8689999999999</v>
      </c>
    </row>
    <row r="10" spans="1:49" x14ac:dyDescent="0.2">
      <c r="A10" s="3" t="str">
        <f t="shared" si="12"/>
        <v>ANH24</v>
      </c>
      <c r="B10" s="3" t="str">
        <f>'Forecast drivers'!B11</f>
        <v>ANH</v>
      </c>
      <c r="C10" s="3">
        <f>'Forecast drivers'!C11</f>
        <v>2024</v>
      </c>
      <c r="D10" s="49">
        <v>85.026888554256175</v>
      </c>
      <c r="E10" s="49">
        <v>222.11526826512892</v>
      </c>
      <c r="F10" s="49">
        <v>185.46300292427279</v>
      </c>
      <c r="G10" s="49">
        <v>307.14215681938509</v>
      </c>
      <c r="H10" s="49">
        <v>407.57827118940168</v>
      </c>
      <c r="I10" s="49">
        <v>492.60515974365785</v>
      </c>
      <c r="J10" s="113">
        <v>0</v>
      </c>
      <c r="K10" s="113">
        <v>0.50700000000000001</v>
      </c>
      <c r="L10" s="113">
        <v>31.849150926156401</v>
      </c>
      <c r="M10" s="113">
        <v>1.99</v>
      </c>
      <c r="N10" s="113">
        <v>0.93899999999999995</v>
      </c>
      <c r="O10" s="113">
        <v>0.32</v>
      </c>
      <c r="P10" s="113">
        <v>0</v>
      </c>
      <c r="Q10" s="113">
        <v>3.05</v>
      </c>
      <c r="R10" s="113">
        <v>1.4E-2</v>
      </c>
      <c r="S10" s="113">
        <v>0</v>
      </c>
      <c r="T10" s="113">
        <v>0</v>
      </c>
      <c r="U10" s="113">
        <v>0.92800000000000005</v>
      </c>
      <c r="V10" s="113">
        <v>0.44400000000000001</v>
      </c>
      <c r="W10" s="113">
        <v>0</v>
      </c>
      <c r="X10" s="113">
        <v>0</v>
      </c>
      <c r="Y10" s="113">
        <v>0.66400000000000003</v>
      </c>
      <c r="Z10" s="113">
        <v>0.04</v>
      </c>
      <c r="AA10" s="113">
        <v>0</v>
      </c>
      <c r="AB10" s="113">
        <v>0</v>
      </c>
      <c r="AC10" s="113">
        <v>0.39600000000000002</v>
      </c>
      <c r="AD10" s="103">
        <v>90.929590338534595</v>
      </c>
      <c r="AE10" s="103">
        <v>509.63618950470897</v>
      </c>
      <c r="AF10" s="103">
        <v>194.5556503425714</v>
      </c>
      <c r="AG10" s="103">
        <f t="shared" si="13"/>
        <v>600.5657798432436</v>
      </c>
      <c r="AH10" s="103">
        <f t="shared" si="14"/>
        <v>704.19183984728033</v>
      </c>
      <c r="AI10" s="103">
        <f t="shared" si="15"/>
        <v>795.12143018581503</v>
      </c>
      <c r="AJ10" s="105"/>
      <c r="AK10" s="62" t="s">
        <v>6</v>
      </c>
      <c r="AL10" s="60">
        <f t="shared" si="0"/>
        <v>328.0448599088117</v>
      </c>
      <c r="AM10" s="60">
        <f t="shared" si="1"/>
        <v>1070.5441742857206</v>
      </c>
      <c r="AN10" s="60">
        <f t="shared" si="2"/>
        <v>833.12392069503937</v>
      </c>
      <c r="AO10" s="60">
        <f t="shared" si="3"/>
        <v>1398.5890341945324</v>
      </c>
      <c r="AP10" s="60">
        <f t="shared" si="4"/>
        <v>1903.6680949807601</v>
      </c>
      <c r="AQ10" s="60">
        <f t="shared" si="5"/>
        <v>2231.7129548895718</v>
      </c>
      <c r="AR10" s="60">
        <f t="shared" si="6"/>
        <v>372.45047147371469</v>
      </c>
      <c r="AS10" s="60">
        <f t="shared" si="7"/>
        <v>1753.5820318070064</v>
      </c>
      <c r="AT10" s="60">
        <f t="shared" si="8"/>
        <v>948.38729820409742</v>
      </c>
      <c r="AU10" s="60">
        <f t="shared" si="9"/>
        <v>2126.0325032807209</v>
      </c>
      <c r="AV10" s="60">
        <f t="shared" si="10"/>
        <v>2701.9693300111039</v>
      </c>
      <c r="AW10" s="60">
        <f t="shared" si="11"/>
        <v>3074.4198014848184</v>
      </c>
    </row>
    <row r="11" spans="1:49" x14ac:dyDescent="0.2">
      <c r="A11" s="3" t="str">
        <f t="shared" si="12"/>
        <v>ANH25</v>
      </c>
      <c r="B11" s="3" t="str">
        <f>'Forecast drivers'!B12</f>
        <v>ANH</v>
      </c>
      <c r="C11" s="3">
        <f>'Forecast drivers'!C12</f>
        <v>2025</v>
      </c>
      <c r="D11" s="49">
        <v>84.596980059530424</v>
      </c>
      <c r="E11" s="49">
        <v>218.07905092412099</v>
      </c>
      <c r="F11" s="49">
        <v>195.83075514380826</v>
      </c>
      <c r="G11" s="49">
        <v>302.6760309836514</v>
      </c>
      <c r="H11" s="49">
        <v>413.90980606792925</v>
      </c>
      <c r="I11" s="49">
        <v>498.50678612745969</v>
      </c>
      <c r="J11" s="113">
        <v>0</v>
      </c>
      <c r="K11" s="113">
        <v>0.47799999999999998</v>
      </c>
      <c r="L11" s="113">
        <v>35.242616527141301</v>
      </c>
      <c r="M11" s="113">
        <v>2.0090650867013302</v>
      </c>
      <c r="N11" s="113">
        <v>0.94799999999999995</v>
      </c>
      <c r="O11" s="113">
        <v>0</v>
      </c>
      <c r="P11" s="113">
        <v>0</v>
      </c>
      <c r="Q11" s="113">
        <v>3.0797644442846801</v>
      </c>
      <c r="R11" s="113">
        <v>1.4E-2</v>
      </c>
      <c r="S11" s="113">
        <v>0</v>
      </c>
      <c r="T11" s="113">
        <v>0</v>
      </c>
      <c r="U11" s="113">
        <v>0.93745777969455502</v>
      </c>
      <c r="V11" s="113">
        <v>0.44800000000000001</v>
      </c>
      <c r="W11" s="113">
        <v>0</v>
      </c>
      <c r="X11" s="113">
        <v>0</v>
      </c>
      <c r="Y11" s="113">
        <v>0.66961269978182603</v>
      </c>
      <c r="Z11" s="113">
        <v>4.1000000000000002E-2</v>
      </c>
      <c r="AA11" s="113">
        <v>0</v>
      </c>
      <c r="AB11" s="113">
        <v>0</v>
      </c>
      <c r="AC11" s="113">
        <v>0.40176761986909498</v>
      </c>
      <c r="AD11" s="103">
        <v>95.780423782488938</v>
      </c>
      <c r="AE11" s="103">
        <v>413.86521984343733</v>
      </c>
      <c r="AF11" s="103">
        <v>200.02251977440696</v>
      </c>
      <c r="AG11" s="103">
        <f t="shared" si="13"/>
        <v>509.64564362592625</v>
      </c>
      <c r="AH11" s="103">
        <f t="shared" si="14"/>
        <v>613.88773961784432</v>
      </c>
      <c r="AI11" s="103">
        <f t="shared" si="15"/>
        <v>709.66816340033324</v>
      </c>
      <c r="AJ11" s="105"/>
      <c r="AK11" s="62" t="s">
        <v>7</v>
      </c>
      <c r="AL11" s="60">
        <f t="shared" si="0"/>
        <v>191.74</v>
      </c>
      <c r="AM11" s="60">
        <f t="shared" si="1"/>
        <v>915.89800000000002</v>
      </c>
      <c r="AN11" s="60">
        <f t="shared" si="2"/>
        <v>547.55899999999997</v>
      </c>
      <c r="AO11" s="60">
        <f t="shared" si="3"/>
        <v>1107.6379999999999</v>
      </c>
      <c r="AP11" s="60">
        <f t="shared" si="4"/>
        <v>1463.4569999999999</v>
      </c>
      <c r="AQ11" s="60">
        <f t="shared" si="5"/>
        <v>1655.1970000000001</v>
      </c>
      <c r="AR11" s="60">
        <f t="shared" si="6"/>
        <v>202.96900000000002</v>
      </c>
      <c r="AS11" s="60">
        <f t="shared" si="7"/>
        <v>1481.5029999999999</v>
      </c>
      <c r="AT11" s="60">
        <f t="shared" si="8"/>
        <v>625.27299999999991</v>
      </c>
      <c r="AU11" s="60">
        <f t="shared" si="9"/>
        <v>1684.4720000000002</v>
      </c>
      <c r="AV11" s="60">
        <f t="shared" si="10"/>
        <v>2106.7759999999998</v>
      </c>
      <c r="AW11" s="60">
        <f t="shared" si="11"/>
        <v>2309.7449999999999</v>
      </c>
    </row>
    <row r="12" spans="1:49" x14ac:dyDescent="0.2">
      <c r="A12" s="3" t="str">
        <f t="shared" si="12"/>
        <v>NES21</v>
      </c>
      <c r="B12" s="3" t="str">
        <f>'Forecast drivers'!B13</f>
        <v>NES</v>
      </c>
      <c r="C12" s="3">
        <f>'Forecast drivers'!C13</f>
        <v>2021</v>
      </c>
      <c r="D12" s="49">
        <v>13.641000000000002</v>
      </c>
      <c r="E12" s="49">
        <v>69.86</v>
      </c>
      <c r="F12" s="49">
        <v>73.289000000000001</v>
      </c>
      <c r="G12" s="49">
        <v>83.501000000000005</v>
      </c>
      <c r="H12" s="49">
        <v>143.149</v>
      </c>
      <c r="I12" s="49">
        <v>156.79</v>
      </c>
      <c r="J12" s="113">
        <v>0.20200000000000001</v>
      </c>
      <c r="K12" s="113">
        <v>0</v>
      </c>
      <c r="L12" s="113">
        <v>3.819</v>
      </c>
      <c r="M12" s="113">
        <v>1.1890000000000001</v>
      </c>
      <c r="N12" s="113">
        <v>0.1</v>
      </c>
      <c r="O12" s="113">
        <v>0</v>
      </c>
      <c r="P12" s="113">
        <v>0</v>
      </c>
      <c r="Q12" s="113">
        <v>1.292</v>
      </c>
      <c r="R12" s="113">
        <v>0</v>
      </c>
      <c r="S12" s="113">
        <v>0</v>
      </c>
      <c r="T12" s="113">
        <v>0</v>
      </c>
      <c r="U12" s="113">
        <v>3.7999999999999999E-2</v>
      </c>
      <c r="V12" s="113">
        <v>0</v>
      </c>
      <c r="W12" s="113">
        <v>0</v>
      </c>
      <c r="X12" s="113">
        <v>0</v>
      </c>
      <c r="Y12" s="113">
        <v>0.29599999999999999</v>
      </c>
      <c r="Z12" s="113">
        <v>0</v>
      </c>
      <c r="AA12" s="113">
        <v>0</v>
      </c>
      <c r="AB12" s="113">
        <v>0</v>
      </c>
      <c r="AC12" s="113">
        <v>0</v>
      </c>
      <c r="AD12" s="103">
        <v>15.016</v>
      </c>
      <c r="AE12" s="103">
        <v>84.782000000000011</v>
      </c>
      <c r="AF12" s="103">
        <v>93.003000000000014</v>
      </c>
      <c r="AG12" s="103">
        <f t="shared" si="13"/>
        <v>99.798000000000016</v>
      </c>
      <c r="AH12" s="103">
        <f t="shared" si="14"/>
        <v>177.78500000000003</v>
      </c>
      <c r="AI12" s="103">
        <f t="shared" si="15"/>
        <v>192.80100000000004</v>
      </c>
      <c r="AJ12" s="105"/>
      <c r="AK12" s="62" t="s">
        <v>116</v>
      </c>
      <c r="AL12" s="60">
        <f t="shared" si="0"/>
        <v>259.44867083921048</v>
      </c>
      <c r="AM12" s="60">
        <f t="shared" si="1"/>
        <v>1076.7672348613457</v>
      </c>
      <c r="AN12" s="60">
        <f t="shared" si="2"/>
        <v>963.84389460145155</v>
      </c>
      <c r="AO12" s="60">
        <f t="shared" si="3"/>
        <v>1336.2159057005563</v>
      </c>
      <c r="AP12" s="60">
        <f t="shared" si="4"/>
        <v>2040.6111294627972</v>
      </c>
      <c r="AQ12" s="60">
        <f t="shared" si="5"/>
        <v>2300.0598003020077</v>
      </c>
      <c r="AR12" s="60">
        <f t="shared" si="6"/>
        <v>311.73463560526437</v>
      </c>
      <c r="AS12" s="60">
        <f t="shared" si="7"/>
        <v>1616.1424833689789</v>
      </c>
      <c r="AT12" s="60">
        <f t="shared" si="8"/>
        <v>1032.2059917062795</v>
      </c>
      <c r="AU12" s="60">
        <f t="shared" si="9"/>
        <v>1927.8771189742433</v>
      </c>
      <c r="AV12" s="60">
        <f t="shared" si="10"/>
        <v>2648.3484750752582</v>
      </c>
      <c r="AW12" s="60">
        <f t="shared" si="11"/>
        <v>2960.0831106805226</v>
      </c>
    </row>
    <row r="13" spans="1:49" x14ac:dyDescent="0.2">
      <c r="A13" s="3" t="str">
        <f t="shared" si="12"/>
        <v>NES22</v>
      </c>
      <c r="B13" s="3" t="str">
        <f>'Forecast drivers'!B14</f>
        <v>NES</v>
      </c>
      <c r="C13" s="3">
        <f>'Forecast drivers'!C14</f>
        <v>2022</v>
      </c>
      <c r="D13" s="49">
        <v>13.555</v>
      </c>
      <c r="E13" s="49">
        <v>67.124000000000009</v>
      </c>
      <c r="F13" s="49">
        <v>78.028000000000006</v>
      </c>
      <c r="G13" s="49">
        <v>80.679000000000002</v>
      </c>
      <c r="H13" s="49">
        <v>145.15200000000002</v>
      </c>
      <c r="I13" s="49">
        <v>158.70700000000002</v>
      </c>
      <c r="J13" s="113">
        <v>0.20200000000000001</v>
      </c>
      <c r="K13" s="113">
        <v>0</v>
      </c>
      <c r="L13" s="113">
        <v>3.827</v>
      </c>
      <c r="M13" s="113">
        <v>1.4430000000000001</v>
      </c>
      <c r="N13" s="113">
        <v>0.1</v>
      </c>
      <c r="O13" s="113">
        <v>0</v>
      </c>
      <c r="P13" s="113">
        <v>0</v>
      </c>
      <c r="Q13" s="113">
        <v>1.5669999999999999</v>
      </c>
      <c r="R13" s="113">
        <v>0</v>
      </c>
      <c r="S13" s="113">
        <v>0</v>
      </c>
      <c r="T13" s="113">
        <v>0</v>
      </c>
      <c r="U13" s="113">
        <v>4.5999999999999999E-2</v>
      </c>
      <c r="V13" s="113">
        <v>0</v>
      </c>
      <c r="W13" s="113">
        <v>0</v>
      </c>
      <c r="X13" s="113">
        <v>0</v>
      </c>
      <c r="Y13" s="113">
        <v>0.35899999999999999</v>
      </c>
      <c r="Z13" s="113">
        <v>0</v>
      </c>
      <c r="AA13" s="113">
        <v>0</v>
      </c>
      <c r="AB13" s="113">
        <v>0</v>
      </c>
      <c r="AC13" s="113">
        <v>0</v>
      </c>
      <c r="AD13" s="103">
        <v>14.911</v>
      </c>
      <c r="AE13" s="103">
        <v>102.03300000000002</v>
      </c>
      <c r="AF13" s="103">
        <v>101.685</v>
      </c>
      <c r="AG13" s="103">
        <f t="shared" si="13"/>
        <v>116.94400000000002</v>
      </c>
      <c r="AH13" s="103">
        <f t="shared" si="14"/>
        <v>203.71800000000002</v>
      </c>
      <c r="AI13" s="103">
        <f t="shared" si="15"/>
        <v>218.62900000000002</v>
      </c>
      <c r="AJ13" s="105"/>
      <c r="AK13" s="62" t="s">
        <v>12</v>
      </c>
      <c r="AL13" s="60">
        <f t="shared" si="0"/>
        <v>89.88</v>
      </c>
      <c r="AM13" s="60">
        <f t="shared" si="1"/>
        <v>363.05099999999993</v>
      </c>
      <c r="AN13" s="60">
        <f t="shared" si="2"/>
        <v>317.51299999999998</v>
      </c>
      <c r="AO13" s="60">
        <f t="shared" si="3"/>
        <v>452.93100000000004</v>
      </c>
      <c r="AP13" s="60">
        <f t="shared" si="4"/>
        <v>680.56400000000008</v>
      </c>
      <c r="AQ13" s="60">
        <f t="shared" si="5"/>
        <v>770.44399999999996</v>
      </c>
      <c r="AR13" s="60">
        <f t="shared" si="6"/>
        <v>101.12299999999999</v>
      </c>
      <c r="AS13" s="60">
        <f t="shared" si="7"/>
        <v>514.87900000000002</v>
      </c>
      <c r="AT13" s="60">
        <f t="shared" si="8"/>
        <v>367.25799999999992</v>
      </c>
      <c r="AU13" s="60">
        <f t="shared" si="9"/>
        <v>616.00199999999995</v>
      </c>
      <c r="AV13" s="60">
        <f t="shared" si="10"/>
        <v>882.13699999999994</v>
      </c>
      <c r="AW13" s="60">
        <f t="shared" si="11"/>
        <v>983.26</v>
      </c>
    </row>
    <row r="14" spans="1:49" x14ac:dyDescent="0.2">
      <c r="A14" s="3" t="str">
        <f t="shared" si="12"/>
        <v>NES23</v>
      </c>
      <c r="B14" s="3" t="str">
        <f>'Forecast drivers'!B15</f>
        <v>NES</v>
      </c>
      <c r="C14" s="3">
        <f>'Forecast drivers'!C15</f>
        <v>2023</v>
      </c>
      <c r="D14" s="49">
        <v>13.467000000000001</v>
      </c>
      <c r="E14" s="49">
        <v>76.298000000000002</v>
      </c>
      <c r="F14" s="49">
        <v>87.626000000000005</v>
      </c>
      <c r="G14" s="49">
        <v>89.765000000000001</v>
      </c>
      <c r="H14" s="49">
        <v>163.92400000000001</v>
      </c>
      <c r="I14" s="49">
        <v>177.39100000000002</v>
      </c>
      <c r="J14" s="113">
        <v>0.20200000000000001</v>
      </c>
      <c r="K14" s="113">
        <v>0</v>
      </c>
      <c r="L14" s="113">
        <v>3.8340000000000001</v>
      </c>
      <c r="M14" s="113">
        <v>1.4570000000000001</v>
      </c>
      <c r="N14" s="113">
        <v>0.1</v>
      </c>
      <c r="O14" s="113">
        <v>0</v>
      </c>
      <c r="P14" s="113">
        <v>0</v>
      </c>
      <c r="Q14" s="113">
        <v>1.583</v>
      </c>
      <c r="R14" s="113">
        <v>0</v>
      </c>
      <c r="S14" s="113">
        <v>0</v>
      </c>
      <c r="T14" s="113">
        <v>0</v>
      </c>
      <c r="U14" s="113">
        <v>4.5999999999999999E-2</v>
      </c>
      <c r="V14" s="113">
        <v>0</v>
      </c>
      <c r="W14" s="113">
        <v>0</v>
      </c>
      <c r="X14" s="113">
        <v>0</v>
      </c>
      <c r="Y14" s="113">
        <v>0.36299999999999999</v>
      </c>
      <c r="Z14" s="113">
        <v>0</v>
      </c>
      <c r="AA14" s="113">
        <v>0</v>
      </c>
      <c r="AB14" s="113">
        <v>0</v>
      </c>
      <c r="AC14" s="113">
        <v>0</v>
      </c>
      <c r="AD14" s="103">
        <v>14.823</v>
      </c>
      <c r="AE14" s="103">
        <v>126.58100000000002</v>
      </c>
      <c r="AF14" s="103">
        <v>102.21300000000001</v>
      </c>
      <c r="AG14" s="103">
        <f t="shared" si="13"/>
        <v>141.40400000000002</v>
      </c>
      <c r="AH14" s="103">
        <f t="shared" si="14"/>
        <v>228.79400000000004</v>
      </c>
      <c r="AI14" s="103">
        <f t="shared" si="15"/>
        <v>243.61700000000002</v>
      </c>
      <c r="AJ14" s="105"/>
      <c r="AK14" s="62" t="s">
        <v>9</v>
      </c>
      <c r="AL14" s="60">
        <f t="shared" si="0"/>
        <v>572.03928963130329</v>
      </c>
      <c r="AM14" s="60">
        <f t="shared" si="1"/>
        <v>1888.104774334761</v>
      </c>
      <c r="AN14" s="60">
        <f t="shared" si="2"/>
        <v>1623.321069411093</v>
      </c>
      <c r="AO14" s="60">
        <f t="shared" si="3"/>
        <v>2460.1440639660646</v>
      </c>
      <c r="AP14" s="60">
        <f t="shared" si="4"/>
        <v>3511.4258437458548</v>
      </c>
      <c r="AQ14" s="60">
        <f t="shared" si="5"/>
        <v>4083.4651333771581</v>
      </c>
      <c r="AR14" s="60">
        <f t="shared" si="6"/>
        <v>657.65507124941519</v>
      </c>
      <c r="AS14" s="60">
        <f t="shared" si="7"/>
        <v>2434.3649982593492</v>
      </c>
      <c r="AT14" s="60">
        <f t="shared" si="8"/>
        <v>1702.7691630235477</v>
      </c>
      <c r="AU14" s="60">
        <f t="shared" si="9"/>
        <v>3092.0200695087647</v>
      </c>
      <c r="AV14" s="60">
        <f t="shared" si="10"/>
        <v>4137.1341612828974</v>
      </c>
      <c r="AW14" s="60">
        <f t="shared" si="11"/>
        <v>4794.7892325323128</v>
      </c>
    </row>
    <row r="15" spans="1:49" x14ac:dyDescent="0.2">
      <c r="A15" s="3" t="str">
        <f t="shared" si="12"/>
        <v>NES24</v>
      </c>
      <c r="B15" s="3" t="str">
        <f>'Forecast drivers'!B16</f>
        <v>NES</v>
      </c>
      <c r="C15" s="3">
        <f>'Forecast drivers'!C16</f>
        <v>2024</v>
      </c>
      <c r="D15" s="49">
        <v>13.382</v>
      </c>
      <c r="E15" s="49">
        <v>115.917</v>
      </c>
      <c r="F15" s="49">
        <v>89.938999999999993</v>
      </c>
      <c r="G15" s="49">
        <v>129.29900000000001</v>
      </c>
      <c r="H15" s="49">
        <v>205.85599999999999</v>
      </c>
      <c r="I15" s="49">
        <v>219.238</v>
      </c>
      <c r="J15" s="113">
        <v>0.20200000000000001</v>
      </c>
      <c r="K15" s="113">
        <v>0</v>
      </c>
      <c r="L15" s="113">
        <v>3.8420000000000001</v>
      </c>
      <c r="M15" s="113">
        <v>1.4710000000000001</v>
      </c>
      <c r="N15" s="113">
        <v>0.1</v>
      </c>
      <c r="O15" s="113">
        <v>0</v>
      </c>
      <c r="P15" s="113">
        <v>0</v>
      </c>
      <c r="Q15" s="113">
        <v>1.599</v>
      </c>
      <c r="R15" s="113">
        <v>0</v>
      </c>
      <c r="S15" s="113">
        <v>0</v>
      </c>
      <c r="T15" s="113">
        <v>0</v>
      </c>
      <c r="U15" s="113">
        <v>4.7E-2</v>
      </c>
      <c r="V15" s="113">
        <v>0</v>
      </c>
      <c r="W15" s="113">
        <v>0</v>
      </c>
      <c r="X15" s="113">
        <v>0</v>
      </c>
      <c r="Y15" s="113">
        <v>0.36599999999999999</v>
      </c>
      <c r="Z15" s="113">
        <v>0</v>
      </c>
      <c r="AA15" s="113">
        <v>0</v>
      </c>
      <c r="AB15" s="113">
        <v>0</v>
      </c>
      <c r="AC15" s="113">
        <v>0</v>
      </c>
      <c r="AD15" s="103">
        <v>14.738</v>
      </c>
      <c r="AE15" s="103">
        <v>189.75000000000003</v>
      </c>
      <c r="AF15" s="103">
        <v>103.08</v>
      </c>
      <c r="AG15" s="103">
        <f t="shared" si="13"/>
        <v>204.48800000000003</v>
      </c>
      <c r="AH15" s="103">
        <f t="shared" si="14"/>
        <v>292.83000000000004</v>
      </c>
      <c r="AI15" s="103">
        <f t="shared" si="15"/>
        <v>307.56800000000004</v>
      </c>
      <c r="AJ15" s="105"/>
      <c r="AK15" s="62" t="s">
        <v>15</v>
      </c>
      <c r="AL15" s="60">
        <f t="shared" si="0"/>
        <v>115.11000000000001</v>
      </c>
      <c r="AM15" s="60">
        <f t="shared" si="1"/>
        <v>546.52100000000007</v>
      </c>
      <c r="AN15" s="60">
        <f t="shared" si="2"/>
        <v>478.95</v>
      </c>
      <c r="AO15" s="60">
        <f t="shared" si="3"/>
        <v>661.63100000000009</v>
      </c>
      <c r="AP15" s="60">
        <f t="shared" si="4"/>
        <v>1025.471</v>
      </c>
      <c r="AQ15" s="60">
        <f t="shared" si="5"/>
        <v>1140.5810000000001</v>
      </c>
      <c r="AR15" s="60">
        <f t="shared" si="6"/>
        <v>125.459</v>
      </c>
      <c r="AS15" s="60">
        <f t="shared" si="7"/>
        <v>752.46599999999989</v>
      </c>
      <c r="AT15" s="60">
        <f t="shared" si="8"/>
        <v>697.9</v>
      </c>
      <c r="AU15" s="60">
        <f t="shared" si="9"/>
        <v>877.92499999999995</v>
      </c>
      <c r="AV15" s="60">
        <f t="shared" si="10"/>
        <v>1450.366</v>
      </c>
      <c r="AW15" s="60">
        <f t="shared" si="11"/>
        <v>1575.8249999999998</v>
      </c>
    </row>
    <row r="16" spans="1:49" x14ac:dyDescent="0.2">
      <c r="A16" s="3" t="str">
        <f t="shared" si="12"/>
        <v>NES25</v>
      </c>
      <c r="B16" s="3" t="str">
        <f>'Forecast drivers'!B17</f>
        <v>NES</v>
      </c>
      <c r="C16" s="3">
        <f>'Forecast drivers'!C17</f>
        <v>2025</v>
      </c>
      <c r="D16" s="49">
        <v>13.299000000000001</v>
      </c>
      <c r="E16" s="49">
        <v>88.37700000000001</v>
      </c>
      <c r="F16" s="49">
        <v>67.543000000000006</v>
      </c>
      <c r="G16" s="49">
        <v>101.67600000000002</v>
      </c>
      <c r="H16" s="49">
        <v>155.92000000000002</v>
      </c>
      <c r="I16" s="49">
        <v>169.21900000000002</v>
      </c>
      <c r="J16" s="113">
        <v>0.20200000000000001</v>
      </c>
      <c r="K16" s="113">
        <v>0</v>
      </c>
      <c r="L16" s="113">
        <v>3.85</v>
      </c>
      <c r="M16" s="113">
        <v>1.4850000000000001</v>
      </c>
      <c r="N16" s="113">
        <v>0.1</v>
      </c>
      <c r="O16" s="113">
        <v>0</v>
      </c>
      <c r="P16" s="113">
        <v>0</v>
      </c>
      <c r="Q16" s="113">
        <v>1.6140000000000001</v>
      </c>
      <c r="R16" s="113">
        <v>0</v>
      </c>
      <c r="S16" s="113">
        <v>0</v>
      </c>
      <c r="T16" s="113">
        <v>0</v>
      </c>
      <c r="U16" s="113">
        <v>4.7E-2</v>
      </c>
      <c r="V16" s="113">
        <v>0</v>
      </c>
      <c r="W16" s="113">
        <v>0</v>
      </c>
      <c r="X16" s="113">
        <v>0</v>
      </c>
      <c r="Y16" s="113">
        <v>0.37</v>
      </c>
      <c r="Z16" s="113">
        <v>0</v>
      </c>
      <c r="AA16" s="113">
        <v>0</v>
      </c>
      <c r="AB16" s="113">
        <v>0</v>
      </c>
      <c r="AC16" s="113">
        <v>0</v>
      </c>
      <c r="AD16" s="103">
        <v>14.654999999999999</v>
      </c>
      <c r="AE16" s="103">
        <v>157.327</v>
      </c>
      <c r="AF16" s="103">
        <v>80.271999999999991</v>
      </c>
      <c r="AG16" s="103">
        <f t="shared" si="13"/>
        <v>171.982</v>
      </c>
      <c r="AH16" s="103">
        <f t="shared" si="14"/>
        <v>237.59899999999999</v>
      </c>
      <c r="AI16" s="103">
        <f t="shared" si="15"/>
        <v>252.25399999999999</v>
      </c>
      <c r="AJ16" s="105"/>
      <c r="AK16" s="62" t="s">
        <v>10</v>
      </c>
      <c r="AL16" s="60">
        <f t="shared" si="0"/>
        <v>110.89383536659518</v>
      </c>
      <c r="AM16" s="60">
        <f t="shared" si="1"/>
        <v>467.59305496337458</v>
      </c>
      <c r="AN16" s="60">
        <f t="shared" si="2"/>
        <v>423.47934051795886</v>
      </c>
      <c r="AO16" s="60">
        <f t="shared" si="3"/>
        <v>578.48689032996981</v>
      </c>
      <c r="AP16" s="60">
        <f t="shared" si="4"/>
        <v>891.07239548133361</v>
      </c>
      <c r="AQ16" s="60">
        <f t="shared" si="5"/>
        <v>1001.9662308479287</v>
      </c>
      <c r="AR16" s="60">
        <f t="shared" si="6"/>
        <v>123.37201228967214</v>
      </c>
      <c r="AS16" s="60">
        <f t="shared" si="7"/>
        <v>900.94388859528431</v>
      </c>
      <c r="AT16" s="60">
        <f t="shared" si="8"/>
        <v>529.78177540026695</v>
      </c>
      <c r="AU16" s="60">
        <f t="shared" si="9"/>
        <v>1024.3159008849566</v>
      </c>
      <c r="AV16" s="60">
        <f t="shared" si="10"/>
        <v>1430.7256639955513</v>
      </c>
      <c r="AW16" s="60">
        <f t="shared" si="11"/>
        <v>1554.0976762852233</v>
      </c>
    </row>
    <row r="17" spans="1:49" x14ac:dyDescent="0.2">
      <c r="A17" s="3" t="str">
        <f t="shared" si="12"/>
        <v>NWT21</v>
      </c>
      <c r="B17" s="3" t="str">
        <f>'Forecast drivers'!B18</f>
        <v>NWT</v>
      </c>
      <c r="C17" s="3">
        <f>'Forecast drivers'!C18</f>
        <v>2021</v>
      </c>
      <c r="D17" s="49">
        <v>68.088486319013754</v>
      </c>
      <c r="E17" s="49">
        <v>191.93436107505468</v>
      </c>
      <c r="F17" s="49">
        <v>165.16497314966998</v>
      </c>
      <c r="G17" s="49">
        <v>260.02284739406844</v>
      </c>
      <c r="H17" s="49">
        <v>357.09933422472466</v>
      </c>
      <c r="I17" s="49">
        <v>425.18782054373844</v>
      </c>
      <c r="J17" s="113">
        <v>0.12710788849039101</v>
      </c>
      <c r="K17" s="113">
        <v>0</v>
      </c>
      <c r="L17" s="113">
        <v>14.60335877579832</v>
      </c>
      <c r="M17" s="113">
        <v>4.2407396090830201</v>
      </c>
      <c r="N17" s="113">
        <v>0</v>
      </c>
      <c r="O17" s="113">
        <v>0</v>
      </c>
      <c r="P17" s="113">
        <v>0</v>
      </c>
      <c r="Q17" s="113">
        <v>7.5321141961341</v>
      </c>
      <c r="R17" s="113">
        <v>0</v>
      </c>
      <c r="S17" s="113">
        <v>0</v>
      </c>
      <c r="T17" s="113">
        <v>0</v>
      </c>
      <c r="U17" s="113">
        <v>0.70061971707966897</v>
      </c>
      <c r="V17" s="113">
        <v>0</v>
      </c>
      <c r="W17" s="113">
        <v>0</v>
      </c>
      <c r="X17" s="113">
        <v>0</v>
      </c>
      <c r="Y17" s="113">
        <v>1.9155986616071701</v>
      </c>
      <c r="Z17" s="113">
        <v>0</v>
      </c>
      <c r="AA17" s="113">
        <v>0</v>
      </c>
      <c r="AB17" s="113">
        <v>0</v>
      </c>
      <c r="AC17" s="113">
        <v>0.38611242744923802</v>
      </c>
      <c r="AD17" s="103">
        <v>76.873238970239299</v>
      </c>
      <c r="AE17" s="103">
        <v>308.15070567694193</v>
      </c>
      <c r="AF17" s="103">
        <v>172.0821539720709</v>
      </c>
      <c r="AG17" s="103">
        <f t="shared" si="13"/>
        <v>385.02394464718122</v>
      </c>
      <c r="AH17" s="103">
        <f t="shared" si="14"/>
        <v>480.23285964901282</v>
      </c>
      <c r="AI17" s="103">
        <f t="shared" si="15"/>
        <v>557.10609861925218</v>
      </c>
      <c r="AJ17" s="105"/>
      <c r="AK17" s="62" t="s">
        <v>11</v>
      </c>
      <c r="AL17" s="60">
        <f t="shared" si="0"/>
        <v>304.35600000000005</v>
      </c>
      <c r="AM17" s="60">
        <f t="shared" si="1"/>
        <v>918.31200000000001</v>
      </c>
      <c r="AN17" s="60">
        <f t="shared" si="2"/>
        <v>700.5150000000001</v>
      </c>
      <c r="AO17" s="60">
        <f t="shared" si="3"/>
        <v>1222.6680000000001</v>
      </c>
      <c r="AP17" s="60">
        <f t="shared" si="4"/>
        <v>1618.827</v>
      </c>
      <c r="AQ17" s="60">
        <f t="shared" si="5"/>
        <v>1923.183</v>
      </c>
      <c r="AR17" s="60">
        <f t="shared" si="6"/>
        <v>372.01900000000001</v>
      </c>
      <c r="AS17" s="60">
        <f t="shared" si="7"/>
        <v>1672.6649999999997</v>
      </c>
      <c r="AT17" s="60">
        <f t="shared" si="8"/>
        <v>885.48399999999992</v>
      </c>
      <c r="AU17" s="60">
        <f t="shared" si="9"/>
        <v>2044.684</v>
      </c>
      <c r="AV17" s="60">
        <f t="shared" si="10"/>
        <v>2558.1489999999999</v>
      </c>
      <c r="AW17" s="60">
        <f t="shared" si="11"/>
        <v>2930.1679999999997</v>
      </c>
    </row>
    <row r="18" spans="1:49" x14ac:dyDescent="0.2">
      <c r="A18" s="3" t="str">
        <f t="shared" si="12"/>
        <v>NWT22</v>
      </c>
      <c r="B18" s="3" t="str">
        <f>'Forecast drivers'!B19</f>
        <v>NWT</v>
      </c>
      <c r="C18" s="3">
        <f>'Forecast drivers'!C19</f>
        <v>2022</v>
      </c>
      <c r="D18" s="49">
        <v>70.366421195469542</v>
      </c>
      <c r="E18" s="49">
        <v>204.6394282338496</v>
      </c>
      <c r="F18" s="49">
        <v>168.00159734928178</v>
      </c>
      <c r="G18" s="49">
        <v>275.00584942931914</v>
      </c>
      <c r="H18" s="49">
        <v>372.64102558313141</v>
      </c>
      <c r="I18" s="49">
        <v>443.00744677860098</v>
      </c>
      <c r="J18" s="113">
        <v>0.127730966375148</v>
      </c>
      <c r="K18" s="113">
        <v>0</v>
      </c>
      <c r="L18" s="113">
        <v>14.757833152252779</v>
      </c>
      <c r="M18" s="113">
        <v>3.1423197016750501</v>
      </c>
      <c r="N18" s="113">
        <v>0</v>
      </c>
      <c r="O18" s="113">
        <v>0</v>
      </c>
      <c r="P18" s="113">
        <v>0</v>
      </c>
      <c r="Q18" s="113">
        <v>5.5811752230871798</v>
      </c>
      <c r="R18" s="113">
        <v>0</v>
      </c>
      <c r="S18" s="113">
        <v>0</v>
      </c>
      <c r="T18" s="113">
        <v>0</v>
      </c>
      <c r="U18" s="113">
        <v>0.52291292748060503</v>
      </c>
      <c r="V18" s="113">
        <v>0</v>
      </c>
      <c r="W18" s="113">
        <v>0</v>
      </c>
      <c r="X18" s="113">
        <v>0</v>
      </c>
      <c r="Y18" s="113">
        <v>1.4305281486044701</v>
      </c>
      <c r="Z18" s="113">
        <v>0</v>
      </c>
      <c r="AA18" s="113">
        <v>0</v>
      </c>
      <c r="AB18" s="113">
        <v>0</v>
      </c>
      <c r="AC18" s="113">
        <v>0.28830745700506599</v>
      </c>
      <c r="AD18" s="103">
        <v>79.247644323900516</v>
      </c>
      <c r="AE18" s="103">
        <v>332.3653547216918</v>
      </c>
      <c r="AF18" s="103">
        <v>176.46866097924257</v>
      </c>
      <c r="AG18" s="103">
        <f t="shared" si="13"/>
        <v>411.61299904559235</v>
      </c>
      <c r="AH18" s="103">
        <f t="shared" si="14"/>
        <v>508.8340157009344</v>
      </c>
      <c r="AI18" s="103">
        <f t="shared" si="15"/>
        <v>588.08166002483495</v>
      </c>
      <c r="AJ18" s="105"/>
      <c r="AK18" s="105"/>
    </row>
    <row r="19" spans="1:49" x14ac:dyDescent="0.2">
      <c r="A19" s="3" t="str">
        <f t="shared" si="12"/>
        <v>NWT23</v>
      </c>
      <c r="B19" s="3" t="str">
        <f>'Forecast drivers'!B20</f>
        <v>NWT</v>
      </c>
      <c r="C19" s="3">
        <f>'Forecast drivers'!C20</f>
        <v>2023</v>
      </c>
      <c r="D19" s="49">
        <v>65.717230958870061</v>
      </c>
      <c r="E19" s="49">
        <v>202.30595077511387</v>
      </c>
      <c r="F19" s="49">
        <v>166.50649540389281</v>
      </c>
      <c r="G19" s="49">
        <v>268.02318173398396</v>
      </c>
      <c r="H19" s="49">
        <v>368.81244617900666</v>
      </c>
      <c r="I19" s="49">
        <v>434.52967713787672</v>
      </c>
      <c r="J19" s="113">
        <v>0.12804403246920501</v>
      </c>
      <c r="K19" s="113">
        <v>0</v>
      </c>
      <c r="L19" s="113">
        <v>14.913922891315259</v>
      </c>
      <c r="M19" s="113">
        <v>0.19170243906350101</v>
      </c>
      <c r="N19" s="113">
        <v>0</v>
      </c>
      <c r="O19" s="113">
        <v>0</v>
      </c>
      <c r="P19" s="113">
        <v>0</v>
      </c>
      <c r="Q19" s="113">
        <v>0.339986314632099</v>
      </c>
      <c r="R19" s="113">
        <v>0</v>
      </c>
      <c r="S19" s="113">
        <v>0</v>
      </c>
      <c r="T19" s="113">
        <v>0</v>
      </c>
      <c r="U19" s="113">
        <v>3.3164432283010803E-2</v>
      </c>
      <c r="V19" s="113">
        <v>0</v>
      </c>
      <c r="W19" s="113">
        <v>0</v>
      </c>
      <c r="X19" s="113">
        <v>0</v>
      </c>
      <c r="Y19" s="113">
        <v>9.0811250479362796E-2</v>
      </c>
      <c r="Z19" s="113">
        <v>0</v>
      </c>
      <c r="AA19" s="113">
        <v>0</v>
      </c>
      <c r="AB19" s="113">
        <v>0</v>
      </c>
      <c r="AC19" s="113">
        <v>1.82985984586755E-2</v>
      </c>
      <c r="AD19" s="103">
        <v>74.621811251494378</v>
      </c>
      <c r="AE19" s="103">
        <v>289.89318846207192</v>
      </c>
      <c r="AF19" s="103">
        <v>176.83485087349754</v>
      </c>
      <c r="AG19" s="103">
        <f t="shared" si="13"/>
        <v>364.51499971356628</v>
      </c>
      <c r="AH19" s="103">
        <f t="shared" si="14"/>
        <v>466.72803933556946</v>
      </c>
      <c r="AI19" s="103">
        <f t="shared" si="15"/>
        <v>541.34985058706388</v>
      </c>
      <c r="AJ19" s="105"/>
      <c r="AK19" s="105"/>
    </row>
    <row r="20" spans="1:49" x14ac:dyDescent="0.2">
      <c r="A20" s="3" t="str">
        <f t="shared" si="12"/>
        <v>NWT24</v>
      </c>
      <c r="B20" s="3" t="str">
        <f>'Forecast drivers'!B21</f>
        <v>NWT</v>
      </c>
      <c r="C20" s="3">
        <f>'Forecast drivers'!C21</f>
        <v>2024</v>
      </c>
      <c r="D20" s="49">
        <v>60.842865098669108</v>
      </c>
      <c r="E20" s="49">
        <v>248.68879662146892</v>
      </c>
      <c r="F20" s="49">
        <v>166.72047802544628</v>
      </c>
      <c r="G20" s="49">
        <v>309.531661720138</v>
      </c>
      <c r="H20" s="49">
        <v>415.40927464691521</v>
      </c>
      <c r="I20" s="49">
        <v>476.25213974558432</v>
      </c>
      <c r="J20" s="113">
        <v>0.127730966375148</v>
      </c>
      <c r="K20" s="113">
        <v>0</v>
      </c>
      <c r="L20" s="113">
        <v>22.671318076904541</v>
      </c>
      <c r="M20" s="113">
        <v>0.16757242134275899</v>
      </c>
      <c r="N20" s="113">
        <v>0</v>
      </c>
      <c r="O20" s="113">
        <v>0</v>
      </c>
      <c r="P20" s="113">
        <v>0</v>
      </c>
      <c r="Q20" s="113">
        <v>0.29703966374607199</v>
      </c>
      <c r="R20" s="113">
        <v>0</v>
      </c>
      <c r="S20" s="113">
        <v>0</v>
      </c>
      <c r="T20" s="113">
        <v>0</v>
      </c>
      <c r="U20" s="113">
        <v>2.9675995251913001E-2</v>
      </c>
      <c r="V20" s="113">
        <v>0</v>
      </c>
      <c r="W20" s="113">
        <v>0</v>
      </c>
      <c r="X20" s="113">
        <v>0</v>
      </c>
      <c r="Y20" s="113">
        <v>8.1347430230242906E-2</v>
      </c>
      <c r="Z20" s="113">
        <v>0</v>
      </c>
      <c r="AA20" s="113">
        <v>0</v>
      </c>
      <c r="AB20" s="113">
        <v>0</v>
      </c>
      <c r="AC20" s="113">
        <v>1.6388012281613702E-2</v>
      </c>
      <c r="AD20" s="103">
        <v>69.756062946112664</v>
      </c>
      <c r="AE20" s="103">
        <v>456.32335873031792</v>
      </c>
      <c r="AF20" s="103">
        <v>202.86272825059763</v>
      </c>
      <c r="AG20" s="103">
        <f t="shared" si="13"/>
        <v>526.07942167643057</v>
      </c>
      <c r="AH20" s="103">
        <f t="shared" si="14"/>
        <v>659.18608698091555</v>
      </c>
      <c r="AI20" s="103">
        <f t="shared" si="15"/>
        <v>728.94214992702814</v>
      </c>
      <c r="AJ20" s="105"/>
      <c r="AK20" s="105"/>
    </row>
    <row r="21" spans="1:49" x14ac:dyDescent="0.2">
      <c r="A21" s="3" t="str">
        <f t="shared" si="12"/>
        <v>NWT25</v>
      </c>
      <c r="B21" s="3" t="str">
        <f>'Forecast drivers'!B22</f>
        <v>NWT</v>
      </c>
      <c r="C21" s="3">
        <f>'Forecast drivers'!C22</f>
        <v>2025</v>
      </c>
      <c r="D21" s="49">
        <v>63.02985633678923</v>
      </c>
      <c r="E21" s="49">
        <v>222.97563758023347</v>
      </c>
      <c r="F21" s="49">
        <v>166.73037676674858</v>
      </c>
      <c r="G21" s="49">
        <v>286.0054939170227</v>
      </c>
      <c r="H21" s="49">
        <v>389.70601434698204</v>
      </c>
      <c r="I21" s="49">
        <v>452.73587068377128</v>
      </c>
      <c r="J21" s="113">
        <v>0.127730966375148</v>
      </c>
      <c r="K21" s="113">
        <v>0</v>
      </c>
      <c r="L21" s="113">
        <v>22.438018634406038</v>
      </c>
      <c r="M21" s="113">
        <v>0.10661877402315501</v>
      </c>
      <c r="N21" s="113">
        <v>0</v>
      </c>
      <c r="O21" s="113">
        <v>0</v>
      </c>
      <c r="P21" s="113">
        <v>0</v>
      </c>
      <c r="Q21" s="113">
        <v>0.18899294126732999</v>
      </c>
      <c r="R21" s="113">
        <v>0</v>
      </c>
      <c r="S21" s="113">
        <v>0</v>
      </c>
      <c r="T21" s="113">
        <v>0</v>
      </c>
      <c r="U21" s="113">
        <v>1.9337257514626199E-2</v>
      </c>
      <c r="V21" s="113">
        <v>0</v>
      </c>
      <c r="W21" s="113">
        <v>0</v>
      </c>
      <c r="X21" s="113">
        <v>0</v>
      </c>
      <c r="Y21" s="113">
        <v>5.3101423258991101E-2</v>
      </c>
      <c r="Z21" s="113">
        <v>0</v>
      </c>
      <c r="AA21" s="113">
        <v>0</v>
      </c>
      <c r="AB21" s="113">
        <v>0</v>
      </c>
      <c r="AC21" s="113">
        <v>1.06937956398807E-2</v>
      </c>
      <c r="AD21" s="103">
        <v>71.951713981967828</v>
      </c>
      <c r="AE21" s="103">
        <v>366.84942421598271</v>
      </c>
      <c r="AF21" s="103">
        <v>220.13890412868872</v>
      </c>
      <c r="AG21" s="103">
        <f t="shared" si="13"/>
        <v>438.80113819795054</v>
      </c>
      <c r="AH21" s="103">
        <f t="shared" si="14"/>
        <v>586.98832834467146</v>
      </c>
      <c r="AI21" s="103">
        <f t="shared" si="15"/>
        <v>658.94004232663929</v>
      </c>
      <c r="AJ21" s="105"/>
      <c r="AK21" s="105"/>
    </row>
    <row r="22" spans="1:49" x14ac:dyDescent="0.2">
      <c r="A22" s="3" t="str">
        <f t="shared" si="12"/>
        <v>SRN21</v>
      </c>
      <c r="B22" s="3" t="str">
        <f>'Forecast drivers'!B23</f>
        <v>SRN</v>
      </c>
      <c r="C22" s="3">
        <f>'Forecast drivers'!C23</f>
        <v>2021</v>
      </c>
      <c r="D22" s="49">
        <v>34.557000000000002</v>
      </c>
      <c r="E22" s="49">
        <v>144.89099999999999</v>
      </c>
      <c r="F22" s="49">
        <v>111.744</v>
      </c>
      <c r="G22" s="49">
        <v>179.44799999999998</v>
      </c>
      <c r="H22" s="49">
        <v>256.63499999999999</v>
      </c>
      <c r="I22" s="49">
        <v>291.19200000000001</v>
      </c>
      <c r="J22" s="113">
        <v>0</v>
      </c>
      <c r="K22" s="113">
        <v>1.8839999999999999</v>
      </c>
      <c r="L22" s="113">
        <v>19.366</v>
      </c>
      <c r="M22" s="113">
        <v>4.718</v>
      </c>
      <c r="N22" s="113">
        <v>0</v>
      </c>
      <c r="O22" s="113">
        <v>0</v>
      </c>
      <c r="P22" s="113">
        <v>0</v>
      </c>
      <c r="Q22" s="113">
        <v>5.1189999999999998</v>
      </c>
      <c r="R22" s="113">
        <v>0</v>
      </c>
      <c r="S22" s="113">
        <v>0</v>
      </c>
      <c r="T22" s="113">
        <v>0</v>
      </c>
      <c r="U22" s="113">
        <v>0</v>
      </c>
      <c r="V22" s="113">
        <v>0</v>
      </c>
      <c r="W22" s="113">
        <v>0</v>
      </c>
      <c r="X22" s="113">
        <v>0</v>
      </c>
      <c r="Y22" s="113">
        <v>0.79700000000000004</v>
      </c>
      <c r="Z22" s="113">
        <v>0</v>
      </c>
      <c r="AA22" s="113">
        <v>0</v>
      </c>
      <c r="AB22" s="113">
        <v>0</v>
      </c>
      <c r="AC22" s="113">
        <v>0</v>
      </c>
      <c r="AD22" s="103">
        <v>36.275000000000006</v>
      </c>
      <c r="AE22" s="103">
        <v>253.45899999999997</v>
      </c>
      <c r="AF22" s="103">
        <v>122.59899999999999</v>
      </c>
      <c r="AG22" s="103">
        <f t="shared" si="13"/>
        <v>289.73399999999998</v>
      </c>
      <c r="AH22" s="103">
        <f t="shared" si="14"/>
        <v>376.05799999999999</v>
      </c>
      <c r="AI22" s="103">
        <f t="shared" si="15"/>
        <v>412.33299999999997</v>
      </c>
      <c r="AJ22" s="105"/>
      <c r="AK22" s="105"/>
    </row>
    <row r="23" spans="1:49" x14ac:dyDescent="0.2">
      <c r="A23" s="3" t="str">
        <f t="shared" si="12"/>
        <v>SRN22</v>
      </c>
      <c r="B23" s="3" t="str">
        <f>'Forecast drivers'!B24</f>
        <v>SRN</v>
      </c>
      <c r="C23" s="3">
        <f>'Forecast drivers'!C24</f>
        <v>2022</v>
      </c>
      <c r="D23" s="49">
        <v>38.718000000000004</v>
      </c>
      <c r="E23" s="49">
        <v>167.274</v>
      </c>
      <c r="F23" s="49">
        <v>117.468</v>
      </c>
      <c r="G23" s="49">
        <v>205.99200000000002</v>
      </c>
      <c r="H23" s="49">
        <v>284.74200000000002</v>
      </c>
      <c r="I23" s="49">
        <v>323.46000000000004</v>
      </c>
      <c r="J23" s="113">
        <v>0</v>
      </c>
      <c r="K23" s="113">
        <v>1.8839999999999999</v>
      </c>
      <c r="L23" s="113">
        <v>18.774999999999999</v>
      </c>
      <c r="M23" s="113">
        <v>4.7789999999999999</v>
      </c>
      <c r="N23" s="113">
        <v>0</v>
      </c>
      <c r="O23" s="113">
        <v>0</v>
      </c>
      <c r="P23" s="113">
        <v>0</v>
      </c>
      <c r="Q23" s="113">
        <v>5.1879999999999997</v>
      </c>
      <c r="R23" s="113">
        <v>0</v>
      </c>
      <c r="S23" s="113">
        <v>0</v>
      </c>
      <c r="T23" s="113">
        <v>0</v>
      </c>
      <c r="U23" s="113">
        <v>0</v>
      </c>
      <c r="V23" s="113">
        <v>0</v>
      </c>
      <c r="W23" s="113">
        <v>0</v>
      </c>
      <c r="X23" s="113">
        <v>0</v>
      </c>
      <c r="Y23" s="113">
        <v>0.80800000000000005</v>
      </c>
      <c r="Z23" s="113">
        <v>0</v>
      </c>
      <c r="AA23" s="113">
        <v>0</v>
      </c>
      <c r="AB23" s="113">
        <v>0</v>
      </c>
      <c r="AC23" s="113">
        <v>0</v>
      </c>
      <c r="AD23" s="103">
        <v>40.694000000000003</v>
      </c>
      <c r="AE23" s="103">
        <v>345.03000000000003</v>
      </c>
      <c r="AF23" s="103">
        <v>134.13499999999999</v>
      </c>
      <c r="AG23" s="103">
        <f t="shared" si="13"/>
        <v>385.72400000000005</v>
      </c>
      <c r="AH23" s="103">
        <f t="shared" si="14"/>
        <v>479.16500000000002</v>
      </c>
      <c r="AI23" s="103">
        <f t="shared" si="15"/>
        <v>519.85900000000004</v>
      </c>
      <c r="AJ23" s="105"/>
      <c r="AK23" s="105"/>
    </row>
    <row r="24" spans="1:49" x14ac:dyDescent="0.2">
      <c r="A24" s="3" t="str">
        <f t="shared" si="12"/>
        <v>SRN23</v>
      </c>
      <c r="B24" s="3" t="str">
        <f>'Forecast drivers'!B25</f>
        <v>SRN</v>
      </c>
      <c r="C24" s="3">
        <f>'Forecast drivers'!C25</f>
        <v>2023</v>
      </c>
      <c r="D24" s="49">
        <v>54.820999999999998</v>
      </c>
      <c r="E24" s="49">
        <v>210.09</v>
      </c>
      <c r="F24" s="49">
        <v>110.378</v>
      </c>
      <c r="G24" s="49">
        <v>264.911</v>
      </c>
      <c r="H24" s="49">
        <v>320.46800000000002</v>
      </c>
      <c r="I24" s="49">
        <v>375.28899999999999</v>
      </c>
      <c r="J24" s="113">
        <v>0</v>
      </c>
      <c r="K24" s="113">
        <v>1.8839999999999999</v>
      </c>
      <c r="L24" s="113">
        <v>18.513999999999999</v>
      </c>
      <c r="M24" s="113">
        <v>4.8630000000000004</v>
      </c>
      <c r="N24" s="113">
        <v>0</v>
      </c>
      <c r="O24" s="113">
        <v>0</v>
      </c>
      <c r="P24" s="113">
        <v>0</v>
      </c>
      <c r="Q24" s="113">
        <v>5.2789999999999999</v>
      </c>
      <c r="R24" s="113">
        <v>0</v>
      </c>
      <c r="S24" s="113">
        <v>0</v>
      </c>
      <c r="T24" s="113">
        <v>0</v>
      </c>
      <c r="U24" s="113">
        <v>0</v>
      </c>
      <c r="V24" s="113">
        <v>0</v>
      </c>
      <c r="W24" s="113">
        <v>0</v>
      </c>
      <c r="X24" s="113">
        <v>0</v>
      </c>
      <c r="Y24" s="113">
        <v>0.82199999999999995</v>
      </c>
      <c r="Z24" s="113">
        <v>0</v>
      </c>
      <c r="AA24" s="113">
        <v>0</v>
      </c>
      <c r="AB24" s="113">
        <v>0</v>
      </c>
      <c r="AC24" s="113">
        <v>0</v>
      </c>
      <c r="AD24" s="103">
        <v>58.484999999999999</v>
      </c>
      <c r="AE24" s="103">
        <v>359.17200000000003</v>
      </c>
      <c r="AF24" s="103">
        <v>128.09899999999999</v>
      </c>
      <c r="AG24" s="103">
        <f t="shared" si="13"/>
        <v>417.65700000000004</v>
      </c>
      <c r="AH24" s="103">
        <f t="shared" si="14"/>
        <v>487.27100000000002</v>
      </c>
      <c r="AI24" s="103">
        <f t="shared" si="15"/>
        <v>545.75600000000009</v>
      </c>
      <c r="AJ24" s="105"/>
      <c r="AK24" s="105"/>
    </row>
    <row r="25" spans="1:49" x14ac:dyDescent="0.2">
      <c r="A25" s="3" t="str">
        <f t="shared" si="12"/>
        <v>SRN24</v>
      </c>
      <c r="B25" s="3" t="str">
        <f>'Forecast drivers'!B26</f>
        <v>SRN</v>
      </c>
      <c r="C25" s="3">
        <f>'Forecast drivers'!C26</f>
        <v>2024</v>
      </c>
      <c r="D25" s="49">
        <v>34.358000000000004</v>
      </c>
      <c r="E25" s="49">
        <v>219.398</v>
      </c>
      <c r="F25" s="49">
        <v>108.18100000000001</v>
      </c>
      <c r="G25" s="49">
        <v>253.756</v>
      </c>
      <c r="H25" s="49">
        <v>327.57900000000001</v>
      </c>
      <c r="I25" s="49">
        <v>361.93700000000001</v>
      </c>
      <c r="J25" s="113">
        <v>0</v>
      </c>
      <c r="K25" s="113">
        <v>1.8839999999999999</v>
      </c>
      <c r="L25" s="113">
        <v>18.25</v>
      </c>
      <c r="M25" s="113">
        <v>4.8419999999999996</v>
      </c>
      <c r="N25" s="113">
        <v>0</v>
      </c>
      <c r="O25" s="113">
        <v>0</v>
      </c>
      <c r="P25" s="113">
        <v>0</v>
      </c>
      <c r="Q25" s="113">
        <v>5.2560000000000002</v>
      </c>
      <c r="R25" s="113">
        <v>0</v>
      </c>
      <c r="S25" s="113">
        <v>0</v>
      </c>
      <c r="T25" s="113">
        <v>0</v>
      </c>
      <c r="U25" s="113">
        <v>0</v>
      </c>
      <c r="V25" s="113">
        <v>0</v>
      </c>
      <c r="W25" s="113">
        <v>0</v>
      </c>
      <c r="X25" s="113">
        <v>0</v>
      </c>
      <c r="Y25" s="113">
        <v>0.81799999999999995</v>
      </c>
      <c r="Z25" s="113">
        <v>0</v>
      </c>
      <c r="AA25" s="113">
        <v>0</v>
      </c>
      <c r="AB25" s="113">
        <v>0</v>
      </c>
      <c r="AC25" s="113">
        <v>0</v>
      </c>
      <c r="AD25" s="103">
        <v>36.734000000000002</v>
      </c>
      <c r="AE25" s="103">
        <v>289.68399999999997</v>
      </c>
      <c r="AF25" s="103">
        <v>124.85099999999998</v>
      </c>
      <c r="AG25" s="103">
        <f t="shared" si="13"/>
        <v>326.41799999999995</v>
      </c>
      <c r="AH25" s="103">
        <f t="shared" si="14"/>
        <v>414.53499999999997</v>
      </c>
      <c r="AI25" s="103">
        <f t="shared" si="15"/>
        <v>451.26899999999995</v>
      </c>
      <c r="AJ25" s="105"/>
      <c r="AK25" s="105"/>
    </row>
    <row r="26" spans="1:49" x14ac:dyDescent="0.2">
      <c r="A26" s="3" t="str">
        <f t="shared" si="12"/>
        <v>SRN25</v>
      </c>
      <c r="B26" s="3" t="str">
        <f>'Forecast drivers'!B27</f>
        <v>SRN</v>
      </c>
      <c r="C26" s="3">
        <f>'Forecast drivers'!C27</f>
        <v>2025</v>
      </c>
      <c r="D26" s="49">
        <v>29.286000000000001</v>
      </c>
      <c r="E26" s="49">
        <v>174.24499999999998</v>
      </c>
      <c r="F26" s="49">
        <v>99.787999999999997</v>
      </c>
      <c r="G26" s="49">
        <v>203.53099999999998</v>
      </c>
      <c r="H26" s="49">
        <v>274.03299999999996</v>
      </c>
      <c r="I26" s="49">
        <v>303.31899999999996</v>
      </c>
      <c r="J26" s="113">
        <v>0</v>
      </c>
      <c r="K26" s="113">
        <v>1.8839999999999999</v>
      </c>
      <c r="L26" s="113">
        <v>17.702999999999999</v>
      </c>
      <c r="M26" s="113">
        <v>4.8929999999999998</v>
      </c>
      <c r="N26" s="113">
        <v>0</v>
      </c>
      <c r="O26" s="113">
        <v>0</v>
      </c>
      <c r="P26" s="113">
        <v>0</v>
      </c>
      <c r="Q26" s="113">
        <v>5.3120000000000003</v>
      </c>
      <c r="R26" s="113">
        <v>0</v>
      </c>
      <c r="S26" s="113">
        <v>0</v>
      </c>
      <c r="T26" s="113">
        <v>0</v>
      </c>
      <c r="U26" s="113">
        <v>0</v>
      </c>
      <c r="V26" s="113">
        <v>0</v>
      </c>
      <c r="W26" s="113">
        <v>0</v>
      </c>
      <c r="X26" s="113">
        <v>0</v>
      </c>
      <c r="Y26" s="113">
        <v>0.82699999999999996</v>
      </c>
      <c r="Z26" s="113">
        <v>0</v>
      </c>
      <c r="AA26" s="113">
        <v>0</v>
      </c>
      <c r="AB26" s="113">
        <v>0</v>
      </c>
      <c r="AC26" s="113">
        <v>0</v>
      </c>
      <c r="AD26" s="103">
        <v>30.780999999999999</v>
      </c>
      <c r="AE26" s="103">
        <v>234.15799999999999</v>
      </c>
      <c r="AF26" s="103">
        <v>115.589</v>
      </c>
      <c r="AG26" s="103">
        <f t="shared" si="13"/>
        <v>264.93899999999996</v>
      </c>
      <c r="AH26" s="103">
        <f t="shared" si="14"/>
        <v>349.74699999999996</v>
      </c>
      <c r="AI26" s="103">
        <f t="shared" si="15"/>
        <v>380.52799999999996</v>
      </c>
      <c r="AJ26" s="105"/>
      <c r="AK26" s="105"/>
    </row>
    <row r="27" spans="1:49" x14ac:dyDescent="0.2">
      <c r="A27" s="3" t="str">
        <f t="shared" si="12"/>
        <v>SWB21</v>
      </c>
      <c r="B27" s="3" t="str">
        <f>'Forecast drivers'!B28</f>
        <v>SWB</v>
      </c>
      <c r="C27" s="3">
        <f>'Forecast drivers'!C28</f>
        <v>2021</v>
      </c>
      <c r="D27" s="49">
        <v>17.778000000000002</v>
      </c>
      <c r="E27" s="49">
        <v>74.399000000000001</v>
      </c>
      <c r="F27" s="49">
        <v>66.316999999999993</v>
      </c>
      <c r="G27" s="49">
        <v>92.177000000000007</v>
      </c>
      <c r="H27" s="49">
        <v>140.71600000000001</v>
      </c>
      <c r="I27" s="49">
        <v>158.494</v>
      </c>
      <c r="J27" s="113">
        <v>1.59</v>
      </c>
      <c r="K27" s="113">
        <v>0</v>
      </c>
      <c r="L27" s="113">
        <v>8.277000000000001</v>
      </c>
      <c r="M27" s="113">
        <v>1.3460000000000001</v>
      </c>
      <c r="N27" s="113">
        <v>0</v>
      </c>
      <c r="O27" s="113">
        <v>0</v>
      </c>
      <c r="P27" s="113">
        <v>0</v>
      </c>
      <c r="Q27" s="113">
        <v>2.7229999999999999</v>
      </c>
      <c r="R27" s="113">
        <v>0</v>
      </c>
      <c r="S27" s="113">
        <v>0</v>
      </c>
      <c r="T27" s="113">
        <v>0</v>
      </c>
      <c r="U27" s="113">
        <v>0</v>
      </c>
      <c r="V27" s="113">
        <v>0</v>
      </c>
      <c r="W27" s="113">
        <v>0</v>
      </c>
      <c r="X27" s="113">
        <v>0</v>
      </c>
      <c r="Y27" s="113">
        <v>0.73099999999999998</v>
      </c>
      <c r="Z27" s="113">
        <v>0</v>
      </c>
      <c r="AA27" s="113">
        <v>0</v>
      </c>
      <c r="AB27" s="113">
        <v>0</v>
      </c>
      <c r="AC27" s="113">
        <v>7.9000000000000001E-2</v>
      </c>
      <c r="AD27" s="103">
        <v>19.739999999999998</v>
      </c>
      <c r="AE27" s="103">
        <v>113.06100000000001</v>
      </c>
      <c r="AF27" s="103">
        <v>78.890999999999991</v>
      </c>
      <c r="AG27" s="103">
        <f t="shared" si="13"/>
        <v>132.80100000000002</v>
      </c>
      <c r="AH27" s="103">
        <f t="shared" si="14"/>
        <v>191.952</v>
      </c>
      <c r="AI27" s="103">
        <f t="shared" si="15"/>
        <v>211.69200000000001</v>
      </c>
      <c r="AJ27" s="105"/>
      <c r="AK27" s="105"/>
    </row>
    <row r="28" spans="1:49" x14ac:dyDescent="0.2">
      <c r="A28" s="3" t="str">
        <f t="shared" si="12"/>
        <v>SWB22</v>
      </c>
      <c r="B28" s="3" t="str">
        <f>'Forecast drivers'!B29</f>
        <v>SWB</v>
      </c>
      <c r="C28" s="3">
        <f>'Forecast drivers'!C29</f>
        <v>2022</v>
      </c>
      <c r="D28" s="49">
        <v>17.98</v>
      </c>
      <c r="E28" s="49">
        <v>74.644999999999996</v>
      </c>
      <c r="F28" s="49">
        <v>66.421000000000006</v>
      </c>
      <c r="G28" s="49">
        <v>92.625</v>
      </c>
      <c r="H28" s="49">
        <v>141.066</v>
      </c>
      <c r="I28" s="49">
        <v>159.04599999999999</v>
      </c>
      <c r="J28" s="113">
        <v>1.59</v>
      </c>
      <c r="K28" s="113">
        <v>0</v>
      </c>
      <c r="L28" s="113">
        <v>9.5489999999999995</v>
      </c>
      <c r="M28" s="113">
        <v>1.359</v>
      </c>
      <c r="N28" s="113">
        <v>0</v>
      </c>
      <c r="O28" s="113">
        <v>0</v>
      </c>
      <c r="P28" s="113">
        <v>0</v>
      </c>
      <c r="Q28" s="113">
        <v>2.75</v>
      </c>
      <c r="R28" s="113">
        <v>0</v>
      </c>
      <c r="S28" s="113">
        <v>0</v>
      </c>
      <c r="T28" s="113">
        <v>0</v>
      </c>
      <c r="U28" s="113">
        <v>0</v>
      </c>
      <c r="V28" s="113">
        <v>0</v>
      </c>
      <c r="W28" s="113">
        <v>0</v>
      </c>
      <c r="X28" s="113">
        <v>0</v>
      </c>
      <c r="Y28" s="113">
        <v>0.73899999999999999</v>
      </c>
      <c r="Z28" s="113">
        <v>0</v>
      </c>
      <c r="AA28" s="113">
        <v>0</v>
      </c>
      <c r="AB28" s="113">
        <v>0</v>
      </c>
      <c r="AC28" s="113">
        <v>0.08</v>
      </c>
      <c r="AD28" s="103">
        <v>20.142999999999997</v>
      </c>
      <c r="AE28" s="103">
        <v>109.758</v>
      </c>
      <c r="AF28" s="103">
        <v>78.547999999999988</v>
      </c>
      <c r="AG28" s="103">
        <f t="shared" si="13"/>
        <v>129.90099999999998</v>
      </c>
      <c r="AH28" s="103">
        <f t="shared" si="14"/>
        <v>188.30599999999998</v>
      </c>
      <c r="AI28" s="103">
        <f t="shared" si="15"/>
        <v>208.44899999999996</v>
      </c>
      <c r="AJ28" s="105"/>
      <c r="AK28" s="105"/>
    </row>
    <row r="29" spans="1:49" x14ac:dyDescent="0.2">
      <c r="A29" s="3" t="str">
        <f t="shared" si="12"/>
        <v>SWB23</v>
      </c>
      <c r="B29" s="3" t="str">
        <f>'Forecast drivers'!B30</f>
        <v>SWB</v>
      </c>
      <c r="C29" s="3">
        <f>'Forecast drivers'!C30</f>
        <v>2023</v>
      </c>
      <c r="D29" s="49">
        <v>18.094000000000001</v>
      </c>
      <c r="E29" s="49">
        <v>70.317999999999998</v>
      </c>
      <c r="F29" s="49">
        <v>62.54</v>
      </c>
      <c r="G29" s="49">
        <v>88.412000000000006</v>
      </c>
      <c r="H29" s="49">
        <v>132.858</v>
      </c>
      <c r="I29" s="49">
        <v>150.952</v>
      </c>
      <c r="J29" s="113">
        <v>1.59</v>
      </c>
      <c r="K29" s="113">
        <v>0</v>
      </c>
      <c r="L29" s="113">
        <v>10.686</v>
      </c>
      <c r="M29" s="113">
        <v>0</v>
      </c>
      <c r="N29" s="113">
        <v>0</v>
      </c>
      <c r="O29" s="113">
        <v>0</v>
      </c>
      <c r="P29" s="113">
        <v>0</v>
      </c>
      <c r="Q29" s="113">
        <v>0</v>
      </c>
      <c r="R29" s="113">
        <v>0</v>
      </c>
      <c r="S29" s="113">
        <v>0</v>
      </c>
      <c r="T29" s="113">
        <v>0</v>
      </c>
      <c r="U29" s="113">
        <v>0</v>
      </c>
      <c r="V29" s="113">
        <v>0</v>
      </c>
      <c r="W29" s="113">
        <v>0</v>
      </c>
      <c r="X29" s="113">
        <v>0</v>
      </c>
      <c r="Y29" s="113">
        <v>0</v>
      </c>
      <c r="Z29" s="113">
        <v>0</v>
      </c>
      <c r="AA29" s="113">
        <v>0</v>
      </c>
      <c r="AB29" s="113">
        <v>0</v>
      </c>
      <c r="AC29" s="113">
        <v>0</v>
      </c>
      <c r="AD29" s="103">
        <v>20.808</v>
      </c>
      <c r="AE29" s="103">
        <v>102.364</v>
      </c>
      <c r="AF29" s="103">
        <v>70.086999999999989</v>
      </c>
      <c r="AG29" s="103">
        <f t="shared" si="13"/>
        <v>123.172</v>
      </c>
      <c r="AH29" s="103">
        <f t="shared" si="14"/>
        <v>172.45099999999999</v>
      </c>
      <c r="AI29" s="103">
        <f t="shared" si="15"/>
        <v>193.25899999999999</v>
      </c>
      <c r="AJ29" s="105"/>
      <c r="AK29" s="105"/>
    </row>
    <row r="30" spans="1:49" x14ac:dyDescent="0.2">
      <c r="A30" s="3" t="str">
        <f t="shared" si="12"/>
        <v>SWB24</v>
      </c>
      <c r="B30" s="3" t="str">
        <f>'Forecast drivers'!B31</f>
        <v>SWB</v>
      </c>
      <c r="C30" s="3">
        <f>'Forecast drivers'!C31</f>
        <v>2024</v>
      </c>
      <c r="D30" s="49">
        <v>18.04</v>
      </c>
      <c r="E30" s="49">
        <v>71.337000000000003</v>
      </c>
      <c r="F30" s="49">
        <v>62.280999999999999</v>
      </c>
      <c r="G30" s="49">
        <v>89.37700000000001</v>
      </c>
      <c r="H30" s="49">
        <v>133.61799999999999</v>
      </c>
      <c r="I30" s="49">
        <v>151.65799999999999</v>
      </c>
      <c r="J30" s="113">
        <v>1.59</v>
      </c>
      <c r="K30" s="113">
        <v>0</v>
      </c>
      <c r="L30" s="113">
        <v>10.744</v>
      </c>
      <c r="M30" s="113">
        <v>0</v>
      </c>
      <c r="N30" s="113">
        <v>0</v>
      </c>
      <c r="O30" s="113">
        <v>0</v>
      </c>
      <c r="P30" s="113">
        <v>0</v>
      </c>
      <c r="Q30" s="113">
        <v>0</v>
      </c>
      <c r="R30" s="113">
        <v>0</v>
      </c>
      <c r="S30" s="113">
        <v>0</v>
      </c>
      <c r="T30" s="113">
        <v>0</v>
      </c>
      <c r="U30" s="113">
        <v>0</v>
      </c>
      <c r="V30" s="113">
        <v>0</v>
      </c>
      <c r="W30" s="113">
        <v>0</v>
      </c>
      <c r="X30" s="113">
        <v>0</v>
      </c>
      <c r="Y30" s="113">
        <v>0</v>
      </c>
      <c r="Z30" s="113">
        <v>0</v>
      </c>
      <c r="AA30" s="113">
        <v>0</v>
      </c>
      <c r="AB30" s="113">
        <v>0</v>
      </c>
      <c r="AC30" s="113">
        <v>0</v>
      </c>
      <c r="AD30" s="103">
        <v>20.477999999999998</v>
      </c>
      <c r="AE30" s="103">
        <v>99.835999999999999</v>
      </c>
      <c r="AF30" s="103">
        <v>71.290999999999997</v>
      </c>
      <c r="AG30" s="103">
        <f t="shared" si="13"/>
        <v>120.31399999999999</v>
      </c>
      <c r="AH30" s="103">
        <f t="shared" si="14"/>
        <v>171.12700000000001</v>
      </c>
      <c r="AI30" s="103">
        <f t="shared" si="15"/>
        <v>191.60499999999999</v>
      </c>
      <c r="AJ30" s="105"/>
      <c r="AK30" s="105"/>
    </row>
    <row r="31" spans="1:49" x14ac:dyDescent="0.2">
      <c r="A31" s="3" t="str">
        <f t="shared" si="12"/>
        <v>SWB25</v>
      </c>
      <c r="B31" s="3" t="str">
        <f>'Forecast drivers'!B32</f>
        <v>SWB</v>
      </c>
      <c r="C31" s="3">
        <f>'Forecast drivers'!C32</f>
        <v>2025</v>
      </c>
      <c r="D31" s="49">
        <v>17.988</v>
      </c>
      <c r="E31" s="49">
        <v>72.352000000000004</v>
      </c>
      <c r="F31" s="49">
        <v>59.953999999999994</v>
      </c>
      <c r="G31" s="49">
        <v>90.34</v>
      </c>
      <c r="H31" s="49">
        <v>132.30599999999998</v>
      </c>
      <c r="I31" s="49">
        <v>150.29399999999998</v>
      </c>
      <c r="J31" s="113">
        <v>1.59</v>
      </c>
      <c r="K31" s="113">
        <v>0</v>
      </c>
      <c r="L31" s="113">
        <v>10.673</v>
      </c>
      <c r="M31" s="113">
        <v>0</v>
      </c>
      <c r="N31" s="113">
        <v>0</v>
      </c>
      <c r="O31" s="113">
        <v>0</v>
      </c>
      <c r="P31" s="113">
        <v>0</v>
      </c>
      <c r="Q31" s="113">
        <v>0</v>
      </c>
      <c r="R31" s="113">
        <v>0</v>
      </c>
      <c r="S31" s="113">
        <v>0</v>
      </c>
      <c r="T31" s="113">
        <v>0</v>
      </c>
      <c r="U31" s="113">
        <v>0</v>
      </c>
      <c r="V31" s="113">
        <v>0</v>
      </c>
      <c r="W31" s="113">
        <v>0</v>
      </c>
      <c r="X31" s="113">
        <v>0</v>
      </c>
      <c r="Y31" s="113">
        <v>0</v>
      </c>
      <c r="Z31" s="113">
        <v>0</v>
      </c>
      <c r="AA31" s="113">
        <v>0</v>
      </c>
      <c r="AB31" s="113">
        <v>0</v>
      </c>
      <c r="AC31" s="113">
        <v>0</v>
      </c>
      <c r="AD31" s="103">
        <v>19.954000000000001</v>
      </c>
      <c r="AE31" s="103">
        <v>89.86</v>
      </c>
      <c r="AF31" s="103">
        <v>68.440999999999988</v>
      </c>
      <c r="AG31" s="103">
        <f t="shared" si="13"/>
        <v>109.81399999999999</v>
      </c>
      <c r="AH31" s="103">
        <f t="shared" si="14"/>
        <v>158.30099999999999</v>
      </c>
      <c r="AI31" s="103">
        <f t="shared" si="15"/>
        <v>178.255</v>
      </c>
      <c r="AJ31" s="105"/>
      <c r="AK31" s="105"/>
    </row>
    <row r="32" spans="1:49" x14ac:dyDescent="0.2">
      <c r="A32" s="3" t="str">
        <f t="shared" si="12"/>
        <v>TMS21</v>
      </c>
      <c r="B32" s="3" t="str">
        <f>'Forecast drivers'!B33</f>
        <v>TMS</v>
      </c>
      <c r="C32" s="3">
        <f>'Forecast drivers'!C33</f>
        <v>2021</v>
      </c>
      <c r="D32" s="49">
        <v>98.186224534567657</v>
      </c>
      <c r="E32" s="49">
        <v>346.70581571100774</v>
      </c>
      <c r="F32" s="49">
        <v>350.43292199959564</v>
      </c>
      <c r="G32" s="49">
        <v>444.8920402455754</v>
      </c>
      <c r="H32" s="49">
        <v>697.13873771060344</v>
      </c>
      <c r="I32" s="49">
        <v>795.32496224517104</v>
      </c>
      <c r="J32" s="113">
        <v>3.5771075764204601</v>
      </c>
      <c r="K32" s="113">
        <v>0</v>
      </c>
      <c r="L32" s="113">
        <v>48.966587164225679</v>
      </c>
      <c r="M32" s="113">
        <v>3.64763725345539</v>
      </c>
      <c r="N32" s="113">
        <v>0.56744694495063897</v>
      </c>
      <c r="O32" s="113">
        <v>0</v>
      </c>
      <c r="P32" s="113">
        <v>0</v>
      </c>
      <c r="Q32" s="113">
        <v>3.9195380786049898</v>
      </c>
      <c r="R32" s="113">
        <v>2.0925375410327199E-2</v>
      </c>
      <c r="S32" s="113">
        <v>0</v>
      </c>
      <c r="T32" s="113">
        <v>0</v>
      </c>
      <c r="U32" s="113">
        <v>0.17101527052670301</v>
      </c>
      <c r="V32" s="113">
        <v>6.64688395386865E-2</v>
      </c>
      <c r="W32" s="113">
        <v>0</v>
      </c>
      <c r="X32" s="113">
        <v>0</v>
      </c>
      <c r="Y32" s="113">
        <v>1.96711888586523</v>
      </c>
      <c r="Z32" s="113">
        <v>3.56962286411465E-2</v>
      </c>
      <c r="AA32" s="113">
        <v>0</v>
      </c>
      <c r="AB32" s="113">
        <v>0</v>
      </c>
      <c r="AC32" s="113">
        <v>0.17253469735034599</v>
      </c>
      <c r="AD32" s="103">
        <v>109.43655202026757</v>
      </c>
      <c r="AE32" s="103">
        <v>413.86750365750839</v>
      </c>
      <c r="AF32" s="103">
        <v>358.9969384137608</v>
      </c>
      <c r="AG32" s="103">
        <f t="shared" si="13"/>
        <v>523.30405567777598</v>
      </c>
      <c r="AH32" s="103">
        <f t="shared" si="14"/>
        <v>772.8644420712692</v>
      </c>
      <c r="AI32" s="103">
        <f t="shared" si="15"/>
        <v>882.30099409153672</v>
      </c>
      <c r="AJ32" s="105"/>
      <c r="AK32" s="105"/>
    </row>
    <row r="33" spans="1:37" x14ac:dyDescent="0.2">
      <c r="A33" s="3" t="str">
        <f t="shared" si="12"/>
        <v>TMS22</v>
      </c>
      <c r="B33" s="3" t="str">
        <f>'Forecast drivers'!B34</f>
        <v>TMS</v>
      </c>
      <c r="C33" s="3">
        <f>'Forecast drivers'!C34</f>
        <v>2022</v>
      </c>
      <c r="D33" s="49">
        <v>133.73248677522025</v>
      </c>
      <c r="E33" s="49">
        <v>424.4210289213641</v>
      </c>
      <c r="F33" s="49">
        <v>349.1409246038827</v>
      </c>
      <c r="G33" s="49">
        <v>558.15351569658435</v>
      </c>
      <c r="H33" s="49">
        <v>773.56195352524674</v>
      </c>
      <c r="I33" s="49">
        <v>907.29444030046693</v>
      </c>
      <c r="J33" s="113">
        <v>3.45062047502973</v>
      </c>
      <c r="K33" s="113">
        <v>0</v>
      </c>
      <c r="L33" s="113">
        <v>45.889976516098749</v>
      </c>
      <c r="M33" s="113">
        <v>3.6637061400344901</v>
      </c>
      <c r="N33" s="113">
        <v>0.61195832539553496</v>
      </c>
      <c r="O33" s="113">
        <v>0</v>
      </c>
      <c r="P33" s="113">
        <v>0</v>
      </c>
      <c r="Q33" s="113">
        <v>3.93680476617594</v>
      </c>
      <c r="R33" s="113">
        <v>2.2566792910464401E-2</v>
      </c>
      <c r="S33" s="113">
        <v>0</v>
      </c>
      <c r="T33" s="113">
        <v>0</v>
      </c>
      <c r="U33" s="113">
        <v>0.171768641762504</v>
      </c>
      <c r="V33" s="113">
        <v>7.1682753950886899E-2</v>
      </c>
      <c r="W33" s="113">
        <v>0</v>
      </c>
      <c r="X33" s="113">
        <v>0</v>
      </c>
      <c r="Y33" s="113">
        <v>1.9757846078293899</v>
      </c>
      <c r="Z33" s="113">
        <v>3.8496293788439301E-2</v>
      </c>
      <c r="AA33" s="113">
        <v>0</v>
      </c>
      <c r="AB33" s="113">
        <v>0</v>
      </c>
      <c r="AC33" s="113">
        <v>0.173294762096382</v>
      </c>
      <c r="AD33" s="103">
        <v>152.24506870096246</v>
      </c>
      <c r="AE33" s="103">
        <v>495.26457778542249</v>
      </c>
      <c r="AF33" s="103">
        <v>359.93200107384149</v>
      </c>
      <c r="AG33" s="103">
        <f t="shared" si="13"/>
        <v>647.50964648638501</v>
      </c>
      <c r="AH33" s="103">
        <f t="shared" si="14"/>
        <v>855.19657885926404</v>
      </c>
      <c r="AI33" s="103">
        <f t="shared" si="15"/>
        <v>1007.4416475602266</v>
      </c>
      <c r="AJ33" s="105"/>
      <c r="AK33" s="105"/>
    </row>
    <row r="34" spans="1:37" x14ac:dyDescent="0.2">
      <c r="A34" s="3" t="str">
        <f t="shared" si="12"/>
        <v>TMS23</v>
      </c>
      <c r="B34" s="3" t="str">
        <f>'Forecast drivers'!B35</f>
        <v>TMS</v>
      </c>
      <c r="C34" s="3">
        <f>'Forecast drivers'!C35</f>
        <v>2023</v>
      </c>
      <c r="D34" s="49">
        <v>135.08875968840556</v>
      </c>
      <c r="E34" s="49">
        <v>402.87979107062137</v>
      </c>
      <c r="F34" s="49">
        <v>334.54108820368253</v>
      </c>
      <c r="G34" s="49">
        <v>537.96855075902693</v>
      </c>
      <c r="H34" s="49">
        <v>737.42087927430384</v>
      </c>
      <c r="I34" s="49">
        <v>872.50963896270946</v>
      </c>
      <c r="J34" s="113">
        <v>3.4654009259987801</v>
      </c>
      <c r="K34" s="113">
        <v>0</v>
      </c>
      <c r="L34" s="113">
        <v>35.73881216491116</v>
      </c>
      <c r="M34" s="113">
        <v>3.6958439131926899</v>
      </c>
      <c r="N34" s="113">
        <v>0.65171195583544095</v>
      </c>
      <c r="O34" s="113">
        <v>0</v>
      </c>
      <c r="P34" s="113">
        <v>0</v>
      </c>
      <c r="Q34" s="113">
        <v>3.9713381413178301</v>
      </c>
      <c r="R34" s="113">
        <v>2.40327619288557E-2</v>
      </c>
      <c r="S34" s="113">
        <v>0</v>
      </c>
      <c r="T34" s="113">
        <v>0</v>
      </c>
      <c r="U34" s="113">
        <v>0.17327538423410499</v>
      </c>
      <c r="V34" s="113">
        <v>7.63393614210712E-2</v>
      </c>
      <c r="W34" s="113">
        <v>0</v>
      </c>
      <c r="X34" s="113">
        <v>0</v>
      </c>
      <c r="Y34" s="113">
        <v>1.99311605175772</v>
      </c>
      <c r="Z34" s="113">
        <v>4.0997064466871597E-2</v>
      </c>
      <c r="AA34" s="113">
        <v>0</v>
      </c>
      <c r="AB34" s="113">
        <v>0</v>
      </c>
      <c r="AC34" s="113">
        <v>0.17481489158845501</v>
      </c>
      <c r="AD34" s="103">
        <v>153.62137673900264</v>
      </c>
      <c r="AE34" s="103">
        <v>527.6113194962237</v>
      </c>
      <c r="AF34" s="103">
        <v>354.61492850433171</v>
      </c>
      <c r="AG34" s="103">
        <f t="shared" si="13"/>
        <v>681.23269623522629</v>
      </c>
      <c r="AH34" s="103">
        <f t="shared" si="14"/>
        <v>882.22624800055542</v>
      </c>
      <c r="AI34" s="103">
        <f t="shared" si="15"/>
        <v>1035.8476247395579</v>
      </c>
      <c r="AJ34" s="105"/>
      <c r="AK34" s="105"/>
    </row>
    <row r="35" spans="1:37" x14ac:dyDescent="0.2">
      <c r="A35" s="3" t="str">
        <f t="shared" si="12"/>
        <v>TMS24</v>
      </c>
      <c r="B35" s="3" t="str">
        <f>'Forecast drivers'!B36</f>
        <v>TMS</v>
      </c>
      <c r="C35" s="3">
        <f>'Forecast drivers'!C36</f>
        <v>2024</v>
      </c>
      <c r="D35" s="49">
        <v>114.56114176150501</v>
      </c>
      <c r="E35" s="49">
        <v>373.25813794071934</v>
      </c>
      <c r="F35" s="49">
        <v>307.0370093285581</v>
      </c>
      <c r="G35" s="49">
        <v>487.81927970222432</v>
      </c>
      <c r="H35" s="49">
        <v>680.29514726927744</v>
      </c>
      <c r="I35" s="49">
        <v>794.85628903078248</v>
      </c>
      <c r="J35" s="113">
        <v>3.43372934315525</v>
      </c>
      <c r="K35" s="113">
        <v>0</v>
      </c>
      <c r="L35" s="113">
        <v>32.540125176226908</v>
      </c>
      <c r="M35" s="113">
        <v>3.7279816863508901</v>
      </c>
      <c r="N35" s="113">
        <v>0.67544586521416605</v>
      </c>
      <c r="O35" s="113">
        <v>0</v>
      </c>
      <c r="P35" s="113">
        <v>0</v>
      </c>
      <c r="Q35" s="113">
        <v>4.0058715164597301</v>
      </c>
      <c r="R35" s="113">
        <v>2.4907982014405201E-2</v>
      </c>
      <c r="S35" s="113">
        <v>0</v>
      </c>
      <c r="T35" s="113">
        <v>0</v>
      </c>
      <c r="U35" s="113">
        <v>0.174782126705706</v>
      </c>
      <c r="V35" s="113">
        <v>7.91194722810519E-2</v>
      </c>
      <c r="W35" s="113">
        <v>0</v>
      </c>
      <c r="X35" s="113">
        <v>0</v>
      </c>
      <c r="Y35" s="113">
        <v>2.0104474956860501</v>
      </c>
      <c r="Z35" s="113">
        <v>4.2490086965750101E-2</v>
      </c>
      <c r="AA35" s="113">
        <v>0</v>
      </c>
      <c r="AB35" s="113">
        <v>0</v>
      </c>
      <c r="AC35" s="113">
        <v>0.17633502108052801</v>
      </c>
      <c r="AD35" s="103">
        <v>133.22874440056634</v>
      </c>
      <c r="AE35" s="103">
        <v>526.81809780275807</v>
      </c>
      <c r="AF35" s="103">
        <v>331.11779473156173</v>
      </c>
      <c r="AG35" s="103">
        <f t="shared" si="13"/>
        <v>660.04684220332445</v>
      </c>
      <c r="AH35" s="103">
        <f t="shared" si="14"/>
        <v>857.93589253431981</v>
      </c>
      <c r="AI35" s="103">
        <f t="shared" si="15"/>
        <v>991.16463693488618</v>
      </c>
      <c r="AJ35" s="105"/>
      <c r="AK35" s="105"/>
    </row>
    <row r="36" spans="1:37" x14ac:dyDescent="0.2">
      <c r="A36" s="3" t="str">
        <f t="shared" si="12"/>
        <v>TMS25</v>
      </c>
      <c r="B36" s="3" t="str">
        <f>'Forecast drivers'!B37</f>
        <v>TMS</v>
      </c>
      <c r="C36" s="3">
        <f>'Forecast drivers'!C37</f>
        <v>2025</v>
      </c>
      <c r="D36" s="49">
        <v>90.470676871604795</v>
      </c>
      <c r="E36" s="49">
        <v>340.8400006910486</v>
      </c>
      <c r="F36" s="49">
        <v>282.16912527537431</v>
      </c>
      <c r="G36" s="49">
        <v>431.31067756265338</v>
      </c>
      <c r="H36" s="49">
        <v>623.00912596642297</v>
      </c>
      <c r="I36" s="49">
        <v>713.47980283802781</v>
      </c>
      <c r="J36" s="113">
        <v>3.3912134406355898</v>
      </c>
      <c r="K36" s="113">
        <v>0</v>
      </c>
      <c r="L36" s="113">
        <v>27.49063287676065</v>
      </c>
      <c r="M36" s="113">
        <v>3.7440505729299902</v>
      </c>
      <c r="N36" s="113">
        <v>0.69757669531349797</v>
      </c>
      <c r="O36" s="113">
        <v>0</v>
      </c>
      <c r="P36" s="113">
        <v>0</v>
      </c>
      <c r="Q36" s="113">
        <v>4.0231382040306798</v>
      </c>
      <c r="R36" s="113">
        <v>2.5724086378155001E-2</v>
      </c>
      <c r="S36" s="113">
        <v>0</v>
      </c>
      <c r="T36" s="113">
        <v>0</v>
      </c>
      <c r="U36" s="113">
        <v>0.175535497941506</v>
      </c>
      <c r="V36" s="113">
        <v>8.1711803789433601E-2</v>
      </c>
      <c r="W36" s="113">
        <v>0</v>
      </c>
      <c r="X36" s="113">
        <v>0</v>
      </c>
      <c r="Y36" s="113">
        <v>2.0191132176502098</v>
      </c>
      <c r="Z36" s="113">
        <v>4.3882264998029101E-2</v>
      </c>
      <c r="AA36" s="113">
        <v>0</v>
      </c>
      <c r="AB36" s="113">
        <v>0</v>
      </c>
      <c r="AC36" s="113">
        <v>0.177095085826566</v>
      </c>
      <c r="AD36" s="103">
        <v>109.12332938861617</v>
      </c>
      <c r="AE36" s="103">
        <v>470.80349951743682</v>
      </c>
      <c r="AF36" s="103">
        <v>298.10750030005204</v>
      </c>
      <c r="AG36" s="103">
        <f t="shared" si="13"/>
        <v>579.92682890605295</v>
      </c>
      <c r="AH36" s="103">
        <f t="shared" si="14"/>
        <v>768.9109998174888</v>
      </c>
      <c r="AI36" s="103">
        <f t="shared" si="15"/>
        <v>878.03432920610499</v>
      </c>
      <c r="AJ36" s="105"/>
      <c r="AK36" s="105"/>
    </row>
    <row r="37" spans="1:37" x14ac:dyDescent="0.2">
      <c r="A37" s="3" t="str">
        <f t="shared" si="12"/>
        <v>WSH21</v>
      </c>
      <c r="B37" s="3" t="str">
        <f>'Forecast drivers'!B38</f>
        <v>WSH</v>
      </c>
      <c r="C37" s="3">
        <f>'Forecast drivers'!C38</f>
        <v>2021</v>
      </c>
      <c r="D37" s="49">
        <v>23.757000000000001</v>
      </c>
      <c r="E37" s="49">
        <v>108.92400000000001</v>
      </c>
      <c r="F37" s="49">
        <v>94.361000000000004</v>
      </c>
      <c r="G37" s="49">
        <v>132.68100000000001</v>
      </c>
      <c r="H37" s="49">
        <v>203.28500000000003</v>
      </c>
      <c r="I37" s="49">
        <v>227.04200000000003</v>
      </c>
      <c r="J37" s="113">
        <v>0.19900000000000001</v>
      </c>
      <c r="K37" s="113">
        <v>0</v>
      </c>
      <c r="L37" s="113">
        <v>9.6890000000000001</v>
      </c>
      <c r="M37" s="113">
        <v>0.41</v>
      </c>
      <c r="N37" s="113">
        <v>0</v>
      </c>
      <c r="O37" s="113">
        <v>0</v>
      </c>
      <c r="P37" s="113">
        <v>0</v>
      </c>
      <c r="Q37" s="113">
        <v>0.622</v>
      </c>
      <c r="R37" s="113">
        <v>0</v>
      </c>
      <c r="S37" s="113">
        <v>0</v>
      </c>
      <c r="T37" s="113">
        <v>0</v>
      </c>
      <c r="U37" s="113">
        <v>2.3E-2</v>
      </c>
      <c r="V37" s="113">
        <v>0</v>
      </c>
      <c r="W37" s="113">
        <v>0</v>
      </c>
      <c r="X37" s="113">
        <v>0</v>
      </c>
      <c r="Y37" s="113">
        <v>0.126</v>
      </c>
      <c r="Z37" s="113">
        <v>0</v>
      </c>
      <c r="AA37" s="113">
        <v>0</v>
      </c>
      <c r="AB37" s="113">
        <v>0</v>
      </c>
      <c r="AC37" s="113">
        <v>4.3999999999999997E-2</v>
      </c>
      <c r="AD37" s="103">
        <v>25.700999999999997</v>
      </c>
      <c r="AE37" s="103">
        <v>141.55499999999998</v>
      </c>
      <c r="AF37" s="103">
        <v>199.99099999999999</v>
      </c>
      <c r="AG37" s="103">
        <f t="shared" si="13"/>
        <v>167.25599999999997</v>
      </c>
      <c r="AH37" s="103">
        <f t="shared" si="14"/>
        <v>341.54599999999994</v>
      </c>
      <c r="AI37" s="103">
        <f t="shared" si="15"/>
        <v>367.24699999999996</v>
      </c>
      <c r="AJ37" s="105"/>
      <c r="AK37" s="105"/>
    </row>
    <row r="38" spans="1:37" x14ac:dyDescent="0.2">
      <c r="A38" s="3" t="str">
        <f t="shared" si="12"/>
        <v>WSH22</v>
      </c>
      <c r="B38" s="3" t="str">
        <f>'Forecast drivers'!B39</f>
        <v>WSH</v>
      </c>
      <c r="C38" s="3">
        <f>'Forecast drivers'!C39</f>
        <v>2022</v>
      </c>
      <c r="D38" s="49">
        <v>23.198</v>
      </c>
      <c r="E38" s="49">
        <v>108.84100000000001</v>
      </c>
      <c r="F38" s="49">
        <v>97.831000000000003</v>
      </c>
      <c r="G38" s="49">
        <v>132.03900000000002</v>
      </c>
      <c r="H38" s="49">
        <v>206.67200000000003</v>
      </c>
      <c r="I38" s="49">
        <v>229.87000000000003</v>
      </c>
      <c r="J38" s="113">
        <v>0.19900000000000001</v>
      </c>
      <c r="K38" s="113">
        <v>0</v>
      </c>
      <c r="L38" s="113">
        <v>9.782</v>
      </c>
      <c r="M38" s="113">
        <v>0.40200000000000002</v>
      </c>
      <c r="N38" s="113">
        <v>0</v>
      </c>
      <c r="O38" s="113">
        <v>0</v>
      </c>
      <c r="P38" s="113">
        <v>0</v>
      </c>
      <c r="Q38" s="113">
        <v>0.61</v>
      </c>
      <c r="R38" s="113">
        <v>0</v>
      </c>
      <c r="S38" s="113">
        <v>0</v>
      </c>
      <c r="T38" s="113">
        <v>0</v>
      </c>
      <c r="U38" s="113">
        <v>2.1999999999999999E-2</v>
      </c>
      <c r="V38" s="113">
        <v>0</v>
      </c>
      <c r="W38" s="113">
        <v>0</v>
      </c>
      <c r="X38" s="113">
        <v>0</v>
      </c>
      <c r="Y38" s="113">
        <v>0.123</v>
      </c>
      <c r="Z38" s="113">
        <v>0</v>
      </c>
      <c r="AA38" s="113">
        <v>0</v>
      </c>
      <c r="AB38" s="113">
        <v>0</v>
      </c>
      <c r="AC38" s="113">
        <v>4.4999999999999998E-2</v>
      </c>
      <c r="AD38" s="103">
        <v>25.306000000000001</v>
      </c>
      <c r="AE38" s="103">
        <v>145.57499999999999</v>
      </c>
      <c r="AF38" s="103">
        <v>130.24100000000001</v>
      </c>
      <c r="AG38" s="103">
        <f t="shared" si="13"/>
        <v>170.881</v>
      </c>
      <c r="AH38" s="103">
        <f t="shared" si="14"/>
        <v>275.81600000000003</v>
      </c>
      <c r="AI38" s="103">
        <f t="shared" si="15"/>
        <v>301.12200000000001</v>
      </c>
      <c r="AJ38" s="105"/>
      <c r="AK38" s="105"/>
    </row>
    <row r="39" spans="1:37" x14ac:dyDescent="0.2">
      <c r="A39" s="3" t="str">
        <f t="shared" si="12"/>
        <v>WSH23</v>
      </c>
      <c r="B39" s="3" t="str">
        <f>'Forecast drivers'!B40</f>
        <v>WSH</v>
      </c>
      <c r="C39" s="3">
        <f>'Forecast drivers'!C40</f>
        <v>2023</v>
      </c>
      <c r="D39" s="49">
        <v>23.457000000000001</v>
      </c>
      <c r="E39" s="49">
        <v>111.83900000000001</v>
      </c>
      <c r="F39" s="49">
        <v>98.491</v>
      </c>
      <c r="G39" s="49">
        <v>135.29600000000002</v>
      </c>
      <c r="H39" s="49">
        <v>210.33</v>
      </c>
      <c r="I39" s="49">
        <v>233.78700000000001</v>
      </c>
      <c r="J39" s="113">
        <v>0.19900000000000001</v>
      </c>
      <c r="K39" s="113">
        <v>0</v>
      </c>
      <c r="L39" s="113">
        <v>9.870000000000001</v>
      </c>
      <c r="M39" s="113">
        <v>0.39500000000000002</v>
      </c>
      <c r="N39" s="113">
        <v>0</v>
      </c>
      <c r="O39" s="113">
        <v>0</v>
      </c>
      <c r="P39" s="113">
        <v>0</v>
      </c>
      <c r="Q39" s="113">
        <v>0.59699999999999998</v>
      </c>
      <c r="R39" s="113">
        <v>0</v>
      </c>
      <c r="S39" s="113">
        <v>0</v>
      </c>
      <c r="T39" s="113">
        <v>0</v>
      </c>
      <c r="U39" s="113">
        <v>2.1999999999999999E-2</v>
      </c>
      <c r="V39" s="113">
        <v>0</v>
      </c>
      <c r="W39" s="113">
        <v>0</v>
      </c>
      <c r="X39" s="113">
        <v>0</v>
      </c>
      <c r="Y39" s="113">
        <v>0.122</v>
      </c>
      <c r="Z39" s="113">
        <v>0</v>
      </c>
      <c r="AA39" s="113">
        <v>0</v>
      </c>
      <c r="AB39" s="113">
        <v>0</v>
      </c>
      <c r="AC39" s="113">
        <v>4.3999999999999997E-2</v>
      </c>
      <c r="AD39" s="103">
        <v>25.556000000000001</v>
      </c>
      <c r="AE39" s="103">
        <v>155.82599999999999</v>
      </c>
      <c r="AF39" s="103">
        <v>129.49499999999998</v>
      </c>
      <c r="AG39" s="103">
        <f t="shared" si="13"/>
        <v>181.38200000000001</v>
      </c>
      <c r="AH39" s="103">
        <f t="shared" si="14"/>
        <v>285.32099999999997</v>
      </c>
      <c r="AI39" s="103">
        <f t="shared" si="15"/>
        <v>310.87699999999995</v>
      </c>
      <c r="AJ39" s="105"/>
      <c r="AK39" s="105"/>
    </row>
    <row r="40" spans="1:37" x14ac:dyDescent="0.2">
      <c r="A40" s="3" t="str">
        <f t="shared" si="12"/>
        <v>WSH24</v>
      </c>
      <c r="B40" s="3" t="str">
        <f>'Forecast drivers'!B41</f>
        <v>WSH</v>
      </c>
      <c r="C40" s="3">
        <f>'Forecast drivers'!C41</f>
        <v>2024</v>
      </c>
      <c r="D40" s="49">
        <v>22.681999999999999</v>
      </c>
      <c r="E40" s="49">
        <v>109.95</v>
      </c>
      <c r="F40" s="49">
        <v>94.557000000000016</v>
      </c>
      <c r="G40" s="49">
        <v>132.63200000000001</v>
      </c>
      <c r="H40" s="49">
        <v>204.50700000000001</v>
      </c>
      <c r="I40" s="49">
        <v>227.18899999999999</v>
      </c>
      <c r="J40" s="113">
        <v>0.19900000000000001</v>
      </c>
      <c r="K40" s="113">
        <v>0</v>
      </c>
      <c r="L40" s="113">
        <v>9.9009999999999998</v>
      </c>
      <c r="M40" s="113">
        <v>0.38600000000000001</v>
      </c>
      <c r="N40" s="113">
        <v>0</v>
      </c>
      <c r="O40" s="113">
        <v>0</v>
      </c>
      <c r="P40" s="113">
        <v>0</v>
      </c>
      <c r="Q40" s="113">
        <v>0.58599999999999997</v>
      </c>
      <c r="R40" s="113">
        <v>0</v>
      </c>
      <c r="S40" s="113">
        <v>0</v>
      </c>
      <c r="T40" s="113">
        <v>0</v>
      </c>
      <c r="U40" s="113">
        <v>2.1000000000000001E-2</v>
      </c>
      <c r="V40" s="113">
        <v>0</v>
      </c>
      <c r="W40" s="113">
        <v>0</v>
      </c>
      <c r="X40" s="113">
        <v>0</v>
      </c>
      <c r="Y40" s="113">
        <v>0.11799999999999999</v>
      </c>
      <c r="Z40" s="113">
        <v>0</v>
      </c>
      <c r="AA40" s="113">
        <v>0</v>
      </c>
      <c r="AB40" s="113">
        <v>0</v>
      </c>
      <c r="AC40" s="113">
        <v>4.3999999999999997E-2</v>
      </c>
      <c r="AD40" s="103">
        <v>24.783999999999999</v>
      </c>
      <c r="AE40" s="103">
        <v>155.21899999999999</v>
      </c>
      <c r="AF40" s="103">
        <v>119.789</v>
      </c>
      <c r="AG40" s="103">
        <f t="shared" si="13"/>
        <v>180.00299999999999</v>
      </c>
      <c r="AH40" s="103">
        <f t="shared" si="14"/>
        <v>275.00799999999998</v>
      </c>
      <c r="AI40" s="103">
        <f t="shared" si="15"/>
        <v>299.79199999999997</v>
      </c>
      <c r="AJ40" s="105"/>
      <c r="AK40" s="105"/>
    </row>
    <row r="41" spans="1:37" x14ac:dyDescent="0.2">
      <c r="A41" s="3" t="str">
        <f t="shared" si="12"/>
        <v>WSH25</v>
      </c>
      <c r="B41" s="3" t="str">
        <f>'Forecast drivers'!B42</f>
        <v>WSH</v>
      </c>
      <c r="C41" s="3">
        <f>'Forecast drivers'!C42</f>
        <v>2025</v>
      </c>
      <c r="D41" s="49">
        <v>22.015999999999998</v>
      </c>
      <c r="E41" s="49">
        <v>106.967</v>
      </c>
      <c r="F41" s="49">
        <v>93.71</v>
      </c>
      <c r="G41" s="49">
        <v>128.983</v>
      </c>
      <c r="H41" s="49">
        <v>200.67699999999999</v>
      </c>
      <c r="I41" s="49">
        <v>222.69299999999998</v>
      </c>
      <c r="J41" s="113">
        <v>0.19900000000000001</v>
      </c>
      <c r="K41" s="113">
        <v>0</v>
      </c>
      <c r="L41" s="113">
        <v>9.9160000000000004</v>
      </c>
      <c r="M41" s="113">
        <v>0.379</v>
      </c>
      <c r="N41" s="113">
        <v>0</v>
      </c>
      <c r="O41" s="113">
        <v>0</v>
      </c>
      <c r="P41" s="113">
        <v>0</v>
      </c>
      <c r="Q41" s="113">
        <v>0.57399999999999995</v>
      </c>
      <c r="R41" s="113">
        <v>0</v>
      </c>
      <c r="S41" s="113">
        <v>0</v>
      </c>
      <c r="T41" s="113">
        <v>0</v>
      </c>
      <c r="U41" s="113">
        <v>2.1000000000000001E-2</v>
      </c>
      <c r="V41" s="113">
        <v>0</v>
      </c>
      <c r="W41" s="113">
        <v>0</v>
      </c>
      <c r="X41" s="113">
        <v>0</v>
      </c>
      <c r="Y41" s="113">
        <v>0.11700000000000001</v>
      </c>
      <c r="Z41" s="113">
        <v>0</v>
      </c>
      <c r="AA41" s="113">
        <v>0</v>
      </c>
      <c r="AB41" s="113">
        <v>0</v>
      </c>
      <c r="AC41" s="113">
        <v>4.1000000000000002E-2</v>
      </c>
      <c r="AD41" s="103">
        <v>24.111999999999995</v>
      </c>
      <c r="AE41" s="103">
        <v>154.291</v>
      </c>
      <c r="AF41" s="103">
        <v>118.384</v>
      </c>
      <c r="AG41" s="103">
        <f t="shared" si="13"/>
        <v>178.40299999999999</v>
      </c>
      <c r="AH41" s="103">
        <f t="shared" si="14"/>
        <v>272.67500000000001</v>
      </c>
      <c r="AI41" s="103">
        <f t="shared" si="15"/>
        <v>296.78699999999998</v>
      </c>
      <c r="AJ41" s="105"/>
      <c r="AK41" s="105"/>
    </row>
    <row r="42" spans="1:37" x14ac:dyDescent="0.2">
      <c r="A42" s="3" t="str">
        <f t="shared" si="12"/>
        <v>WSX21</v>
      </c>
      <c r="B42" s="3" t="str">
        <f>'Forecast drivers'!B43</f>
        <v>WSX</v>
      </c>
      <c r="C42" s="3">
        <f>'Forecast drivers'!C43</f>
        <v>2021</v>
      </c>
      <c r="D42" s="49">
        <v>21.950900358658011</v>
      </c>
      <c r="E42" s="49">
        <v>88.501059788381653</v>
      </c>
      <c r="F42" s="49">
        <v>77.713110552502897</v>
      </c>
      <c r="G42" s="49">
        <v>110.45196014703967</v>
      </c>
      <c r="H42" s="49">
        <v>166.21417034088455</v>
      </c>
      <c r="I42" s="49">
        <v>188.16507069954255</v>
      </c>
      <c r="J42" s="113">
        <v>0.10201</v>
      </c>
      <c r="K42" s="113">
        <v>0</v>
      </c>
      <c r="L42" s="113">
        <v>9.1485019230769193</v>
      </c>
      <c r="M42" s="113">
        <v>2.0740300751879701</v>
      </c>
      <c r="N42" s="113">
        <v>0</v>
      </c>
      <c r="O42" s="113">
        <v>0</v>
      </c>
      <c r="P42" s="113">
        <v>0</v>
      </c>
      <c r="Q42" s="113">
        <v>3.08196992481203</v>
      </c>
      <c r="R42" s="113">
        <v>0</v>
      </c>
      <c r="S42" s="113">
        <v>0</v>
      </c>
      <c r="T42" s="113">
        <v>0</v>
      </c>
      <c r="U42" s="113">
        <v>0.77534246575342503</v>
      </c>
      <c r="V42" s="113">
        <v>0</v>
      </c>
      <c r="W42" s="113">
        <v>0</v>
      </c>
      <c r="X42" s="113">
        <v>0</v>
      </c>
      <c r="Y42" s="113">
        <v>0.48458904109589002</v>
      </c>
      <c r="Z42" s="113">
        <v>0</v>
      </c>
      <c r="AA42" s="113">
        <v>0</v>
      </c>
      <c r="AB42" s="113">
        <v>0</v>
      </c>
      <c r="AC42" s="113">
        <v>0.15506849315068499</v>
      </c>
      <c r="AD42" s="103">
        <v>23.612900358657996</v>
      </c>
      <c r="AE42" s="103">
        <v>197.96316194359397</v>
      </c>
      <c r="AF42" s="103">
        <v>112.00054433865694</v>
      </c>
      <c r="AG42" s="103">
        <f t="shared" si="13"/>
        <v>221.57606230225196</v>
      </c>
      <c r="AH42" s="103">
        <f t="shared" si="14"/>
        <v>309.96370628225088</v>
      </c>
      <c r="AI42" s="103">
        <f t="shared" si="15"/>
        <v>333.57660664090889</v>
      </c>
      <c r="AJ42" s="105"/>
      <c r="AK42" s="105"/>
    </row>
    <row r="43" spans="1:37" x14ac:dyDescent="0.2">
      <c r="A43" s="3" t="str">
        <f t="shared" si="12"/>
        <v>WSX22</v>
      </c>
      <c r="B43" s="3" t="str">
        <f>'Forecast drivers'!B44</f>
        <v>WSX</v>
      </c>
      <c r="C43" s="3">
        <f>'Forecast drivers'!C44</f>
        <v>2022</v>
      </c>
      <c r="D43" s="49">
        <v>21.227171104397463</v>
      </c>
      <c r="E43" s="49">
        <v>91.527027228458948</v>
      </c>
      <c r="F43" s="49">
        <v>83.305624329690872</v>
      </c>
      <c r="G43" s="49">
        <v>112.75419833285642</v>
      </c>
      <c r="H43" s="49">
        <v>174.83265155814982</v>
      </c>
      <c r="I43" s="49">
        <v>196.05982266254728</v>
      </c>
      <c r="J43" s="113">
        <v>0.10201</v>
      </c>
      <c r="K43" s="113">
        <v>0</v>
      </c>
      <c r="L43" s="113">
        <v>9.1485019230769193</v>
      </c>
      <c r="M43" s="113">
        <v>2.0804661654135299</v>
      </c>
      <c r="N43" s="113">
        <v>0</v>
      </c>
      <c r="O43" s="113">
        <v>0</v>
      </c>
      <c r="P43" s="113">
        <v>0</v>
      </c>
      <c r="Q43" s="113">
        <v>3.0915338345864698</v>
      </c>
      <c r="R43" s="113">
        <v>0</v>
      </c>
      <c r="S43" s="113">
        <v>0</v>
      </c>
      <c r="T43" s="113">
        <v>0</v>
      </c>
      <c r="U43" s="113">
        <v>0.77808219178082205</v>
      </c>
      <c r="V43" s="113">
        <v>0</v>
      </c>
      <c r="W43" s="113">
        <v>0</v>
      </c>
      <c r="X43" s="113">
        <v>0</v>
      </c>
      <c r="Y43" s="113">
        <v>0.48630136986301398</v>
      </c>
      <c r="Z43" s="113">
        <v>0</v>
      </c>
      <c r="AA43" s="113">
        <v>0</v>
      </c>
      <c r="AB43" s="113">
        <v>0</v>
      </c>
      <c r="AC43" s="113">
        <v>0.15561643835616401</v>
      </c>
      <c r="AD43" s="103">
        <v>22.889171104397498</v>
      </c>
      <c r="AE43" s="103">
        <v>166.14347765728454</v>
      </c>
      <c r="AF43" s="103">
        <v>122.20543107969139</v>
      </c>
      <c r="AG43" s="103">
        <f t="shared" si="13"/>
        <v>189.03264876168203</v>
      </c>
      <c r="AH43" s="103">
        <f t="shared" si="14"/>
        <v>288.34890873697594</v>
      </c>
      <c r="AI43" s="103">
        <f t="shared" si="15"/>
        <v>311.23807984137341</v>
      </c>
      <c r="AJ43" s="105"/>
      <c r="AK43" s="105"/>
    </row>
    <row r="44" spans="1:37" x14ac:dyDescent="0.2">
      <c r="A44" s="3" t="str">
        <f t="shared" si="12"/>
        <v>WSX23</v>
      </c>
      <c r="B44" s="3" t="str">
        <f>'Forecast drivers'!B45</f>
        <v>WSX</v>
      </c>
      <c r="C44" s="3">
        <f>'Forecast drivers'!C45</f>
        <v>2023</v>
      </c>
      <c r="D44" s="49">
        <v>23.42122448468875</v>
      </c>
      <c r="E44" s="49">
        <v>87.462166551600149</v>
      </c>
      <c r="F44" s="49">
        <v>91.160576924451632</v>
      </c>
      <c r="G44" s="49">
        <v>110.8833910362889</v>
      </c>
      <c r="H44" s="49">
        <v>178.62274347605177</v>
      </c>
      <c r="I44" s="49">
        <v>202.04396796074053</v>
      </c>
      <c r="J44" s="113">
        <v>0.10201</v>
      </c>
      <c r="K44" s="113">
        <v>0</v>
      </c>
      <c r="L44" s="113">
        <v>9.1485019230769193</v>
      </c>
      <c r="M44" s="113">
        <v>2.0860977443609001</v>
      </c>
      <c r="N44" s="113">
        <v>0</v>
      </c>
      <c r="O44" s="113">
        <v>0</v>
      </c>
      <c r="P44" s="113">
        <v>0</v>
      </c>
      <c r="Q44" s="113">
        <v>3.0999022556390998</v>
      </c>
      <c r="R44" s="113">
        <v>0</v>
      </c>
      <c r="S44" s="113">
        <v>0</v>
      </c>
      <c r="T44" s="113">
        <v>0</v>
      </c>
      <c r="U44" s="113">
        <v>0.77972602739726005</v>
      </c>
      <c r="V44" s="113">
        <v>0</v>
      </c>
      <c r="W44" s="113">
        <v>0</v>
      </c>
      <c r="X44" s="113">
        <v>0</v>
      </c>
      <c r="Y44" s="113">
        <v>0.48732876712328799</v>
      </c>
      <c r="Z44" s="113">
        <v>0</v>
      </c>
      <c r="AA44" s="113">
        <v>0</v>
      </c>
      <c r="AB44" s="113">
        <v>0</v>
      </c>
      <c r="AC44" s="113">
        <v>0.15594520547945201</v>
      </c>
      <c r="AD44" s="103">
        <v>25.708451023150282</v>
      </c>
      <c r="AE44" s="103">
        <v>178.3573510711029</v>
      </c>
      <c r="AF44" s="103">
        <v>107.20234636675902</v>
      </c>
      <c r="AG44" s="103">
        <f t="shared" si="13"/>
        <v>204.06580209425317</v>
      </c>
      <c r="AH44" s="103">
        <f t="shared" si="14"/>
        <v>285.55969743786193</v>
      </c>
      <c r="AI44" s="103">
        <f t="shared" si="15"/>
        <v>311.26814846101217</v>
      </c>
      <c r="AJ44" s="105"/>
      <c r="AK44" s="105"/>
    </row>
    <row r="45" spans="1:37" x14ac:dyDescent="0.2">
      <c r="A45" s="3" t="str">
        <f t="shared" si="12"/>
        <v>WSX24</v>
      </c>
      <c r="B45" s="3" t="str">
        <f>'Forecast drivers'!B46</f>
        <v>WSX</v>
      </c>
      <c r="C45" s="3">
        <f>'Forecast drivers'!C46</f>
        <v>2024</v>
      </c>
      <c r="D45" s="49">
        <v>21.219237703602687</v>
      </c>
      <c r="E45" s="49">
        <v>101.83677055776336</v>
      </c>
      <c r="F45" s="49">
        <v>84.687345716099756</v>
      </c>
      <c r="G45" s="49">
        <v>123.05600826136605</v>
      </c>
      <c r="H45" s="49">
        <v>186.52411627386311</v>
      </c>
      <c r="I45" s="49">
        <v>207.7433539774658</v>
      </c>
      <c r="J45" s="113">
        <v>0.10201</v>
      </c>
      <c r="K45" s="113">
        <v>0</v>
      </c>
      <c r="L45" s="113">
        <v>9.1485019230769193</v>
      </c>
      <c r="M45" s="113">
        <v>2.09414285714286</v>
      </c>
      <c r="N45" s="113">
        <v>0</v>
      </c>
      <c r="O45" s="113">
        <v>0</v>
      </c>
      <c r="P45" s="113">
        <v>0</v>
      </c>
      <c r="Q45" s="113">
        <v>3.11185714285714</v>
      </c>
      <c r="R45" s="113">
        <v>0</v>
      </c>
      <c r="S45" s="113">
        <v>0</v>
      </c>
      <c r="T45" s="113">
        <v>0</v>
      </c>
      <c r="U45" s="113">
        <v>0.78301369863013703</v>
      </c>
      <c r="V45" s="113">
        <v>0</v>
      </c>
      <c r="W45" s="113">
        <v>0</v>
      </c>
      <c r="X45" s="113">
        <v>0</v>
      </c>
      <c r="Y45" s="113">
        <v>0.48938356164383601</v>
      </c>
      <c r="Z45" s="113">
        <v>0</v>
      </c>
      <c r="AA45" s="113">
        <v>0</v>
      </c>
      <c r="AB45" s="113">
        <v>0</v>
      </c>
      <c r="AC45" s="113">
        <v>0.15660273972602701</v>
      </c>
      <c r="AD45" s="103">
        <v>23.923281934371943</v>
      </c>
      <c r="AE45" s="103">
        <v>185.09536003730886</v>
      </c>
      <c r="AF45" s="103">
        <v>95.11012127379206</v>
      </c>
      <c r="AG45" s="103">
        <f t="shared" si="13"/>
        <v>209.01864197168081</v>
      </c>
      <c r="AH45" s="103">
        <f t="shared" si="14"/>
        <v>280.20548131110093</v>
      </c>
      <c r="AI45" s="103">
        <f t="shared" si="15"/>
        <v>304.1287632454729</v>
      </c>
      <c r="AJ45" s="105"/>
      <c r="AK45" s="105"/>
    </row>
    <row r="46" spans="1:37" x14ac:dyDescent="0.2">
      <c r="A46" s="3" t="str">
        <f t="shared" si="12"/>
        <v>WSX25</v>
      </c>
      <c r="B46" s="3" t="str">
        <f>'Forecast drivers'!B47</f>
        <v>WSX</v>
      </c>
      <c r="C46" s="3">
        <f>'Forecast drivers'!C47</f>
        <v>2025</v>
      </c>
      <c r="D46" s="49">
        <v>23.075301715248269</v>
      </c>
      <c r="E46" s="49">
        <v>98.266030837170476</v>
      </c>
      <c r="F46" s="49">
        <v>86.612682995213731</v>
      </c>
      <c r="G46" s="49">
        <v>121.34133255241875</v>
      </c>
      <c r="H46" s="49">
        <v>184.87871383238422</v>
      </c>
      <c r="I46" s="49">
        <v>207.95401554763248</v>
      </c>
      <c r="J46" s="113">
        <v>0.10201</v>
      </c>
      <c r="K46" s="113">
        <v>0</v>
      </c>
      <c r="L46" s="113">
        <v>9.1485019230769193</v>
      </c>
      <c r="M46" s="113">
        <v>2.0989699248120299</v>
      </c>
      <c r="N46" s="113">
        <v>0</v>
      </c>
      <c r="O46" s="113">
        <v>0</v>
      </c>
      <c r="P46" s="113">
        <v>0</v>
      </c>
      <c r="Q46" s="113">
        <v>3.11903007518797</v>
      </c>
      <c r="R46" s="113">
        <v>0</v>
      </c>
      <c r="S46" s="113">
        <v>0</v>
      </c>
      <c r="T46" s="113">
        <v>0</v>
      </c>
      <c r="U46" s="113">
        <v>0.78465753424657503</v>
      </c>
      <c r="V46" s="113">
        <v>0</v>
      </c>
      <c r="W46" s="113">
        <v>0</v>
      </c>
      <c r="X46" s="113">
        <v>0</v>
      </c>
      <c r="Y46" s="113">
        <v>0.49041095890411002</v>
      </c>
      <c r="Z46" s="113">
        <v>0</v>
      </c>
      <c r="AA46" s="113">
        <v>0</v>
      </c>
      <c r="AB46" s="113">
        <v>0</v>
      </c>
      <c r="AC46" s="113">
        <v>0.15693150684931501</v>
      </c>
      <c r="AD46" s="103">
        <v>27.238207869094431</v>
      </c>
      <c r="AE46" s="103">
        <v>173.38453788599404</v>
      </c>
      <c r="AF46" s="103">
        <v>93.263332341367587</v>
      </c>
      <c r="AG46" s="103">
        <f t="shared" si="13"/>
        <v>200.62274575508846</v>
      </c>
      <c r="AH46" s="103">
        <f t="shared" si="14"/>
        <v>266.64787022736164</v>
      </c>
      <c r="AI46" s="103">
        <f t="shared" si="15"/>
        <v>293.88607809645606</v>
      </c>
      <c r="AJ46" s="105"/>
      <c r="AK46" s="105"/>
    </row>
    <row r="47" spans="1:37" x14ac:dyDescent="0.2">
      <c r="A47" s="3" t="str">
        <f t="shared" si="12"/>
        <v>YKY21</v>
      </c>
      <c r="B47" s="3" t="str">
        <f>'Forecast drivers'!B48</f>
        <v>YKY</v>
      </c>
      <c r="C47" s="3">
        <f>'Forecast drivers'!C48</f>
        <v>2021</v>
      </c>
      <c r="D47" s="49">
        <v>69.474999999999994</v>
      </c>
      <c r="E47" s="49">
        <v>199.22</v>
      </c>
      <c r="F47" s="49">
        <v>182.02499999999998</v>
      </c>
      <c r="G47" s="49">
        <v>268.69499999999999</v>
      </c>
      <c r="H47" s="49">
        <v>381.245</v>
      </c>
      <c r="I47" s="49">
        <v>450.72</v>
      </c>
      <c r="J47" s="113">
        <v>0</v>
      </c>
      <c r="K47" s="113">
        <v>0</v>
      </c>
      <c r="L47" s="113">
        <v>10.773999999999999</v>
      </c>
      <c r="M47" s="113">
        <v>2.0939999999999999</v>
      </c>
      <c r="N47" s="113">
        <v>0</v>
      </c>
      <c r="O47" s="113">
        <v>0</v>
      </c>
      <c r="P47" s="113">
        <v>0</v>
      </c>
      <c r="Q47" s="113">
        <v>2.6819999999999999</v>
      </c>
      <c r="R47" s="113">
        <v>0</v>
      </c>
      <c r="S47" s="113">
        <v>0</v>
      </c>
      <c r="T47" s="113">
        <v>0</v>
      </c>
      <c r="U47" s="113">
        <v>0.27500000000000002</v>
      </c>
      <c r="V47" s="113">
        <v>0</v>
      </c>
      <c r="W47" s="113">
        <v>0</v>
      </c>
      <c r="X47" s="113">
        <v>0</v>
      </c>
      <c r="Y47" s="113">
        <v>0.97399999999999998</v>
      </c>
      <c r="Z47" s="113">
        <v>0</v>
      </c>
      <c r="AA47" s="113">
        <v>0</v>
      </c>
      <c r="AB47" s="113">
        <v>0</v>
      </c>
      <c r="AC47" s="113">
        <v>3.5000000000000003E-2</v>
      </c>
      <c r="AD47" s="103">
        <v>70.661999999999992</v>
      </c>
      <c r="AE47" s="103">
        <v>396.70699999999999</v>
      </c>
      <c r="AF47" s="103">
        <v>230.16200000000001</v>
      </c>
      <c r="AG47" s="103">
        <f t="shared" si="13"/>
        <v>467.36899999999997</v>
      </c>
      <c r="AH47" s="103">
        <f t="shared" si="14"/>
        <v>626.86900000000003</v>
      </c>
      <c r="AI47" s="103">
        <f t="shared" si="15"/>
        <v>697.53099999999995</v>
      </c>
      <c r="AJ47" s="105"/>
      <c r="AK47" s="105"/>
    </row>
    <row r="48" spans="1:37" x14ac:dyDescent="0.2">
      <c r="A48" s="3" t="str">
        <f t="shared" si="12"/>
        <v>YKY22</v>
      </c>
      <c r="B48" s="3" t="str">
        <f>'Forecast drivers'!B49</f>
        <v>YKY</v>
      </c>
      <c r="C48" s="3">
        <f>'Forecast drivers'!C49</f>
        <v>2022</v>
      </c>
      <c r="D48" s="49">
        <v>70.103999999999999</v>
      </c>
      <c r="E48" s="49">
        <v>215.14700000000002</v>
      </c>
      <c r="F48" s="49">
        <v>151.82600000000002</v>
      </c>
      <c r="G48" s="49">
        <v>285.25100000000003</v>
      </c>
      <c r="H48" s="49">
        <v>366.97300000000007</v>
      </c>
      <c r="I48" s="49">
        <v>437.07700000000006</v>
      </c>
      <c r="J48" s="113">
        <v>0</v>
      </c>
      <c r="K48" s="113">
        <v>0</v>
      </c>
      <c r="L48" s="113">
        <v>10.853</v>
      </c>
      <c r="M48" s="113">
        <v>2.0939999999999999</v>
      </c>
      <c r="N48" s="113">
        <v>0</v>
      </c>
      <c r="O48" s="113">
        <v>0</v>
      </c>
      <c r="P48" s="113">
        <v>0</v>
      </c>
      <c r="Q48" s="113">
        <v>2.6819999999999999</v>
      </c>
      <c r="R48" s="113">
        <v>0</v>
      </c>
      <c r="S48" s="113">
        <v>0</v>
      </c>
      <c r="T48" s="113">
        <v>0</v>
      </c>
      <c r="U48" s="113">
        <v>0.27500000000000002</v>
      </c>
      <c r="V48" s="113">
        <v>0</v>
      </c>
      <c r="W48" s="113">
        <v>0</v>
      </c>
      <c r="X48" s="113">
        <v>0</v>
      </c>
      <c r="Y48" s="113">
        <v>0.97399999999999998</v>
      </c>
      <c r="Z48" s="113">
        <v>0</v>
      </c>
      <c r="AA48" s="113">
        <v>0</v>
      </c>
      <c r="AB48" s="113">
        <v>0</v>
      </c>
      <c r="AC48" s="113">
        <v>3.5000000000000003E-2</v>
      </c>
      <c r="AD48" s="103">
        <v>71.64</v>
      </c>
      <c r="AE48" s="103">
        <v>438.82599999999996</v>
      </c>
      <c r="AF48" s="103">
        <v>191.012</v>
      </c>
      <c r="AG48" s="103">
        <f t="shared" si="13"/>
        <v>510.46599999999995</v>
      </c>
      <c r="AH48" s="103">
        <f t="shared" si="14"/>
        <v>629.83799999999997</v>
      </c>
      <c r="AI48" s="103">
        <f t="shared" si="15"/>
        <v>701.47799999999995</v>
      </c>
      <c r="AJ48" s="105"/>
      <c r="AK48" s="105"/>
    </row>
    <row r="49" spans="1:37" x14ac:dyDescent="0.2">
      <c r="A49" s="3" t="str">
        <f t="shared" si="12"/>
        <v>YKY23</v>
      </c>
      <c r="B49" s="3" t="str">
        <f>'Forecast drivers'!B50</f>
        <v>YKY</v>
      </c>
      <c r="C49" s="3">
        <f>'Forecast drivers'!C50</f>
        <v>2023</v>
      </c>
      <c r="D49" s="49">
        <v>59.126000000000005</v>
      </c>
      <c r="E49" s="49">
        <v>195.767</v>
      </c>
      <c r="F49" s="49">
        <v>133.89700000000002</v>
      </c>
      <c r="G49" s="49">
        <v>254.893</v>
      </c>
      <c r="H49" s="49">
        <v>329.66399999999999</v>
      </c>
      <c r="I49" s="49">
        <v>388.78999999999996</v>
      </c>
      <c r="J49" s="113">
        <v>0</v>
      </c>
      <c r="K49" s="113">
        <v>0</v>
      </c>
      <c r="L49" s="113">
        <v>10.952999999999999</v>
      </c>
      <c r="M49" s="113">
        <v>0</v>
      </c>
      <c r="N49" s="113">
        <v>0</v>
      </c>
      <c r="O49" s="113">
        <v>0</v>
      </c>
      <c r="P49" s="113">
        <v>0</v>
      </c>
      <c r="Q49" s="113">
        <v>0</v>
      </c>
      <c r="R49" s="113">
        <v>0</v>
      </c>
      <c r="S49" s="113">
        <v>0</v>
      </c>
      <c r="T49" s="113">
        <v>0</v>
      </c>
      <c r="U49" s="113">
        <v>0</v>
      </c>
      <c r="V49" s="113">
        <v>0</v>
      </c>
      <c r="W49" s="113">
        <v>0</v>
      </c>
      <c r="X49" s="113">
        <v>0</v>
      </c>
      <c r="Y49" s="113">
        <v>0</v>
      </c>
      <c r="Z49" s="113">
        <v>0</v>
      </c>
      <c r="AA49" s="113">
        <v>0</v>
      </c>
      <c r="AB49" s="113">
        <v>0</v>
      </c>
      <c r="AC49" s="113">
        <v>0</v>
      </c>
      <c r="AD49" s="103">
        <v>68.707999999999998</v>
      </c>
      <c r="AE49" s="103">
        <v>367.51299999999998</v>
      </c>
      <c r="AF49" s="103">
        <v>167.95400000000001</v>
      </c>
      <c r="AG49" s="103">
        <f t="shared" si="13"/>
        <v>436.221</v>
      </c>
      <c r="AH49" s="103">
        <f t="shared" si="14"/>
        <v>535.46699999999998</v>
      </c>
      <c r="AI49" s="103">
        <f t="shared" si="15"/>
        <v>604.17499999999995</v>
      </c>
      <c r="AJ49" s="105"/>
      <c r="AK49" s="105"/>
    </row>
    <row r="50" spans="1:37" x14ac:dyDescent="0.2">
      <c r="A50" s="3" t="str">
        <f t="shared" si="12"/>
        <v>YKY24</v>
      </c>
      <c r="B50" s="3" t="str">
        <f>'Forecast drivers'!B51</f>
        <v>YKY</v>
      </c>
      <c r="C50" s="3">
        <f>'Forecast drivers'!C51</f>
        <v>2024</v>
      </c>
      <c r="D50" s="49">
        <v>53.111000000000004</v>
      </c>
      <c r="E50" s="49">
        <v>170.84799999999998</v>
      </c>
      <c r="F50" s="49">
        <v>117.49</v>
      </c>
      <c r="G50" s="49">
        <v>223.959</v>
      </c>
      <c r="H50" s="49">
        <v>288.33799999999997</v>
      </c>
      <c r="I50" s="49">
        <v>341.44899999999996</v>
      </c>
      <c r="J50" s="113">
        <v>0</v>
      </c>
      <c r="K50" s="113">
        <v>0</v>
      </c>
      <c r="L50" s="113">
        <v>11.047000000000001</v>
      </c>
      <c r="M50" s="113">
        <v>0</v>
      </c>
      <c r="N50" s="113">
        <v>0</v>
      </c>
      <c r="O50" s="113">
        <v>0</v>
      </c>
      <c r="P50" s="113">
        <v>0</v>
      </c>
      <c r="Q50" s="113">
        <v>0</v>
      </c>
      <c r="R50" s="113">
        <v>0</v>
      </c>
      <c r="S50" s="113">
        <v>0</v>
      </c>
      <c r="T50" s="113">
        <v>0</v>
      </c>
      <c r="U50" s="113">
        <v>0</v>
      </c>
      <c r="V50" s="113">
        <v>0</v>
      </c>
      <c r="W50" s="113">
        <v>0</v>
      </c>
      <c r="X50" s="113">
        <v>0</v>
      </c>
      <c r="Y50" s="113">
        <v>0</v>
      </c>
      <c r="Z50" s="113">
        <v>0</v>
      </c>
      <c r="AA50" s="113">
        <v>0</v>
      </c>
      <c r="AB50" s="113">
        <v>0</v>
      </c>
      <c r="AC50" s="113">
        <v>0</v>
      </c>
      <c r="AD50" s="103">
        <v>94.87</v>
      </c>
      <c r="AE50" s="103">
        <v>281.04399999999998</v>
      </c>
      <c r="AF50" s="103">
        <v>150.91900000000001</v>
      </c>
      <c r="AG50" s="103">
        <f t="shared" si="13"/>
        <v>375.91399999999999</v>
      </c>
      <c r="AH50" s="103">
        <f t="shared" si="14"/>
        <v>431.96299999999997</v>
      </c>
      <c r="AI50" s="103">
        <f t="shared" si="15"/>
        <v>526.83299999999997</v>
      </c>
      <c r="AJ50" s="105"/>
      <c r="AK50" s="105"/>
    </row>
    <row r="51" spans="1:37" x14ac:dyDescent="0.2">
      <c r="A51" s="3" t="str">
        <f t="shared" si="12"/>
        <v>YKY25</v>
      </c>
      <c r="B51" s="3" t="str">
        <f>'Forecast drivers'!B52</f>
        <v>YKY</v>
      </c>
      <c r="C51" s="3">
        <f>'Forecast drivers'!C52</f>
        <v>2025</v>
      </c>
      <c r="D51" s="49">
        <v>52.54</v>
      </c>
      <c r="E51" s="49">
        <v>137.33000000000001</v>
      </c>
      <c r="F51" s="49">
        <v>115.27700000000002</v>
      </c>
      <c r="G51" s="49">
        <v>189.87</v>
      </c>
      <c r="H51" s="49">
        <v>252.60700000000003</v>
      </c>
      <c r="I51" s="49">
        <v>305.14700000000005</v>
      </c>
      <c r="J51" s="113">
        <v>0</v>
      </c>
      <c r="K51" s="113">
        <v>0</v>
      </c>
      <c r="L51" s="113">
        <v>11.146000000000001</v>
      </c>
      <c r="M51" s="113">
        <v>0</v>
      </c>
      <c r="N51" s="113">
        <v>0</v>
      </c>
      <c r="O51" s="113">
        <v>0</v>
      </c>
      <c r="P51" s="113">
        <v>0</v>
      </c>
      <c r="Q51" s="113">
        <v>0</v>
      </c>
      <c r="R51" s="113">
        <v>0</v>
      </c>
      <c r="S51" s="113">
        <v>0</v>
      </c>
      <c r="T51" s="113">
        <v>0</v>
      </c>
      <c r="U51" s="113">
        <v>0</v>
      </c>
      <c r="V51" s="113">
        <v>0</v>
      </c>
      <c r="W51" s="113">
        <v>0</v>
      </c>
      <c r="X51" s="113">
        <v>0</v>
      </c>
      <c r="Y51" s="113">
        <v>0</v>
      </c>
      <c r="Z51" s="113">
        <v>0</v>
      </c>
      <c r="AA51" s="113">
        <v>0</v>
      </c>
      <c r="AB51" s="113">
        <v>0</v>
      </c>
      <c r="AC51" s="113">
        <v>0</v>
      </c>
      <c r="AD51" s="103">
        <v>66.138999999999996</v>
      </c>
      <c r="AE51" s="103">
        <v>188.57499999999999</v>
      </c>
      <c r="AF51" s="103">
        <v>145.43700000000001</v>
      </c>
      <c r="AG51" s="103">
        <f t="shared" si="13"/>
        <v>254.714</v>
      </c>
      <c r="AH51" s="103">
        <f t="shared" si="14"/>
        <v>334.012</v>
      </c>
      <c r="AI51" s="103">
        <f t="shared" si="15"/>
        <v>400.15100000000001</v>
      </c>
      <c r="AJ51" s="105"/>
      <c r="AK51" s="105"/>
    </row>
    <row r="52" spans="1:37" x14ac:dyDescent="0.2">
      <c r="A52" s="3" t="str">
        <f t="shared" si="12"/>
        <v>SVH21</v>
      </c>
      <c r="B52" s="3" t="str">
        <f>'Forecast drivers'!B53</f>
        <v>SVH</v>
      </c>
      <c r="C52" s="32">
        <f>'Forecast drivers'!C53</f>
        <v>2021</v>
      </c>
      <c r="D52" s="49">
        <v>56.929238209438147</v>
      </c>
      <c r="E52" s="102">
        <v>212.57449886925647</v>
      </c>
      <c r="F52" s="102">
        <v>214.57615445331905</v>
      </c>
      <c r="G52" s="102">
        <v>269.5037370786946</v>
      </c>
      <c r="H52" s="102">
        <v>427.15065332257552</v>
      </c>
      <c r="I52" s="102">
        <v>484.07989153201368</v>
      </c>
      <c r="J52" s="114">
        <v>0.69901504068353104</v>
      </c>
      <c r="K52" s="114">
        <v>0</v>
      </c>
      <c r="L52" s="114">
        <v>29.1177590051221</v>
      </c>
      <c r="M52" s="114">
        <v>4.6895079616559698</v>
      </c>
      <c r="N52" s="114">
        <v>0</v>
      </c>
      <c r="O52" s="114">
        <v>0</v>
      </c>
      <c r="P52" s="114">
        <v>0</v>
      </c>
      <c r="Q52" s="114">
        <v>9.2167492118359604</v>
      </c>
      <c r="R52" s="114">
        <v>0</v>
      </c>
      <c r="S52" s="114">
        <v>0</v>
      </c>
      <c r="T52" s="114">
        <v>0</v>
      </c>
      <c r="U52" s="114">
        <v>2.7044451912664198E-2</v>
      </c>
      <c r="V52" s="114">
        <v>0</v>
      </c>
      <c r="W52" s="114">
        <v>0</v>
      </c>
      <c r="X52" s="114">
        <v>0</v>
      </c>
      <c r="Y52" s="114">
        <v>2.3690939875493902</v>
      </c>
      <c r="Z52" s="114">
        <v>0</v>
      </c>
      <c r="AA52" s="114">
        <v>0</v>
      </c>
      <c r="AB52" s="114">
        <v>0</v>
      </c>
      <c r="AC52" s="114">
        <v>1.69839158011531</v>
      </c>
      <c r="AD52" s="103">
        <v>65.574259619463831</v>
      </c>
      <c r="AE52" s="103">
        <v>285.77351778243747</v>
      </c>
      <c r="AF52" s="103">
        <v>224.50403205964614</v>
      </c>
      <c r="AG52" s="103">
        <f t="shared" si="13"/>
        <v>351.34777740190128</v>
      </c>
      <c r="AH52" s="103">
        <f t="shared" si="14"/>
        <v>510.2775498420836</v>
      </c>
      <c r="AI52" s="103">
        <f t="shared" si="15"/>
        <v>575.85180946154742</v>
      </c>
      <c r="AJ52" s="105"/>
      <c r="AK52" s="105"/>
    </row>
    <row r="53" spans="1:37" x14ac:dyDescent="0.2">
      <c r="A53" s="3" t="str">
        <f t="shared" si="12"/>
        <v>SVH22</v>
      </c>
      <c r="B53" s="3" t="str">
        <f>'Forecast drivers'!B54</f>
        <v>SVH</v>
      </c>
      <c r="C53" s="32">
        <f>'Forecast drivers'!C54</f>
        <v>2022</v>
      </c>
      <c r="D53" s="49">
        <v>55.24504461781828</v>
      </c>
      <c r="E53" s="102">
        <v>223.82073324611343</v>
      </c>
      <c r="F53" s="102">
        <v>205.04886072928048</v>
      </c>
      <c r="G53" s="102">
        <v>279.06577786393171</v>
      </c>
      <c r="H53" s="102">
        <v>428.86959397539391</v>
      </c>
      <c r="I53" s="102">
        <v>484.11463859321219</v>
      </c>
      <c r="J53" s="114">
        <v>0.703175095192618</v>
      </c>
      <c r="K53" s="114">
        <v>0</v>
      </c>
      <c r="L53" s="114">
        <v>17.16706246563567</v>
      </c>
      <c r="M53" s="114">
        <v>4.6465769013862701</v>
      </c>
      <c r="N53" s="114">
        <v>0</v>
      </c>
      <c r="O53" s="114">
        <v>0</v>
      </c>
      <c r="P53" s="114">
        <v>0</v>
      </c>
      <c r="Q53" s="114">
        <v>9.1323725951121109</v>
      </c>
      <c r="R53" s="114">
        <v>0</v>
      </c>
      <c r="S53" s="114">
        <v>0</v>
      </c>
      <c r="T53" s="114">
        <v>0</v>
      </c>
      <c r="U53" s="114">
        <v>2.67968679434041E-2</v>
      </c>
      <c r="V53" s="114">
        <v>0</v>
      </c>
      <c r="W53" s="114">
        <v>0</v>
      </c>
      <c r="X53" s="114">
        <v>0</v>
      </c>
      <c r="Y53" s="114">
        <v>2.3474056318422001</v>
      </c>
      <c r="Z53" s="114">
        <v>0</v>
      </c>
      <c r="AA53" s="114">
        <v>0</v>
      </c>
      <c r="AB53" s="114">
        <v>0</v>
      </c>
      <c r="AC53" s="114">
        <v>1.68284330684578</v>
      </c>
      <c r="AD53" s="103">
        <v>65.858480015264703</v>
      </c>
      <c r="AE53" s="103">
        <v>336.89674392723106</v>
      </c>
      <c r="AF53" s="103">
        <v>215.20539363314063</v>
      </c>
      <c r="AG53" s="103">
        <f t="shared" si="13"/>
        <v>402.75522394249577</v>
      </c>
      <c r="AH53" s="103">
        <f t="shared" si="14"/>
        <v>552.10213756037172</v>
      </c>
      <c r="AI53" s="103">
        <f t="shared" si="15"/>
        <v>617.96061757563643</v>
      </c>
      <c r="AJ53" s="105"/>
      <c r="AK53" s="105"/>
    </row>
    <row r="54" spans="1:37" x14ac:dyDescent="0.2">
      <c r="A54" s="3" t="str">
        <f t="shared" si="12"/>
        <v>SVH23</v>
      </c>
      <c r="B54" s="3" t="str">
        <f>'Forecast drivers'!B55</f>
        <v>SVH</v>
      </c>
      <c r="C54" s="32">
        <f>'Forecast drivers'!C55</f>
        <v>2023</v>
      </c>
      <c r="D54" s="49">
        <v>53.383148442051755</v>
      </c>
      <c r="E54" s="102">
        <v>226.17607086518538</v>
      </c>
      <c r="F54" s="102">
        <v>188.84936532541113</v>
      </c>
      <c r="G54" s="102">
        <v>279.55921930723713</v>
      </c>
      <c r="H54" s="102">
        <v>415.02543619059651</v>
      </c>
      <c r="I54" s="102">
        <v>468.40858463264829</v>
      </c>
      <c r="J54" s="114">
        <v>0.70716511736719501</v>
      </c>
      <c r="K54" s="114">
        <v>0</v>
      </c>
      <c r="L54" s="114">
        <v>17.383697345586249</v>
      </c>
      <c r="M54" s="114">
        <v>4.6025192434213897</v>
      </c>
      <c r="N54" s="114">
        <v>0</v>
      </c>
      <c r="O54" s="114">
        <v>0</v>
      </c>
      <c r="P54" s="114">
        <v>0</v>
      </c>
      <c r="Q54" s="114">
        <v>9.0457817656171304</v>
      </c>
      <c r="R54" s="114">
        <v>0</v>
      </c>
      <c r="S54" s="114">
        <v>0</v>
      </c>
      <c r="T54" s="114">
        <v>0</v>
      </c>
      <c r="U54" s="114">
        <v>2.65427868709423E-2</v>
      </c>
      <c r="V54" s="114">
        <v>0</v>
      </c>
      <c r="W54" s="114">
        <v>0</v>
      </c>
      <c r="X54" s="114">
        <v>0</v>
      </c>
      <c r="Y54" s="114">
        <v>2.32514812989454</v>
      </c>
      <c r="Z54" s="114">
        <v>0</v>
      </c>
      <c r="AA54" s="114">
        <v>0</v>
      </c>
      <c r="AB54" s="114">
        <v>0</v>
      </c>
      <c r="AC54" s="114">
        <v>1.66688701549518</v>
      </c>
      <c r="AD54" s="103">
        <v>65.080287814783532</v>
      </c>
      <c r="AE54" s="103">
        <v>354.74293466858563</v>
      </c>
      <c r="AF54" s="103">
        <v>205.46042210007889</v>
      </c>
      <c r="AG54" s="103">
        <f t="shared" si="13"/>
        <v>419.82322248336914</v>
      </c>
      <c r="AH54" s="103">
        <f t="shared" si="14"/>
        <v>560.20335676866455</v>
      </c>
      <c r="AI54" s="103">
        <f t="shared" si="15"/>
        <v>625.28364458344799</v>
      </c>
      <c r="AJ54" s="105"/>
      <c r="AK54" s="105"/>
    </row>
    <row r="55" spans="1:37" x14ac:dyDescent="0.2">
      <c r="A55" s="3" t="str">
        <f t="shared" si="12"/>
        <v>SVH24</v>
      </c>
      <c r="B55" s="3" t="str">
        <f>'Forecast drivers'!B56</f>
        <v>SVH</v>
      </c>
      <c r="C55" s="32">
        <f>'Forecast drivers'!C56</f>
        <v>2024</v>
      </c>
      <c r="D55" s="49">
        <v>50.928717385906509</v>
      </c>
      <c r="E55" s="102">
        <v>221.57012307358852</v>
      </c>
      <c r="F55" s="102">
        <v>184.93504222232951</v>
      </c>
      <c r="G55" s="102">
        <v>272.498840459495</v>
      </c>
      <c r="H55" s="102">
        <v>406.505165295918</v>
      </c>
      <c r="I55" s="102">
        <v>457.43388268182451</v>
      </c>
      <c r="J55" s="114">
        <v>0.71094911210287903</v>
      </c>
      <c r="K55" s="114">
        <v>0</v>
      </c>
      <c r="L55" s="114">
        <v>17.302096808118968</v>
      </c>
      <c r="M55" s="114">
        <v>4.5593896206515296</v>
      </c>
      <c r="N55" s="114">
        <v>0</v>
      </c>
      <c r="O55" s="114">
        <v>0</v>
      </c>
      <c r="P55" s="114">
        <v>0</v>
      </c>
      <c r="Q55" s="114">
        <v>8.9610148945677093</v>
      </c>
      <c r="R55" s="114">
        <v>0</v>
      </c>
      <c r="S55" s="114">
        <v>0</v>
      </c>
      <c r="T55" s="114">
        <v>0</v>
      </c>
      <c r="U55" s="114">
        <v>2.6294057789224501E-2</v>
      </c>
      <c r="V55" s="114">
        <v>0</v>
      </c>
      <c r="W55" s="114">
        <v>0</v>
      </c>
      <c r="X55" s="114">
        <v>0</v>
      </c>
      <c r="Y55" s="114">
        <v>2.3033594623360698</v>
      </c>
      <c r="Z55" s="114">
        <v>0</v>
      </c>
      <c r="AA55" s="114">
        <v>0</v>
      </c>
      <c r="AB55" s="114">
        <v>0</v>
      </c>
      <c r="AC55" s="114">
        <v>1.6512668291632999</v>
      </c>
      <c r="AD55" s="103">
        <v>62.727098503433503</v>
      </c>
      <c r="AE55" s="103">
        <v>351.08705040414452</v>
      </c>
      <c r="AF55" s="103">
        <v>202.03525419522933</v>
      </c>
      <c r="AG55" s="103">
        <f t="shared" si="13"/>
        <v>413.81414890757804</v>
      </c>
      <c r="AH55" s="103">
        <f t="shared" si="14"/>
        <v>553.12230459937382</v>
      </c>
      <c r="AI55" s="103">
        <f t="shared" si="15"/>
        <v>615.8494031028074</v>
      </c>
      <c r="AJ55" s="105"/>
      <c r="AK55" s="105"/>
    </row>
    <row r="56" spans="1:37" x14ac:dyDescent="0.2">
      <c r="A56" s="3" t="str">
        <f t="shared" si="12"/>
        <v>SVH25</v>
      </c>
      <c r="B56" s="3" t="str">
        <f>'Forecast drivers'!B57</f>
        <v>SVH</v>
      </c>
      <c r="C56" s="32">
        <f>'Forecast drivers'!C57</f>
        <v>2025</v>
      </c>
      <c r="D56" s="49">
        <v>45.802437895674032</v>
      </c>
      <c r="E56" s="102">
        <v>205.22640173895076</v>
      </c>
      <c r="F56" s="102">
        <v>176.4398918067908</v>
      </c>
      <c r="G56" s="102">
        <v>251.02883963462477</v>
      </c>
      <c r="H56" s="102">
        <v>381.66629354574155</v>
      </c>
      <c r="I56" s="102">
        <v>427.46873144141557</v>
      </c>
      <c r="J56" s="114">
        <v>0.71462172127678503</v>
      </c>
      <c r="K56" s="114">
        <v>0</v>
      </c>
      <c r="L56" s="114">
        <v>18.682455779088489</v>
      </c>
      <c r="M56" s="114">
        <v>4.5184256090377604</v>
      </c>
      <c r="N56" s="114">
        <v>0</v>
      </c>
      <c r="O56" s="114">
        <v>0</v>
      </c>
      <c r="P56" s="114">
        <v>0</v>
      </c>
      <c r="Q56" s="114">
        <v>8.8805043111884103</v>
      </c>
      <c r="R56" s="114">
        <v>0</v>
      </c>
      <c r="S56" s="114">
        <v>0</v>
      </c>
      <c r="T56" s="114">
        <v>0</v>
      </c>
      <c r="U56" s="114">
        <v>2.6057817814520001E-2</v>
      </c>
      <c r="V56" s="114">
        <v>0</v>
      </c>
      <c r="W56" s="114">
        <v>0</v>
      </c>
      <c r="X56" s="114">
        <v>0</v>
      </c>
      <c r="Y56" s="114">
        <v>2.2826648405519498</v>
      </c>
      <c r="Z56" s="114">
        <v>0</v>
      </c>
      <c r="AA56" s="114">
        <v>0</v>
      </c>
      <c r="AB56" s="114">
        <v>0</v>
      </c>
      <c r="AC56" s="114">
        <v>1.63643095875185</v>
      </c>
      <c r="AD56" s="103">
        <v>56.096509652318773</v>
      </c>
      <c r="AE56" s="103">
        <v>303.42190880665061</v>
      </c>
      <c r="AF56" s="103">
        <v>191.13321749811391</v>
      </c>
      <c r="AG56" s="103">
        <f t="shared" si="13"/>
        <v>359.51841845896939</v>
      </c>
      <c r="AH56" s="103">
        <f t="shared" si="14"/>
        <v>494.55512630476449</v>
      </c>
      <c r="AI56" s="103">
        <f t="shared" si="15"/>
        <v>550.65163595708327</v>
      </c>
      <c r="AJ56" s="105"/>
      <c r="AK56" s="105"/>
    </row>
    <row r="57" spans="1:37" x14ac:dyDescent="0.2">
      <c r="A57" s="3" t="str">
        <f t="shared" si="12"/>
        <v>SVE21</v>
      </c>
      <c r="B57" s="3" t="s">
        <v>116</v>
      </c>
      <c r="C57" s="32">
        <v>2021</v>
      </c>
      <c r="D57" s="49">
        <v>56.360221052086665</v>
      </c>
      <c r="E57" s="102">
        <v>210.10636674752152</v>
      </c>
      <c r="F57" s="102">
        <v>213.3667960810244</v>
      </c>
      <c r="G57" s="102">
        <v>266.46658779960819</v>
      </c>
      <c r="H57" s="102">
        <v>423.47316282854592</v>
      </c>
      <c r="I57" s="102">
        <v>479.8333838806326</v>
      </c>
      <c r="J57" s="114">
        <v>0.69901504068353104</v>
      </c>
      <c r="K57" s="114">
        <v>0</v>
      </c>
      <c r="L57" s="114">
        <v>29.052759005122098</v>
      </c>
      <c r="M57" s="114">
        <v>4.6895079616559698</v>
      </c>
      <c r="N57" s="114">
        <v>0</v>
      </c>
      <c r="O57" s="114">
        <v>0</v>
      </c>
      <c r="P57" s="114">
        <v>0</v>
      </c>
      <c r="Q57" s="114">
        <v>9.2167492118359604</v>
      </c>
      <c r="R57" s="114">
        <v>0</v>
      </c>
      <c r="S57" s="114">
        <v>0</v>
      </c>
      <c r="T57" s="114">
        <v>0</v>
      </c>
      <c r="U57" s="114">
        <v>2.7044451912664198E-2</v>
      </c>
      <c r="V57" s="114">
        <v>0</v>
      </c>
      <c r="W57" s="114">
        <v>0</v>
      </c>
      <c r="X57" s="114">
        <v>0</v>
      </c>
      <c r="Y57" s="114">
        <v>2.3690939875493902</v>
      </c>
      <c r="Z57" s="114">
        <v>0</v>
      </c>
      <c r="AA57" s="114">
        <v>0</v>
      </c>
      <c r="AB57" s="114">
        <v>0</v>
      </c>
      <c r="AC57" s="114">
        <v>1.69839158011531</v>
      </c>
      <c r="AD57" s="103">
        <v>64.876259619463838</v>
      </c>
      <c r="AE57" s="103">
        <v>283.143096818054</v>
      </c>
      <c r="AF57" s="103">
        <v>223.26945302402959</v>
      </c>
      <c r="AG57" s="103">
        <f t="shared" si="13"/>
        <v>348.01935643751784</v>
      </c>
      <c r="AH57" s="103">
        <f t="shared" si="14"/>
        <v>506.41254984208359</v>
      </c>
      <c r="AI57" s="103">
        <f t="shared" si="15"/>
        <v>571.28880946154743</v>
      </c>
      <c r="AJ57" s="105"/>
      <c r="AK57" s="105"/>
    </row>
    <row r="58" spans="1:37" x14ac:dyDescent="0.2">
      <c r="A58" s="3" t="str">
        <f t="shared" si="12"/>
        <v>SVE22</v>
      </c>
      <c r="B58" s="3" t="s">
        <v>116</v>
      </c>
      <c r="C58" s="32">
        <v>2022</v>
      </c>
      <c r="D58" s="49">
        <v>54.677533988691863</v>
      </c>
      <c r="E58" s="102">
        <v>221.27094844565087</v>
      </c>
      <c r="F58" s="102">
        <v>203.84378438134235</v>
      </c>
      <c r="G58" s="102">
        <v>275.94848243434274</v>
      </c>
      <c r="H58" s="102">
        <v>425.11473282699319</v>
      </c>
      <c r="I58" s="102">
        <v>479.79226681568502</v>
      </c>
      <c r="J58" s="114">
        <v>0.703175095192618</v>
      </c>
      <c r="K58" s="114">
        <v>0</v>
      </c>
      <c r="L58" s="114">
        <v>17.098062465635671</v>
      </c>
      <c r="M58" s="114">
        <v>4.6465769013862701</v>
      </c>
      <c r="N58" s="114">
        <v>0</v>
      </c>
      <c r="O58" s="114">
        <v>0</v>
      </c>
      <c r="P58" s="114">
        <v>0</v>
      </c>
      <c r="Q58" s="114">
        <v>9.1323725951121109</v>
      </c>
      <c r="R58" s="114">
        <v>0</v>
      </c>
      <c r="S58" s="114">
        <v>0</v>
      </c>
      <c r="T58" s="114">
        <v>0</v>
      </c>
      <c r="U58" s="114">
        <v>2.67968679434041E-2</v>
      </c>
      <c r="V58" s="114">
        <v>0</v>
      </c>
      <c r="W58" s="114">
        <v>0</v>
      </c>
      <c r="X58" s="114">
        <v>0</v>
      </c>
      <c r="Y58" s="114">
        <v>2.3474056318422001</v>
      </c>
      <c r="Z58" s="114">
        <v>0</v>
      </c>
      <c r="AA58" s="114">
        <v>0</v>
      </c>
      <c r="AB58" s="114">
        <v>0</v>
      </c>
      <c r="AC58" s="114">
        <v>1.68284330684578</v>
      </c>
      <c r="AD58" s="103">
        <v>65.132480015264704</v>
      </c>
      <c r="AE58" s="103">
        <v>333.93011725589491</v>
      </c>
      <c r="AF58" s="103">
        <v>213.97502030447677</v>
      </c>
      <c r="AG58" s="103">
        <f t="shared" si="13"/>
        <v>399.06259727115963</v>
      </c>
      <c r="AH58" s="103">
        <f t="shared" si="14"/>
        <v>547.90513756037171</v>
      </c>
      <c r="AI58" s="103">
        <f t="shared" si="15"/>
        <v>613.03761757563643</v>
      </c>
      <c r="AJ58" s="105"/>
      <c r="AK58" s="105"/>
    </row>
    <row r="59" spans="1:37" x14ac:dyDescent="0.2">
      <c r="A59" s="3" t="str">
        <f t="shared" si="12"/>
        <v>SVE23</v>
      </c>
      <c r="B59" s="3" t="s">
        <v>116</v>
      </c>
      <c r="C59" s="32">
        <v>2023</v>
      </c>
      <c r="D59" s="49">
        <v>52.81548094686881</v>
      </c>
      <c r="E59" s="102">
        <v>223.6464105652457</v>
      </c>
      <c r="F59" s="102">
        <v>187.64813445671817</v>
      </c>
      <c r="G59" s="102">
        <v>276.46189151211451</v>
      </c>
      <c r="H59" s="102">
        <v>411.29454502196387</v>
      </c>
      <c r="I59" s="102">
        <v>464.1100259688327</v>
      </c>
      <c r="J59" s="114">
        <v>0.70716511736719501</v>
      </c>
      <c r="K59" s="114">
        <v>0</v>
      </c>
      <c r="L59" s="114">
        <v>17.310697345586249</v>
      </c>
      <c r="M59" s="114">
        <v>4.6025192434213897</v>
      </c>
      <c r="N59" s="114">
        <v>0</v>
      </c>
      <c r="O59" s="114">
        <v>0</v>
      </c>
      <c r="P59" s="114">
        <v>0</v>
      </c>
      <c r="Q59" s="114">
        <v>9.0457817656171304</v>
      </c>
      <c r="R59" s="114">
        <v>0</v>
      </c>
      <c r="S59" s="114">
        <v>0</v>
      </c>
      <c r="T59" s="114">
        <v>0</v>
      </c>
      <c r="U59" s="114">
        <v>2.65427868709423E-2</v>
      </c>
      <c r="V59" s="114">
        <v>0</v>
      </c>
      <c r="W59" s="114">
        <v>0</v>
      </c>
      <c r="X59" s="114">
        <v>0</v>
      </c>
      <c r="Y59" s="114">
        <v>2.32514812989454</v>
      </c>
      <c r="Z59" s="114">
        <v>0</v>
      </c>
      <c r="AA59" s="114">
        <v>0</v>
      </c>
      <c r="AB59" s="114">
        <v>0</v>
      </c>
      <c r="AC59" s="114">
        <v>1.66688701549518</v>
      </c>
      <c r="AD59" s="103">
        <v>64.354287814783532</v>
      </c>
      <c r="AE59" s="103">
        <v>351.57154286382888</v>
      </c>
      <c r="AF59" s="103">
        <v>204.23381390483564</v>
      </c>
      <c r="AG59" s="103">
        <f t="shared" si="13"/>
        <v>415.92583067861244</v>
      </c>
      <c r="AH59" s="103">
        <f t="shared" si="14"/>
        <v>555.80535676866452</v>
      </c>
      <c r="AI59" s="103">
        <f t="shared" si="15"/>
        <v>620.15964458344808</v>
      </c>
      <c r="AJ59" s="105"/>
      <c r="AK59" s="105"/>
    </row>
    <row r="60" spans="1:37" x14ac:dyDescent="0.2">
      <c r="A60" s="3" t="str">
        <f t="shared" si="12"/>
        <v>SVE24</v>
      </c>
      <c r="B60" s="3" t="s">
        <v>116</v>
      </c>
      <c r="C60" s="32">
        <v>2024</v>
      </c>
      <c r="D60" s="49">
        <v>50.360899483140287</v>
      </c>
      <c r="E60" s="102">
        <v>219.04384543015809</v>
      </c>
      <c r="F60" s="102">
        <v>183.74159569464487</v>
      </c>
      <c r="G60" s="102">
        <v>269.40474491329837</v>
      </c>
      <c r="H60" s="102">
        <v>402.78544112480296</v>
      </c>
      <c r="I60" s="102">
        <v>453.14634060794322</v>
      </c>
      <c r="J60" s="114">
        <v>0.71094911210287903</v>
      </c>
      <c r="K60" s="114">
        <v>0</v>
      </c>
      <c r="L60" s="114">
        <v>17.227096808118969</v>
      </c>
      <c r="M60" s="114">
        <v>4.5593896206515296</v>
      </c>
      <c r="N60" s="114">
        <v>0</v>
      </c>
      <c r="O60" s="114">
        <v>0</v>
      </c>
      <c r="P60" s="114">
        <v>0</v>
      </c>
      <c r="Q60" s="114">
        <v>8.9610148945677093</v>
      </c>
      <c r="R60" s="114">
        <v>0</v>
      </c>
      <c r="S60" s="114">
        <v>0</v>
      </c>
      <c r="T60" s="114">
        <v>0</v>
      </c>
      <c r="U60" s="114">
        <v>2.6294057789224501E-2</v>
      </c>
      <c r="V60" s="114">
        <v>0</v>
      </c>
      <c r="W60" s="114">
        <v>0</v>
      </c>
      <c r="X60" s="114">
        <v>0</v>
      </c>
      <c r="Y60" s="114">
        <v>2.3033594623360698</v>
      </c>
      <c r="Z60" s="114">
        <v>0</v>
      </c>
      <c r="AA60" s="114">
        <v>0</v>
      </c>
      <c r="AB60" s="114">
        <v>0</v>
      </c>
      <c r="AC60" s="114">
        <v>1.6512668291632999</v>
      </c>
      <c r="AD60" s="103">
        <v>62.001098503433511</v>
      </c>
      <c r="AE60" s="103">
        <v>346.79395916348028</v>
      </c>
      <c r="AF60" s="103">
        <v>200.81634543589357</v>
      </c>
      <c r="AG60" s="103">
        <f t="shared" si="13"/>
        <v>408.79505766691381</v>
      </c>
      <c r="AH60" s="103">
        <f t="shared" si="14"/>
        <v>547.61030459937388</v>
      </c>
      <c r="AI60" s="103">
        <f t="shared" si="15"/>
        <v>609.61140310280734</v>
      </c>
      <c r="AJ60" s="105"/>
      <c r="AK60" s="105"/>
    </row>
    <row r="61" spans="1:37" x14ac:dyDescent="0.2">
      <c r="A61" s="3" t="str">
        <f t="shared" si="12"/>
        <v>SVE25</v>
      </c>
      <c r="B61" s="3" t="s">
        <v>116</v>
      </c>
      <c r="C61" s="32">
        <v>2025</v>
      </c>
      <c r="D61" s="49">
        <v>45.23453536842284</v>
      </c>
      <c r="E61" s="102">
        <v>202.69966367276953</v>
      </c>
      <c r="F61" s="102">
        <v>175.24358398772179</v>
      </c>
      <c r="G61" s="102">
        <v>247.93419904119236</v>
      </c>
      <c r="H61" s="102">
        <v>377.94324766049135</v>
      </c>
      <c r="I61" s="102">
        <v>423.17778302891418</v>
      </c>
      <c r="J61" s="114">
        <v>0.71462172127678503</v>
      </c>
      <c r="K61" s="114">
        <v>0</v>
      </c>
      <c r="L61" s="114">
        <v>18.60745577908849</v>
      </c>
      <c r="M61" s="114">
        <v>4.5184256090377604</v>
      </c>
      <c r="N61" s="114">
        <v>0</v>
      </c>
      <c r="O61" s="114">
        <v>0</v>
      </c>
      <c r="P61" s="114">
        <v>0</v>
      </c>
      <c r="Q61" s="114">
        <v>8.8805043111884103</v>
      </c>
      <c r="R61" s="114">
        <v>0</v>
      </c>
      <c r="S61" s="114">
        <v>0</v>
      </c>
      <c r="T61" s="114">
        <v>0</v>
      </c>
      <c r="U61" s="114">
        <v>2.6057817814520001E-2</v>
      </c>
      <c r="V61" s="114">
        <v>0</v>
      </c>
      <c r="W61" s="114">
        <v>0</v>
      </c>
      <c r="X61" s="114">
        <v>0</v>
      </c>
      <c r="Y61" s="114">
        <v>2.2826648405519498</v>
      </c>
      <c r="Z61" s="114">
        <v>0</v>
      </c>
      <c r="AA61" s="114">
        <v>0</v>
      </c>
      <c r="AB61" s="114">
        <v>0</v>
      </c>
      <c r="AC61" s="114">
        <v>1.63643095875185</v>
      </c>
      <c r="AD61" s="103">
        <v>55.370509652318773</v>
      </c>
      <c r="AE61" s="103">
        <v>300.70376726772059</v>
      </c>
      <c r="AF61" s="103">
        <v>189.91135903704395</v>
      </c>
      <c r="AG61" s="103">
        <f t="shared" si="13"/>
        <v>356.07427692003938</v>
      </c>
      <c r="AH61" s="103">
        <f t="shared" si="14"/>
        <v>490.61512630476454</v>
      </c>
      <c r="AI61" s="103">
        <f t="shared" si="15"/>
        <v>545.98563595708333</v>
      </c>
      <c r="AJ61" s="105"/>
      <c r="AK61" s="105"/>
    </row>
    <row r="62" spans="1:37" x14ac:dyDescent="0.2">
      <c r="A62" s="3" t="str">
        <f t="shared" si="12"/>
        <v>HDD21</v>
      </c>
      <c r="B62" s="3" t="s">
        <v>87</v>
      </c>
      <c r="C62" s="32">
        <v>2021</v>
      </c>
      <c r="D62" s="49">
        <v>0.56901715735148017</v>
      </c>
      <c r="E62" s="102">
        <v>2.4681321217349561</v>
      </c>
      <c r="F62" s="102">
        <v>1.2093583722946608</v>
      </c>
      <c r="G62" s="102">
        <v>3.0371492790864361</v>
      </c>
      <c r="H62" s="102">
        <v>3.6774904940296169</v>
      </c>
      <c r="I62" s="102">
        <v>4.2465076513810969</v>
      </c>
      <c r="J62" s="114">
        <v>0</v>
      </c>
      <c r="K62" s="114">
        <v>0</v>
      </c>
      <c r="L62" s="114">
        <v>6.5000000000000002E-2</v>
      </c>
      <c r="M62" s="114">
        <v>0</v>
      </c>
      <c r="N62" s="114">
        <v>0</v>
      </c>
      <c r="O62" s="114">
        <v>0</v>
      </c>
      <c r="P62" s="114">
        <v>0</v>
      </c>
      <c r="Q62" s="114">
        <v>0</v>
      </c>
      <c r="R62" s="114">
        <v>0</v>
      </c>
      <c r="S62" s="114">
        <v>0</v>
      </c>
      <c r="T62" s="114">
        <v>0</v>
      </c>
      <c r="U62" s="114">
        <v>0</v>
      </c>
      <c r="V62" s="114">
        <v>0</v>
      </c>
      <c r="W62" s="114">
        <v>0</v>
      </c>
      <c r="X62" s="114">
        <v>0</v>
      </c>
      <c r="Y62" s="114">
        <v>0</v>
      </c>
      <c r="Z62" s="114">
        <v>0</v>
      </c>
      <c r="AA62" s="114">
        <v>0</v>
      </c>
      <c r="AB62" s="114">
        <v>0</v>
      </c>
      <c r="AC62" s="114">
        <v>0</v>
      </c>
      <c r="AD62" s="103">
        <v>0.69800000000000006</v>
      </c>
      <c r="AE62" s="103">
        <v>2.63042096438347</v>
      </c>
      <c r="AF62" s="103">
        <v>1.23457903561653</v>
      </c>
      <c r="AG62" s="103">
        <f t="shared" si="13"/>
        <v>3.3284209643834699</v>
      </c>
      <c r="AH62" s="103">
        <f t="shared" si="14"/>
        <v>3.8650000000000002</v>
      </c>
      <c r="AI62" s="103">
        <f t="shared" si="15"/>
        <v>4.5629999999999997</v>
      </c>
      <c r="AJ62" s="105"/>
      <c r="AK62" s="105"/>
    </row>
    <row r="63" spans="1:37" x14ac:dyDescent="0.2">
      <c r="A63" s="3" t="str">
        <f t="shared" si="12"/>
        <v>HDD22</v>
      </c>
      <c r="B63" s="3" t="s">
        <v>87</v>
      </c>
      <c r="C63" s="32">
        <v>2022</v>
      </c>
      <c r="D63" s="49">
        <v>0.56751062912641814</v>
      </c>
      <c r="E63" s="102">
        <v>2.5497848004625605</v>
      </c>
      <c r="F63" s="102">
        <v>1.2050763479381315</v>
      </c>
      <c r="G63" s="102">
        <v>3.1172954295889785</v>
      </c>
      <c r="H63" s="102">
        <v>3.7548611484006917</v>
      </c>
      <c r="I63" s="102">
        <v>4.3223717775271098</v>
      </c>
      <c r="J63" s="114">
        <v>0</v>
      </c>
      <c r="K63" s="114">
        <v>0</v>
      </c>
      <c r="L63" s="114">
        <v>6.9000000000000006E-2</v>
      </c>
      <c r="M63" s="114">
        <v>0</v>
      </c>
      <c r="N63" s="114">
        <v>0</v>
      </c>
      <c r="O63" s="114">
        <v>0</v>
      </c>
      <c r="P63" s="114">
        <v>0</v>
      </c>
      <c r="Q63" s="114">
        <v>0</v>
      </c>
      <c r="R63" s="114">
        <v>0</v>
      </c>
      <c r="S63" s="114">
        <v>0</v>
      </c>
      <c r="T63" s="114">
        <v>0</v>
      </c>
      <c r="U63" s="114">
        <v>0</v>
      </c>
      <c r="V63" s="114">
        <v>0</v>
      </c>
      <c r="W63" s="114">
        <v>0</v>
      </c>
      <c r="X63" s="114">
        <v>0</v>
      </c>
      <c r="Y63" s="114">
        <v>0</v>
      </c>
      <c r="Z63" s="114">
        <v>0</v>
      </c>
      <c r="AA63" s="114">
        <v>0</v>
      </c>
      <c r="AB63" s="114">
        <v>0</v>
      </c>
      <c r="AC63" s="114">
        <v>0</v>
      </c>
      <c r="AD63" s="103">
        <v>0.72599999999999998</v>
      </c>
      <c r="AE63" s="103">
        <v>2.9666266713361402</v>
      </c>
      <c r="AF63" s="103">
        <v>1.2303733286638598</v>
      </c>
      <c r="AG63" s="103">
        <f t="shared" si="13"/>
        <v>3.6926266713361402</v>
      </c>
      <c r="AH63" s="103">
        <f t="shared" si="14"/>
        <v>4.1970000000000001</v>
      </c>
      <c r="AI63" s="103">
        <f t="shared" si="15"/>
        <v>4.923</v>
      </c>
      <c r="AJ63" s="105"/>
      <c r="AK63" s="105"/>
    </row>
    <row r="64" spans="1:37" x14ac:dyDescent="0.2">
      <c r="A64" s="3" t="str">
        <f t="shared" si="12"/>
        <v>HDD23</v>
      </c>
      <c r="B64" s="3" t="s">
        <v>87</v>
      </c>
      <c r="C64" s="32">
        <v>2023</v>
      </c>
      <c r="D64" s="49">
        <v>0.56766749518294557</v>
      </c>
      <c r="E64" s="102">
        <v>2.5296602999397146</v>
      </c>
      <c r="F64" s="102">
        <v>1.2012308686930269</v>
      </c>
      <c r="G64" s="102">
        <v>3.0973277951226601</v>
      </c>
      <c r="H64" s="102">
        <v>3.7308911686327413</v>
      </c>
      <c r="I64" s="102">
        <v>4.2985586638156867</v>
      </c>
      <c r="J64" s="114">
        <v>0</v>
      </c>
      <c r="K64" s="114">
        <v>0</v>
      </c>
      <c r="L64" s="114">
        <v>7.3000000000000009E-2</v>
      </c>
      <c r="M64" s="114">
        <v>0</v>
      </c>
      <c r="N64" s="114">
        <v>0</v>
      </c>
      <c r="O64" s="114">
        <v>0</v>
      </c>
      <c r="P64" s="114">
        <v>0</v>
      </c>
      <c r="Q64" s="114">
        <v>0</v>
      </c>
      <c r="R64" s="114">
        <v>0</v>
      </c>
      <c r="S64" s="114">
        <v>0</v>
      </c>
      <c r="T64" s="114">
        <v>0</v>
      </c>
      <c r="U64" s="114">
        <v>0</v>
      </c>
      <c r="V64" s="114">
        <v>0</v>
      </c>
      <c r="W64" s="114">
        <v>0</v>
      </c>
      <c r="X64" s="114">
        <v>0</v>
      </c>
      <c r="Y64" s="114">
        <v>0</v>
      </c>
      <c r="Z64" s="114">
        <v>0</v>
      </c>
      <c r="AA64" s="114">
        <v>0</v>
      </c>
      <c r="AB64" s="114">
        <v>0</v>
      </c>
      <c r="AC64" s="114">
        <v>0</v>
      </c>
      <c r="AD64" s="103">
        <v>0.72599999999999998</v>
      </c>
      <c r="AE64" s="103">
        <v>3.17139180475677</v>
      </c>
      <c r="AF64" s="103">
        <v>1.2266081952432299</v>
      </c>
      <c r="AG64" s="103">
        <f t="shared" si="13"/>
        <v>3.8973918047567699</v>
      </c>
      <c r="AH64" s="103">
        <f t="shared" si="14"/>
        <v>4.3979999999999997</v>
      </c>
      <c r="AI64" s="103">
        <f t="shared" si="15"/>
        <v>5.1239999999999997</v>
      </c>
      <c r="AJ64" s="105"/>
      <c r="AK64" s="105"/>
    </row>
    <row r="65" spans="1:37" x14ac:dyDescent="0.2">
      <c r="A65" s="3" t="str">
        <f t="shared" si="12"/>
        <v>HDD24</v>
      </c>
      <c r="B65" s="3" t="s">
        <v>87</v>
      </c>
      <c r="C65" s="32">
        <v>2024</v>
      </c>
      <c r="D65" s="49">
        <v>0.56781790276622224</v>
      </c>
      <c r="E65" s="102">
        <v>2.5262776434304404</v>
      </c>
      <c r="F65" s="102">
        <v>1.1934465276846937</v>
      </c>
      <c r="G65" s="102">
        <v>3.0940955461966624</v>
      </c>
      <c r="H65" s="102">
        <v>3.7197241711151339</v>
      </c>
      <c r="I65" s="102">
        <v>4.2875420738813563</v>
      </c>
      <c r="J65" s="114">
        <v>0</v>
      </c>
      <c r="K65" s="114">
        <v>0</v>
      </c>
      <c r="L65" s="114">
        <v>7.4999999999999997E-2</v>
      </c>
      <c r="M65" s="114">
        <v>0</v>
      </c>
      <c r="N65" s="114">
        <v>0</v>
      </c>
      <c r="O65" s="114">
        <v>0</v>
      </c>
      <c r="P65" s="114">
        <v>0</v>
      </c>
      <c r="Q65" s="114">
        <v>0</v>
      </c>
      <c r="R65" s="114">
        <v>0</v>
      </c>
      <c r="S65" s="114">
        <v>0</v>
      </c>
      <c r="T65" s="114">
        <v>0</v>
      </c>
      <c r="U65" s="114">
        <v>0</v>
      </c>
      <c r="V65" s="114">
        <v>0</v>
      </c>
      <c r="W65" s="114">
        <v>0</v>
      </c>
      <c r="X65" s="114">
        <v>0</v>
      </c>
      <c r="Y65" s="114">
        <v>0</v>
      </c>
      <c r="Z65" s="114">
        <v>0</v>
      </c>
      <c r="AA65" s="114">
        <v>0</v>
      </c>
      <c r="AB65" s="114">
        <v>0</v>
      </c>
      <c r="AC65" s="114">
        <v>0</v>
      </c>
      <c r="AD65" s="103">
        <v>0.72600000000000098</v>
      </c>
      <c r="AE65" s="103">
        <v>4.2930912406642197</v>
      </c>
      <c r="AF65" s="103">
        <v>1.2189087593357799</v>
      </c>
      <c r="AG65" s="103">
        <f t="shared" si="13"/>
        <v>5.0190912406642205</v>
      </c>
      <c r="AH65" s="103">
        <f t="shared" si="14"/>
        <v>5.5119999999999996</v>
      </c>
      <c r="AI65" s="103">
        <f t="shared" si="15"/>
        <v>6.2380000000000004</v>
      </c>
      <c r="AJ65" s="105"/>
      <c r="AK65" s="105"/>
    </row>
    <row r="66" spans="1:37" x14ac:dyDescent="0.2">
      <c r="A66" s="3" t="str">
        <f t="shared" si="12"/>
        <v>HDD25</v>
      </c>
      <c r="B66" s="3" t="s">
        <v>87</v>
      </c>
      <c r="C66" s="32">
        <v>2025</v>
      </c>
      <c r="D66" s="49">
        <v>0.56790252725119184</v>
      </c>
      <c r="E66" s="102">
        <v>2.5267380661812231</v>
      </c>
      <c r="F66" s="102">
        <v>1.1963078190690235</v>
      </c>
      <c r="G66" s="102">
        <v>3.0946405934324148</v>
      </c>
      <c r="H66" s="102">
        <v>3.7230458852502464</v>
      </c>
      <c r="I66" s="102">
        <v>4.2909484125014385</v>
      </c>
      <c r="J66" s="114">
        <v>0</v>
      </c>
      <c r="K66" s="114">
        <v>0</v>
      </c>
      <c r="L66" s="114">
        <v>7.5000000000000011E-2</v>
      </c>
      <c r="M66" s="114">
        <v>0</v>
      </c>
      <c r="N66" s="114">
        <v>0</v>
      </c>
      <c r="O66" s="114">
        <v>0</v>
      </c>
      <c r="P66" s="114">
        <v>0</v>
      </c>
      <c r="Q66" s="114">
        <v>0</v>
      </c>
      <c r="R66" s="114">
        <v>0</v>
      </c>
      <c r="S66" s="114">
        <v>0</v>
      </c>
      <c r="T66" s="114">
        <v>0</v>
      </c>
      <c r="U66" s="114">
        <v>0</v>
      </c>
      <c r="V66" s="114">
        <v>0</v>
      </c>
      <c r="W66" s="114">
        <v>0</v>
      </c>
      <c r="X66" s="114">
        <v>0</v>
      </c>
      <c r="Y66" s="114">
        <v>0</v>
      </c>
      <c r="Z66" s="114">
        <v>0</v>
      </c>
      <c r="AA66" s="114">
        <v>0</v>
      </c>
      <c r="AB66" s="114">
        <v>0</v>
      </c>
      <c r="AC66" s="114">
        <v>0</v>
      </c>
      <c r="AD66" s="103">
        <v>0.72599999999999998</v>
      </c>
      <c r="AE66" s="103">
        <v>2.7181415389300301</v>
      </c>
      <c r="AF66" s="103">
        <v>1.2218584610699699</v>
      </c>
      <c r="AG66" s="103">
        <f t="shared" si="13"/>
        <v>3.4441415389300301</v>
      </c>
      <c r="AH66" s="103">
        <f t="shared" si="14"/>
        <v>3.94</v>
      </c>
      <c r="AI66" s="103">
        <f t="shared" si="15"/>
        <v>4.6660000000000004</v>
      </c>
      <c r="AJ66" s="105"/>
      <c r="AK66" s="105"/>
    </row>
  </sheetData>
  <mergeCells count="1">
    <mergeCell ref="J2:N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57"/>
  <sheetViews>
    <sheetView showGridLines="0" zoomScale="70" zoomScaleNormal="70" workbookViewId="0">
      <pane xSplit="3" ySplit="7" topLeftCell="D8" activePane="bottomRight" state="frozen"/>
      <selection pane="topRight" activeCell="D1" sqref="D1"/>
      <selection pane="bottomLeft" activeCell="A5" sqref="A5"/>
      <selection pane="bottomRight"/>
    </sheetView>
  </sheetViews>
  <sheetFormatPr defaultColWidth="9" defaultRowHeight="12.75" x14ac:dyDescent="0.2"/>
  <cols>
    <col min="1" max="1" width="10.375" style="11" customWidth="1"/>
    <col min="2" max="2" width="12.125" style="11" customWidth="1"/>
    <col min="3" max="3" width="10.125" style="11" bestFit="1" customWidth="1"/>
    <col min="4" max="4" width="13" style="11" customWidth="1"/>
    <col min="5" max="5" width="12.5" style="11" bestFit="1" customWidth="1"/>
    <col min="6" max="6" width="10.5" style="11" bestFit="1" customWidth="1"/>
    <col min="7" max="7" width="11.625" style="11" customWidth="1"/>
    <col min="8" max="8" width="15.125" style="11" bestFit="1" customWidth="1"/>
    <col min="9" max="9" width="16.625" style="11" customWidth="1"/>
    <col min="10" max="12" width="8.625" style="11" customWidth="1"/>
    <col min="13" max="13" width="11" style="11" customWidth="1"/>
    <col min="14" max="14" width="13" style="11" customWidth="1"/>
    <col min="15" max="15" width="11.625" style="11" customWidth="1"/>
    <col min="16" max="16" width="11.875" style="11" bestFit="1" customWidth="1"/>
    <col min="17" max="17" width="11.125" style="11" bestFit="1" customWidth="1"/>
    <col min="18" max="22" width="8.625" style="11" bestFit="1" customWidth="1"/>
    <col min="23" max="23" width="9" style="11"/>
    <col min="24" max="25" width="8.625" style="11" bestFit="1" customWidth="1"/>
    <col min="26" max="16384" width="9" style="11"/>
  </cols>
  <sheetData>
    <row r="1" spans="1:25" ht="15.75" x14ac:dyDescent="0.25">
      <c r="A1" s="65" t="s">
        <v>25</v>
      </c>
    </row>
    <row r="4" spans="1:25" x14ac:dyDescent="0.2">
      <c r="A4" s="254"/>
      <c r="B4" s="254"/>
      <c r="D4" s="152" t="s">
        <v>149</v>
      </c>
      <c r="E4" s="152"/>
      <c r="F4" s="152"/>
      <c r="G4" s="152"/>
      <c r="H4" s="152"/>
      <c r="I4" s="152"/>
      <c r="J4" s="152"/>
      <c r="K4" s="152"/>
      <c r="L4" s="152"/>
      <c r="M4" s="122"/>
      <c r="N4" s="122"/>
      <c r="O4" s="164" t="s">
        <v>44</v>
      </c>
      <c r="P4" s="86"/>
      <c r="Q4" s="86"/>
      <c r="R4" s="86"/>
      <c r="S4" s="86"/>
      <c r="T4" s="86"/>
      <c r="U4" s="86"/>
      <c r="V4" s="86"/>
      <c r="W4" s="86"/>
      <c r="X4" s="86"/>
      <c r="Y4" s="87"/>
    </row>
    <row r="5" spans="1:25" s="59" customFormat="1" ht="61.5" customHeight="1" x14ac:dyDescent="0.2">
      <c r="A5" s="254"/>
      <c r="B5" s="254"/>
      <c r="C5" s="11"/>
      <c r="D5" s="31" t="s">
        <v>53</v>
      </c>
      <c r="E5" s="31" t="s">
        <v>62</v>
      </c>
      <c r="F5" s="31" t="s">
        <v>41</v>
      </c>
      <c r="G5" s="52" t="s">
        <v>42</v>
      </c>
      <c r="H5" s="31" t="s">
        <v>64</v>
      </c>
      <c r="I5" s="31" t="s">
        <v>65</v>
      </c>
      <c r="J5" s="31" t="s">
        <v>60</v>
      </c>
      <c r="K5" s="31" t="s">
        <v>59</v>
      </c>
      <c r="L5" s="31" t="s">
        <v>85</v>
      </c>
      <c r="M5" s="31" t="s">
        <v>66</v>
      </c>
      <c r="N5" s="31" t="s">
        <v>67</v>
      </c>
      <c r="O5" s="123" t="s">
        <v>53</v>
      </c>
      <c r="P5" s="123" t="s">
        <v>62</v>
      </c>
      <c r="Q5" s="123" t="s">
        <v>41</v>
      </c>
      <c r="R5" s="124" t="s">
        <v>63</v>
      </c>
      <c r="S5" s="125" t="s">
        <v>64</v>
      </c>
      <c r="T5" s="124" t="s">
        <v>65</v>
      </c>
      <c r="U5" s="123" t="s">
        <v>60</v>
      </c>
      <c r="V5" s="123" t="s">
        <v>59</v>
      </c>
      <c r="W5" s="123" t="s">
        <v>85</v>
      </c>
      <c r="X5" s="125" t="s">
        <v>66</v>
      </c>
      <c r="Y5" s="125" t="s">
        <v>67</v>
      </c>
    </row>
    <row r="6" spans="1:25" s="59" customFormat="1" ht="51" x14ac:dyDescent="0.2">
      <c r="A6" s="11"/>
      <c r="B6" s="11"/>
      <c r="C6" s="11"/>
      <c r="D6" s="53" t="s">
        <v>61</v>
      </c>
      <c r="E6" s="53" t="s">
        <v>29</v>
      </c>
      <c r="F6" s="53" t="s">
        <v>34</v>
      </c>
      <c r="G6" s="54" t="s">
        <v>38</v>
      </c>
      <c r="H6" s="53" t="s">
        <v>30</v>
      </c>
      <c r="I6" s="53" t="s">
        <v>31</v>
      </c>
      <c r="J6" s="53" t="s">
        <v>68</v>
      </c>
      <c r="K6" s="53" t="s">
        <v>69</v>
      </c>
      <c r="L6" s="53" t="s">
        <v>86</v>
      </c>
      <c r="M6" s="53" t="s">
        <v>84</v>
      </c>
      <c r="N6" s="53" t="s">
        <v>70</v>
      </c>
      <c r="O6" s="126" t="s">
        <v>61</v>
      </c>
      <c r="P6" s="126" t="s">
        <v>29</v>
      </c>
      <c r="Q6" s="126" t="s">
        <v>34</v>
      </c>
      <c r="R6" s="127" t="s">
        <v>38</v>
      </c>
      <c r="S6" s="126" t="s">
        <v>30</v>
      </c>
      <c r="T6" s="127" t="s">
        <v>31</v>
      </c>
      <c r="U6" s="126" t="s">
        <v>68</v>
      </c>
      <c r="V6" s="126" t="s">
        <v>69</v>
      </c>
      <c r="W6" s="126" t="s">
        <v>86</v>
      </c>
      <c r="X6" s="126" t="s">
        <v>84</v>
      </c>
      <c r="Y6" s="126" t="s">
        <v>70</v>
      </c>
    </row>
    <row r="7" spans="1:25" ht="30.75" customHeight="1" x14ac:dyDescent="0.2">
      <c r="A7" s="2" t="s">
        <v>109</v>
      </c>
      <c r="B7" s="2" t="s">
        <v>97</v>
      </c>
      <c r="C7" s="2" t="s">
        <v>98</v>
      </c>
      <c r="D7" s="55" t="s">
        <v>110</v>
      </c>
      <c r="E7" s="55" t="s">
        <v>110</v>
      </c>
      <c r="F7" s="55" t="s">
        <v>110</v>
      </c>
      <c r="G7" s="55" t="s">
        <v>110</v>
      </c>
      <c r="H7" s="55" t="s">
        <v>110</v>
      </c>
      <c r="I7" s="55" t="s">
        <v>110</v>
      </c>
      <c r="J7" s="55" t="s">
        <v>72</v>
      </c>
      <c r="K7" s="55" t="s">
        <v>72</v>
      </c>
      <c r="L7" s="55" t="s">
        <v>72</v>
      </c>
      <c r="M7" s="55" t="s">
        <v>110</v>
      </c>
      <c r="N7" s="55" t="s">
        <v>110</v>
      </c>
      <c r="O7" s="128" t="s">
        <v>3</v>
      </c>
      <c r="P7" s="128" t="s">
        <v>43</v>
      </c>
      <c r="Q7" s="128" t="s">
        <v>45</v>
      </c>
      <c r="R7" s="128" t="s">
        <v>46</v>
      </c>
      <c r="S7" s="128" t="s">
        <v>71</v>
      </c>
      <c r="T7" s="128" t="s">
        <v>111</v>
      </c>
      <c r="U7" s="128" t="s">
        <v>72</v>
      </c>
      <c r="V7" s="128" t="s">
        <v>72</v>
      </c>
      <c r="W7" s="128" t="s">
        <v>72</v>
      </c>
      <c r="X7" s="129" t="s">
        <v>0</v>
      </c>
      <c r="Y7" s="129" t="s">
        <v>71</v>
      </c>
    </row>
    <row r="8" spans="1:25" x14ac:dyDescent="0.2">
      <c r="A8" s="88" t="str">
        <f t="shared" ref="A8:A34" si="0">B8&amp;RIGHT(C8,2)</f>
        <v>ANH21</v>
      </c>
      <c r="B8" s="6" t="s">
        <v>4</v>
      </c>
      <c r="C8" s="88">
        <v>2021</v>
      </c>
      <c r="D8" s="89">
        <f t="shared" ref="D8:I8" si="1">LN(O8)</f>
        <v>14.853956555586208</v>
      </c>
      <c r="E8" s="89">
        <f t="shared" si="1"/>
        <v>11.249943054916256</v>
      </c>
      <c r="F8" s="89">
        <f t="shared" si="1"/>
        <v>12.968191188380553</v>
      </c>
      <c r="G8" s="89">
        <f t="shared" si="1"/>
        <v>5.0526807958262125</v>
      </c>
      <c r="H8" s="90">
        <f t="shared" si="1"/>
        <v>3.6010450284140649</v>
      </c>
      <c r="I8" s="90">
        <f t="shared" si="1"/>
        <v>0.44598987040625926</v>
      </c>
      <c r="J8" s="90">
        <f>U8</f>
        <v>5.4223577604894997</v>
      </c>
      <c r="K8" s="90">
        <f>V8</f>
        <v>19.811889574251218</v>
      </c>
      <c r="L8" s="90">
        <f>W8</f>
        <v>65.38089185228894</v>
      </c>
      <c r="M8" s="91">
        <f>LN(X8)</f>
        <v>6.7342735889943439</v>
      </c>
      <c r="N8" s="91">
        <f>LN(Y8)</f>
        <v>-7.8169289408999312</v>
      </c>
      <c r="O8" s="130">
        <v>2824823.8187854723</v>
      </c>
      <c r="P8" s="131">
        <v>76875.54195585713</v>
      </c>
      <c r="Q8" s="131">
        <v>428562.21044348716</v>
      </c>
      <c r="R8" s="131">
        <v>156.44129000000001</v>
      </c>
      <c r="S8" s="131">
        <v>36.636500629719606</v>
      </c>
      <c r="T8" s="130">
        <v>1.5620356436671257</v>
      </c>
      <c r="U8" s="131">
        <v>5.4223577604894997</v>
      </c>
      <c r="V8" s="131">
        <v>19.811889574251218</v>
      </c>
      <c r="W8" s="131">
        <v>65.38089185228894</v>
      </c>
      <c r="X8" s="131">
        <v>840.73254484411063</v>
      </c>
      <c r="Y8" s="130">
        <v>4.0285698259556627E-4</v>
      </c>
    </row>
    <row r="9" spans="1:25" x14ac:dyDescent="0.2">
      <c r="A9" s="88" t="str">
        <f t="shared" si="0"/>
        <v>ANH22</v>
      </c>
      <c r="B9" s="6" t="s">
        <v>4</v>
      </c>
      <c r="C9" s="88">
        <v>2022</v>
      </c>
      <c r="D9" s="89">
        <f t="shared" ref="D9:D57" si="2">LN(O9)</f>
        <v>14.861395356459864</v>
      </c>
      <c r="E9" s="89">
        <f t="shared" ref="E9:E57" si="3">LN(P9)</f>
        <v>11.251337937627516</v>
      </c>
      <c r="F9" s="89">
        <f t="shared" ref="F9:F57" si="4">LN(Q9)</f>
        <v>12.976953456007712</v>
      </c>
      <c r="G9" s="89">
        <f t="shared" ref="G9:G57" si="5">LN(R9)</f>
        <v>5.0620335463088741</v>
      </c>
      <c r="H9" s="90">
        <f t="shared" ref="H9:H57" si="6">LN(S9)</f>
        <v>3.6067912617522015</v>
      </c>
      <c r="I9" s="90">
        <f t="shared" ref="I9:I57" si="7">LN(T9)</f>
        <v>0.44598987040625926</v>
      </c>
      <c r="J9" s="90">
        <f t="shared" ref="J9:J57" si="8">U9</f>
        <v>5.4223577604894997</v>
      </c>
      <c r="K9" s="90">
        <f t="shared" ref="K9:K57" si="9">V9</f>
        <v>19.811889574251218</v>
      </c>
      <c r="L9" s="90">
        <f t="shared" ref="L9:L57" si="10">W9</f>
        <v>65.38089185228894</v>
      </c>
      <c r="M9" s="91">
        <f t="shared" ref="M9:M57" si="11">LN(X9)</f>
        <v>6.7395689598398176</v>
      </c>
      <c r="N9" s="91">
        <f t="shared" ref="N9:N57" si="12">LN(Y9)</f>
        <v>-7.8243677417735888</v>
      </c>
      <c r="O9" s="130">
        <v>2845915.4717195905</v>
      </c>
      <c r="P9" s="131">
        <v>76982.849143321393</v>
      </c>
      <c r="Q9" s="131">
        <v>432333.88731578167</v>
      </c>
      <c r="R9" s="131">
        <v>157.91130999999999</v>
      </c>
      <c r="S9" s="131">
        <v>36.847628525167316</v>
      </c>
      <c r="T9" s="130">
        <v>1.5620356436671257</v>
      </c>
      <c r="U9" s="131">
        <v>5.4223577604894997</v>
      </c>
      <c r="V9" s="131">
        <v>19.811889574251218</v>
      </c>
      <c r="W9" s="131">
        <v>65.38089185228894</v>
      </c>
      <c r="X9" s="131">
        <v>845.19634375546718</v>
      </c>
      <c r="Y9" s="130">
        <v>3.9987132833301794E-4</v>
      </c>
    </row>
    <row r="10" spans="1:25" x14ac:dyDescent="0.2">
      <c r="A10" s="88" t="str">
        <f t="shared" si="0"/>
        <v>ANH23</v>
      </c>
      <c r="B10" s="6" t="s">
        <v>4</v>
      </c>
      <c r="C10" s="88">
        <v>2023</v>
      </c>
      <c r="D10" s="89">
        <f t="shared" si="2"/>
        <v>14.870313208849026</v>
      </c>
      <c r="E10" s="89">
        <f t="shared" si="3"/>
        <v>11.252873557244216</v>
      </c>
      <c r="F10" s="89">
        <f t="shared" si="4"/>
        <v>12.985810752949423</v>
      </c>
      <c r="G10" s="89">
        <f t="shared" si="5"/>
        <v>5.0709725648274002</v>
      </c>
      <c r="H10" s="90">
        <f t="shared" si="6"/>
        <v>3.6140194065507356</v>
      </c>
      <c r="I10" s="90">
        <f t="shared" si="7"/>
        <v>0.44598987040625926</v>
      </c>
      <c r="J10" s="90">
        <f t="shared" si="8"/>
        <v>5.4223577604894997</v>
      </c>
      <c r="K10" s="90">
        <f t="shared" si="9"/>
        <v>19.811889574251218</v>
      </c>
      <c r="L10" s="90">
        <f t="shared" si="10"/>
        <v>65.38089185228894</v>
      </c>
      <c r="M10" s="91">
        <f t="shared" si="11"/>
        <v>6.7452567688459322</v>
      </c>
      <c r="N10" s="91">
        <f t="shared" si="12"/>
        <v>-7.8332855941627502</v>
      </c>
      <c r="O10" s="130">
        <v>2871408.4280689699</v>
      </c>
      <c r="P10" s="131">
        <v>77101.156330785685</v>
      </c>
      <c r="Q10" s="131">
        <v>436180.20578026609</v>
      </c>
      <c r="R10" s="131">
        <v>159.32920999999999</v>
      </c>
      <c r="S10" s="131">
        <v>37.114933415052903</v>
      </c>
      <c r="T10" s="130">
        <v>1.5620356436671257</v>
      </c>
      <c r="U10" s="131">
        <v>5.4223577604894997</v>
      </c>
      <c r="V10" s="131">
        <v>19.811889574251218</v>
      </c>
      <c r="W10" s="131">
        <v>65.38089185228894</v>
      </c>
      <c r="X10" s="131">
        <v>850.01735663453962</v>
      </c>
      <c r="Y10" s="130">
        <v>3.9632118819310849E-4</v>
      </c>
    </row>
    <row r="11" spans="1:25" x14ac:dyDescent="0.2">
      <c r="A11" s="88" t="str">
        <f t="shared" si="0"/>
        <v>ANH24</v>
      </c>
      <c r="B11" s="6" t="s">
        <v>4</v>
      </c>
      <c r="C11" s="88">
        <v>2024</v>
      </c>
      <c r="D11" s="89">
        <f t="shared" si="2"/>
        <v>14.878812296520692</v>
      </c>
      <c r="E11" s="89">
        <f t="shared" si="3"/>
        <v>11.254503943403982</v>
      </c>
      <c r="F11" s="89">
        <f t="shared" si="4"/>
        <v>12.994444399660823</v>
      </c>
      <c r="G11" s="89">
        <f t="shared" si="5"/>
        <v>5.0796380233123974</v>
      </c>
      <c r="H11" s="90">
        <f t="shared" si="6"/>
        <v>3.6208316369280267</v>
      </c>
      <c r="I11" s="90">
        <f t="shared" si="7"/>
        <v>0.44598987040625926</v>
      </c>
      <c r="J11" s="90">
        <f t="shared" si="8"/>
        <v>5.4223577604894997</v>
      </c>
      <c r="K11" s="90">
        <f t="shared" si="9"/>
        <v>19.811889574251218</v>
      </c>
      <c r="L11" s="90">
        <f t="shared" si="10"/>
        <v>65.38089185228894</v>
      </c>
      <c r="M11" s="91">
        <f t="shared" si="11"/>
        <v>6.7505373013728516</v>
      </c>
      <c r="N11" s="91">
        <f t="shared" si="12"/>
        <v>-7.8417846818344161</v>
      </c>
      <c r="O11" s="130">
        <v>2895916.781835102</v>
      </c>
      <c r="P11" s="131">
        <v>77226.963518249948</v>
      </c>
      <c r="Q11" s="131">
        <v>439962.33486941503</v>
      </c>
      <c r="R11" s="131">
        <v>160.71587</v>
      </c>
      <c r="S11" s="131">
        <v>37.368632037541154</v>
      </c>
      <c r="T11" s="130">
        <v>1.5620356436671257</v>
      </c>
      <c r="U11" s="131">
        <v>5.4223577604894997</v>
      </c>
      <c r="V11" s="131">
        <v>19.811889574251218</v>
      </c>
      <c r="W11" s="131">
        <v>65.38089185228894</v>
      </c>
      <c r="X11" s="131">
        <v>854.51777277412828</v>
      </c>
      <c r="Y11" s="130">
        <v>3.929670932321699E-4</v>
      </c>
    </row>
    <row r="12" spans="1:25" x14ac:dyDescent="0.2">
      <c r="A12" s="88" t="str">
        <f t="shared" si="0"/>
        <v>ANH25</v>
      </c>
      <c r="B12" s="6" t="s">
        <v>4</v>
      </c>
      <c r="C12" s="88">
        <v>2025</v>
      </c>
      <c r="D12" s="89">
        <f t="shared" si="2"/>
        <v>14.887216192676485</v>
      </c>
      <c r="E12" s="89">
        <f t="shared" si="3"/>
        <v>11.256293259989768</v>
      </c>
      <c r="F12" s="89">
        <f t="shared" si="4"/>
        <v>13.002621135706194</v>
      </c>
      <c r="G12" s="89">
        <f t="shared" si="5"/>
        <v>5.1128219584122299</v>
      </c>
      <c r="H12" s="90">
        <f t="shared" si="6"/>
        <v>3.6275515164857985</v>
      </c>
      <c r="I12" s="90">
        <f t="shared" si="7"/>
        <v>0.44598987040625926</v>
      </c>
      <c r="J12" s="90">
        <f t="shared" si="8"/>
        <v>5.4223577604894997</v>
      </c>
      <c r="K12" s="90">
        <f t="shared" si="9"/>
        <v>19.811889574251218</v>
      </c>
      <c r="L12" s="90">
        <f t="shared" si="10"/>
        <v>65.38089185228894</v>
      </c>
      <c r="M12" s="91">
        <f t="shared" si="11"/>
        <v>6.7561753184782782</v>
      </c>
      <c r="N12" s="91">
        <f t="shared" si="12"/>
        <v>-7.8501885779902096</v>
      </c>
      <c r="O12" s="130">
        <v>2920356.3155595921</v>
      </c>
      <c r="P12" s="131">
        <v>77365.27070571424</v>
      </c>
      <c r="Q12" s="131">
        <v>443574.53864427598</v>
      </c>
      <c r="R12" s="131">
        <v>166.13853</v>
      </c>
      <c r="S12" s="131">
        <v>37.620590360729977</v>
      </c>
      <c r="T12" s="130">
        <v>1.5620356436671257</v>
      </c>
      <c r="U12" s="131">
        <v>5.4223577604894997</v>
      </c>
      <c r="V12" s="131">
        <v>19.811889574251218</v>
      </c>
      <c r="W12" s="131">
        <v>65.38089185228894</v>
      </c>
      <c r="X12" s="131">
        <v>859.34916553338451</v>
      </c>
      <c r="Y12" s="130">
        <v>3.8967847653957903E-4</v>
      </c>
    </row>
    <row r="13" spans="1:25" x14ac:dyDescent="0.2">
      <c r="A13" s="88" t="str">
        <f t="shared" si="0"/>
        <v>NES21</v>
      </c>
      <c r="B13" s="6" t="s">
        <v>5</v>
      </c>
      <c r="C13" s="88">
        <v>2021</v>
      </c>
      <c r="D13" s="89">
        <f t="shared" si="2"/>
        <v>14.061717958734517</v>
      </c>
      <c r="E13" s="89">
        <f t="shared" si="3"/>
        <v>10.313076289644728</v>
      </c>
      <c r="F13" s="89">
        <f t="shared" si="4"/>
        <v>12.098299035515481</v>
      </c>
      <c r="G13" s="89">
        <f t="shared" si="5"/>
        <v>4.2863413845394733</v>
      </c>
      <c r="H13" s="90">
        <f t="shared" si="6"/>
        <v>3.7488420517145586</v>
      </c>
      <c r="I13" s="90">
        <f t="shared" si="7"/>
        <v>0.40019387948573798</v>
      </c>
      <c r="J13" s="90">
        <f t="shared" si="8"/>
        <v>2.576904457741076</v>
      </c>
      <c r="K13" s="90">
        <f t="shared" si="9"/>
        <v>3.4002170112047496</v>
      </c>
      <c r="L13" s="90">
        <f t="shared" si="10"/>
        <v>85.068646735292617</v>
      </c>
      <c r="M13" s="91">
        <f t="shared" si="11"/>
        <v>7.1633499342742901</v>
      </c>
      <c r="N13" s="91">
        <f t="shared" si="12"/>
        <v>-8.0382703657734851</v>
      </c>
      <c r="O13" s="130">
        <v>1279164.8458062401</v>
      </c>
      <c r="P13" s="131">
        <v>30123.964285714283</v>
      </c>
      <c r="Q13" s="131">
        <v>179566.16666666669</v>
      </c>
      <c r="R13" s="131">
        <v>72.7</v>
      </c>
      <c r="S13" s="131">
        <v>42.471873282139406</v>
      </c>
      <c r="T13" s="130">
        <v>1.4921139598865618</v>
      </c>
      <c r="U13" s="131">
        <v>2.576904457741076</v>
      </c>
      <c r="V13" s="131">
        <v>3.4002170112047496</v>
      </c>
      <c r="W13" s="131">
        <v>85.068646735292617</v>
      </c>
      <c r="X13" s="131">
        <v>1291.2292289135344</v>
      </c>
      <c r="Y13" s="130">
        <v>3.2286690910403478E-4</v>
      </c>
    </row>
    <row r="14" spans="1:25" x14ac:dyDescent="0.2">
      <c r="A14" s="88" t="str">
        <f t="shared" si="0"/>
        <v>NES22</v>
      </c>
      <c r="B14" s="6" t="s">
        <v>5</v>
      </c>
      <c r="C14" s="88">
        <v>2022</v>
      </c>
      <c r="D14" s="89">
        <f t="shared" si="2"/>
        <v>14.064972785922246</v>
      </c>
      <c r="E14" s="89">
        <f t="shared" si="3"/>
        <v>10.314190703826208</v>
      </c>
      <c r="F14" s="89">
        <f t="shared" si="4"/>
        <v>12.101246246465941</v>
      </c>
      <c r="G14" s="89">
        <f t="shared" si="5"/>
        <v>4.2972854062187906</v>
      </c>
      <c r="H14" s="90">
        <f t="shared" si="6"/>
        <v>3.7510290301129583</v>
      </c>
      <c r="I14" s="90">
        <f t="shared" si="7"/>
        <v>0.40019387948573798</v>
      </c>
      <c r="J14" s="90">
        <f t="shared" si="8"/>
        <v>2.576904457741076</v>
      </c>
      <c r="K14" s="90">
        <f t="shared" si="9"/>
        <v>3.4002170112047496</v>
      </c>
      <c r="L14" s="90">
        <f t="shared" si="10"/>
        <v>85.068646735292617</v>
      </c>
      <c r="M14" s="91">
        <f t="shared" si="11"/>
        <v>7.1652821030536709</v>
      </c>
      <c r="N14" s="91">
        <f t="shared" si="12"/>
        <v>-8.0415251929612133</v>
      </c>
      <c r="O14" s="130">
        <v>1283335.0893533998</v>
      </c>
      <c r="P14" s="131">
        <v>30157.553571428572</v>
      </c>
      <c r="Q14" s="131">
        <v>180096.16666666669</v>
      </c>
      <c r="R14" s="131">
        <v>73.5</v>
      </c>
      <c r="S14" s="131">
        <v>42.564859994450622</v>
      </c>
      <c r="T14" s="130">
        <v>1.4921139598865618</v>
      </c>
      <c r="U14" s="131">
        <v>2.576904457741076</v>
      </c>
      <c r="V14" s="131">
        <v>3.4002170112047496</v>
      </c>
      <c r="W14" s="131">
        <v>85.068646735292617</v>
      </c>
      <c r="X14" s="131">
        <v>1293.7265135274265</v>
      </c>
      <c r="Y14" s="130">
        <v>3.2181774146617265E-4</v>
      </c>
    </row>
    <row r="15" spans="1:25" x14ac:dyDescent="0.2">
      <c r="A15" s="88" t="str">
        <f t="shared" si="0"/>
        <v>NES23</v>
      </c>
      <c r="B15" s="6" t="s">
        <v>5</v>
      </c>
      <c r="C15" s="88">
        <v>2023</v>
      </c>
      <c r="D15" s="89">
        <f t="shared" si="2"/>
        <v>14.068371480966809</v>
      </c>
      <c r="E15" s="89">
        <f t="shared" si="3"/>
        <v>10.315287316185433</v>
      </c>
      <c r="F15" s="89">
        <f t="shared" si="4"/>
        <v>12.104223550206209</v>
      </c>
      <c r="G15" s="89">
        <f t="shared" si="5"/>
        <v>4.3067641501733345</v>
      </c>
      <c r="H15" s="90">
        <f t="shared" si="6"/>
        <v>3.7533610154529673</v>
      </c>
      <c r="I15" s="90">
        <f t="shared" si="7"/>
        <v>0.40019387948573798</v>
      </c>
      <c r="J15" s="90">
        <f t="shared" si="8"/>
        <v>2.576904457741076</v>
      </c>
      <c r="K15" s="90">
        <f t="shared" si="9"/>
        <v>3.4002170112047496</v>
      </c>
      <c r="L15" s="90">
        <f t="shared" si="10"/>
        <v>85.068646735292617</v>
      </c>
      <c r="M15" s="91">
        <f t="shared" si="11"/>
        <v>7.1668604821646209</v>
      </c>
      <c r="N15" s="91">
        <f t="shared" si="12"/>
        <v>-8.0449238880057763</v>
      </c>
      <c r="O15" s="130">
        <v>1287704.1743502081</v>
      </c>
      <c r="P15" s="131">
        <v>30190.642857142855</v>
      </c>
      <c r="Q15" s="131">
        <v>180633.16666666669</v>
      </c>
      <c r="R15" s="131">
        <v>74.2</v>
      </c>
      <c r="S15" s="131">
        <v>42.664236451141903</v>
      </c>
      <c r="T15" s="130">
        <v>1.4921139598865618</v>
      </c>
      <c r="U15" s="131">
        <v>2.576904457741076</v>
      </c>
      <c r="V15" s="131">
        <v>3.4002170112047496</v>
      </c>
      <c r="W15" s="131">
        <v>85.068646735292617</v>
      </c>
      <c r="X15" s="131">
        <v>1295.7701167977505</v>
      </c>
      <c r="Y15" s="130">
        <v>3.2072583767805599E-4</v>
      </c>
    </row>
    <row r="16" spans="1:25" x14ac:dyDescent="0.2">
      <c r="A16" s="88" t="str">
        <f t="shared" si="0"/>
        <v>NES24</v>
      </c>
      <c r="B16" s="6" t="s">
        <v>5</v>
      </c>
      <c r="C16" s="88">
        <v>2024</v>
      </c>
      <c r="D16" s="89">
        <f t="shared" si="2"/>
        <v>14.071436376919905</v>
      </c>
      <c r="E16" s="89">
        <f t="shared" si="3"/>
        <v>10.31643235594505</v>
      </c>
      <c r="F16" s="89">
        <f t="shared" si="4"/>
        <v>12.107098177079441</v>
      </c>
      <c r="G16" s="89">
        <f t="shared" si="5"/>
        <v>4.3174881135363101</v>
      </c>
      <c r="H16" s="90">
        <f t="shared" si="6"/>
        <v>3.7553603383587291</v>
      </c>
      <c r="I16" s="90">
        <f t="shared" si="7"/>
        <v>0.40019387948573798</v>
      </c>
      <c r="J16" s="90">
        <f t="shared" si="8"/>
        <v>2.576904457741076</v>
      </c>
      <c r="K16" s="90">
        <f t="shared" si="9"/>
        <v>3.4002170112047496</v>
      </c>
      <c r="L16" s="90">
        <f t="shared" si="10"/>
        <v>85.068646735292617</v>
      </c>
      <c r="M16" s="91">
        <f t="shared" si="11"/>
        <v>7.1687904736573413</v>
      </c>
      <c r="N16" s="91">
        <f t="shared" si="12"/>
        <v>-8.0479887839588731</v>
      </c>
      <c r="O16" s="130">
        <v>1291656.9079273373</v>
      </c>
      <c r="P16" s="131">
        <v>30225.232142857141</v>
      </c>
      <c r="Q16" s="131">
        <v>181153.16666666669</v>
      </c>
      <c r="R16" s="131">
        <v>75</v>
      </c>
      <c r="S16" s="131">
        <v>42.749621363899088</v>
      </c>
      <c r="T16" s="130">
        <v>1.4921139598865618</v>
      </c>
      <c r="U16" s="131">
        <v>2.576904457741076</v>
      </c>
      <c r="V16" s="131">
        <v>3.4002170112047496</v>
      </c>
      <c r="W16" s="131">
        <v>85.068646735292617</v>
      </c>
      <c r="X16" s="131">
        <v>1298.2733569387603</v>
      </c>
      <c r="Y16" s="130">
        <v>3.1974435120137452E-4</v>
      </c>
    </row>
    <row r="17" spans="1:25" x14ac:dyDescent="0.2">
      <c r="A17" s="88" t="str">
        <f t="shared" si="0"/>
        <v>NES25</v>
      </c>
      <c r="B17" s="6" t="s">
        <v>5</v>
      </c>
      <c r="C17" s="88">
        <v>2025</v>
      </c>
      <c r="D17" s="89">
        <f t="shared" si="2"/>
        <v>14.074514359058924</v>
      </c>
      <c r="E17" s="89">
        <f t="shared" si="3"/>
        <v>10.317543038420313</v>
      </c>
      <c r="F17" s="89">
        <f t="shared" si="4"/>
        <v>12.10990676638624</v>
      </c>
      <c r="G17" s="89">
        <f t="shared" si="5"/>
        <v>4.3267781604434035</v>
      </c>
      <c r="H17" s="90">
        <f t="shared" si="6"/>
        <v>3.7573738816878257</v>
      </c>
      <c r="I17" s="90">
        <f t="shared" si="7"/>
        <v>0.40019387948573798</v>
      </c>
      <c r="J17" s="90">
        <f t="shared" si="8"/>
        <v>2.576904457741076</v>
      </c>
      <c r="K17" s="90">
        <f t="shared" si="9"/>
        <v>3.4002170112047496</v>
      </c>
      <c r="L17" s="90">
        <f t="shared" si="10"/>
        <v>85.068646735292617</v>
      </c>
      <c r="M17" s="91">
        <f t="shared" si="11"/>
        <v>7.1707356909667306</v>
      </c>
      <c r="N17" s="91">
        <f t="shared" si="12"/>
        <v>-8.0510667660978914</v>
      </c>
      <c r="O17" s="130">
        <v>1295638.7296641313</v>
      </c>
      <c r="P17" s="131">
        <v>30258.821428571428</v>
      </c>
      <c r="Q17" s="131">
        <v>181662.66666666669</v>
      </c>
      <c r="R17" s="131">
        <v>75.7</v>
      </c>
      <c r="S17" s="131">
        <v>42.835786298120077</v>
      </c>
      <c r="T17" s="130">
        <v>1.4921139598865618</v>
      </c>
      <c r="U17" s="131">
        <v>2.576904457741076</v>
      </c>
      <c r="V17" s="131">
        <v>3.4002170112047496</v>
      </c>
      <c r="W17" s="131">
        <v>85.068646735292617</v>
      </c>
      <c r="X17" s="131">
        <v>1300.8012385874686</v>
      </c>
      <c r="Y17" s="130">
        <v>3.1876169687136636E-4</v>
      </c>
    </row>
    <row r="18" spans="1:25" x14ac:dyDescent="0.2">
      <c r="A18" s="88" t="str">
        <f t="shared" si="0"/>
        <v>NWT21</v>
      </c>
      <c r="B18" s="6" t="s">
        <v>6</v>
      </c>
      <c r="C18" s="88">
        <v>2021</v>
      </c>
      <c r="D18" s="89">
        <f t="shared" si="2"/>
        <v>15.02951148908854</v>
      </c>
      <c r="E18" s="89">
        <f t="shared" si="3"/>
        <v>11.261071125333372</v>
      </c>
      <c r="F18" s="89">
        <f t="shared" si="4"/>
        <v>13.220402879509789</v>
      </c>
      <c r="G18" s="89">
        <f t="shared" si="5"/>
        <v>5.2779208370603774</v>
      </c>
      <c r="H18" s="90">
        <f t="shared" si="6"/>
        <v>3.7677100017961695</v>
      </c>
      <c r="I18" s="90">
        <f t="shared" si="7"/>
        <v>0.10080204141433505</v>
      </c>
      <c r="J18" s="90">
        <f t="shared" si="8"/>
        <v>1.4210332496763971</v>
      </c>
      <c r="K18" s="90">
        <f t="shared" si="9"/>
        <v>45.452943070143789</v>
      </c>
      <c r="L18" s="90">
        <f t="shared" si="10"/>
        <v>89.570326826237249</v>
      </c>
      <c r="M18" s="91">
        <f t="shared" si="11"/>
        <v>7.5128946375569061</v>
      </c>
      <c r="N18" s="91">
        <f t="shared" si="12"/>
        <v>-8.7015747053593451</v>
      </c>
      <c r="O18" s="130">
        <v>3366928.5898701944</v>
      </c>
      <c r="P18" s="131">
        <v>77735.796006552278</v>
      </c>
      <c r="Q18" s="131">
        <v>551503.17766065802</v>
      </c>
      <c r="R18" s="131">
        <v>195.962014535984</v>
      </c>
      <c r="S18" s="131">
        <v>43.280838223040803</v>
      </c>
      <c r="T18" s="130">
        <v>1.1060576664787998</v>
      </c>
      <c r="U18" s="131">
        <v>1.4210332496763971</v>
      </c>
      <c r="V18" s="131">
        <v>45.452943070143789</v>
      </c>
      <c r="W18" s="131">
        <v>89.570326826237249</v>
      </c>
      <c r="X18" s="131">
        <v>1831.5074273666755</v>
      </c>
      <c r="Y18" s="130">
        <v>1.6632369385107446E-4</v>
      </c>
    </row>
    <row r="19" spans="1:25" x14ac:dyDescent="0.2">
      <c r="A19" s="88" t="str">
        <f t="shared" si="0"/>
        <v>NWT22</v>
      </c>
      <c r="B19" s="6" t="s">
        <v>6</v>
      </c>
      <c r="C19" s="88">
        <v>2022</v>
      </c>
      <c r="D19" s="89">
        <f t="shared" si="2"/>
        <v>15.03394546484612</v>
      </c>
      <c r="E19" s="89">
        <f t="shared" si="3"/>
        <v>11.262595916420491</v>
      </c>
      <c r="F19" s="89">
        <f t="shared" si="4"/>
        <v>13.223213153052553</v>
      </c>
      <c r="G19" s="89">
        <f t="shared" si="5"/>
        <v>5.2852016041106804</v>
      </c>
      <c r="H19" s="90">
        <f t="shared" si="6"/>
        <v>3.7705524299473563</v>
      </c>
      <c r="I19" s="90">
        <f t="shared" si="7"/>
        <v>0.10080204141433505</v>
      </c>
      <c r="J19" s="90">
        <f t="shared" si="8"/>
        <v>1.4210332496763971</v>
      </c>
      <c r="K19" s="90">
        <f t="shared" si="9"/>
        <v>45.452943070143789</v>
      </c>
      <c r="L19" s="90">
        <f t="shared" si="10"/>
        <v>89.570326826237249</v>
      </c>
      <c r="M19" s="91">
        <f t="shared" si="11"/>
        <v>7.5181472460136316</v>
      </c>
      <c r="N19" s="91">
        <f t="shared" si="12"/>
        <v>-8.7077959916910199</v>
      </c>
      <c r="O19" s="130">
        <v>3381890.6157322037</v>
      </c>
      <c r="P19" s="131">
        <v>77854.417268792109</v>
      </c>
      <c r="Q19" s="131">
        <v>553055.23227713699</v>
      </c>
      <c r="R19" s="131">
        <v>197.39397487372301</v>
      </c>
      <c r="S19" s="131">
        <v>43.404035903343363</v>
      </c>
      <c r="T19" s="130">
        <v>1.1060576664787998</v>
      </c>
      <c r="U19" s="131">
        <v>1.4210332496763971</v>
      </c>
      <c r="V19" s="131">
        <v>45.452943070143789</v>
      </c>
      <c r="W19" s="131">
        <v>89.570326826237249</v>
      </c>
      <c r="X19" s="131">
        <v>1841.1529286124019</v>
      </c>
      <c r="Y19" s="130">
        <v>1.6529215859306334E-4</v>
      </c>
    </row>
    <row r="20" spans="1:25" x14ac:dyDescent="0.2">
      <c r="A20" s="88" t="str">
        <f t="shared" si="0"/>
        <v>NWT23</v>
      </c>
      <c r="B20" s="6" t="s">
        <v>6</v>
      </c>
      <c r="C20" s="88">
        <v>2023</v>
      </c>
      <c r="D20" s="89">
        <f t="shared" si="2"/>
        <v>15.038771820793572</v>
      </c>
      <c r="E20" s="89">
        <f t="shared" si="3"/>
        <v>11.264118386059026</v>
      </c>
      <c r="F20" s="89">
        <f t="shared" si="4"/>
        <v>13.226703529287663</v>
      </c>
      <c r="G20" s="89">
        <f t="shared" si="5"/>
        <v>5.2943876545638293</v>
      </c>
      <c r="H20" s="90">
        <f t="shared" si="6"/>
        <v>3.773789767287711</v>
      </c>
      <c r="I20" s="90">
        <f t="shared" si="7"/>
        <v>0.10080204141433505</v>
      </c>
      <c r="J20" s="90">
        <f t="shared" si="8"/>
        <v>1.4210332496763971</v>
      </c>
      <c r="K20" s="90">
        <f t="shared" si="9"/>
        <v>45.452943070143789</v>
      </c>
      <c r="L20" s="90">
        <f t="shared" si="10"/>
        <v>89.570326826237249</v>
      </c>
      <c r="M20" s="91">
        <f t="shared" si="11"/>
        <v>7.5233450162606745</v>
      </c>
      <c r="N20" s="91">
        <f t="shared" si="12"/>
        <v>-8.7126223476384741</v>
      </c>
      <c r="O20" s="130">
        <v>3398252.275455635</v>
      </c>
      <c r="P20" s="131">
        <v>77973.038531032013</v>
      </c>
      <c r="Q20" s="131">
        <v>554988.97589978401</v>
      </c>
      <c r="R20" s="131">
        <v>199.215599845935</v>
      </c>
      <c r="S20" s="131">
        <v>43.544777099942792</v>
      </c>
      <c r="T20" s="130">
        <v>1.1060576664787998</v>
      </c>
      <c r="U20" s="131">
        <v>1.4210332496763971</v>
      </c>
      <c r="V20" s="131">
        <v>45.452943070143789</v>
      </c>
      <c r="W20" s="131">
        <v>89.570326826237249</v>
      </c>
      <c r="X20" s="131">
        <v>1850.7477327169054</v>
      </c>
      <c r="Y20" s="130">
        <v>1.6449632184092327E-4</v>
      </c>
    </row>
    <row r="21" spans="1:25" x14ac:dyDescent="0.2">
      <c r="A21" s="88" t="str">
        <f t="shared" si="0"/>
        <v>NWT24</v>
      </c>
      <c r="B21" s="6" t="s">
        <v>6</v>
      </c>
      <c r="C21" s="88">
        <v>2024</v>
      </c>
      <c r="D21" s="89">
        <f t="shared" si="2"/>
        <v>15.043167592344718</v>
      </c>
      <c r="E21" s="89">
        <f t="shared" si="3"/>
        <v>11.265638541306902</v>
      </c>
      <c r="F21" s="89">
        <f t="shared" si="4"/>
        <v>13.228823010238921</v>
      </c>
      <c r="G21" s="89">
        <f t="shared" si="5"/>
        <v>5.3070101844708244</v>
      </c>
      <c r="H21" s="90">
        <f t="shared" si="6"/>
        <v>3.7765990412065444</v>
      </c>
      <c r="I21" s="90">
        <f t="shared" si="7"/>
        <v>0.10080204141433505</v>
      </c>
      <c r="J21" s="90">
        <f t="shared" si="8"/>
        <v>1.4210332496763971</v>
      </c>
      <c r="K21" s="90">
        <f t="shared" si="9"/>
        <v>45.452943070143789</v>
      </c>
      <c r="L21" s="90">
        <f t="shared" si="10"/>
        <v>89.570326826237249</v>
      </c>
      <c r="M21" s="91">
        <f t="shared" si="11"/>
        <v>7.5282049156831512</v>
      </c>
      <c r="N21" s="91">
        <f t="shared" si="12"/>
        <v>-8.7170181191896177</v>
      </c>
      <c r="O21" s="130">
        <v>3413223.0961790946</v>
      </c>
      <c r="P21" s="131">
        <v>78091.659793271858</v>
      </c>
      <c r="Q21" s="131">
        <v>556166.51190411695</v>
      </c>
      <c r="R21" s="131">
        <v>201.74614203635201</v>
      </c>
      <c r="S21" s="131">
        <v>43.667278295693038</v>
      </c>
      <c r="T21" s="130">
        <v>1.1060576664787998</v>
      </c>
      <c r="U21" s="131">
        <v>1.4210332496763971</v>
      </c>
      <c r="V21" s="131">
        <v>45.452943070143789</v>
      </c>
      <c r="W21" s="131">
        <v>89.570326826237249</v>
      </c>
      <c r="X21" s="131">
        <v>1859.764072059349</v>
      </c>
      <c r="Y21" s="130">
        <v>1.6377482052836454E-4</v>
      </c>
    </row>
    <row r="22" spans="1:25" x14ac:dyDescent="0.2">
      <c r="A22" s="88" t="str">
        <f t="shared" si="0"/>
        <v>NWT25</v>
      </c>
      <c r="B22" s="6" t="s">
        <v>6</v>
      </c>
      <c r="C22" s="88">
        <v>2025</v>
      </c>
      <c r="D22" s="89">
        <f t="shared" si="2"/>
        <v>15.047453141105429</v>
      </c>
      <c r="E22" s="89">
        <f t="shared" si="3"/>
        <v>11.267156389189912</v>
      </c>
      <c r="F22" s="89">
        <f t="shared" si="4"/>
        <v>13.231129489128955</v>
      </c>
      <c r="G22" s="89">
        <f t="shared" si="5"/>
        <v>5.3233931258330554</v>
      </c>
      <c r="H22" s="90">
        <f t="shared" si="6"/>
        <v>3.7793006053233578</v>
      </c>
      <c r="I22" s="90">
        <f t="shared" si="7"/>
        <v>0.10080204141433505</v>
      </c>
      <c r="J22" s="90">
        <f t="shared" si="8"/>
        <v>1.4210332496763971</v>
      </c>
      <c r="K22" s="90">
        <f t="shared" si="9"/>
        <v>45.452943070143789</v>
      </c>
      <c r="L22" s="90">
        <f t="shared" si="10"/>
        <v>89.570326826237249</v>
      </c>
      <c r="M22" s="91">
        <f t="shared" si="11"/>
        <v>7.5331798863329826</v>
      </c>
      <c r="N22" s="91">
        <f t="shared" si="12"/>
        <v>-8.7213036679503286</v>
      </c>
      <c r="O22" s="130">
        <v>3427882.0185167985</v>
      </c>
      <c r="P22" s="131">
        <v>78210.281055511703</v>
      </c>
      <c r="Q22" s="131">
        <v>557450.77872097702</v>
      </c>
      <c r="R22" s="131">
        <v>205.07856012146701</v>
      </c>
      <c r="S22" s="131">
        <v>43.785407743106923</v>
      </c>
      <c r="T22" s="130">
        <v>1.1060576664787998</v>
      </c>
      <c r="U22" s="131">
        <v>1.4210332496763971</v>
      </c>
      <c r="V22" s="131">
        <v>45.452943070143789</v>
      </c>
      <c r="W22" s="131">
        <v>89.570326826237249</v>
      </c>
      <c r="X22" s="131">
        <v>1869.0393968371159</v>
      </c>
      <c r="Y22" s="130">
        <v>1.6307445734140881E-4</v>
      </c>
    </row>
    <row r="23" spans="1:25" x14ac:dyDescent="0.2">
      <c r="A23" s="88" t="str">
        <f t="shared" si="0"/>
        <v>SRN21</v>
      </c>
      <c r="B23" s="6" t="s">
        <v>7</v>
      </c>
      <c r="C23" s="88">
        <v>2021</v>
      </c>
      <c r="D23" s="89">
        <f t="shared" si="2"/>
        <v>14.520791334564107</v>
      </c>
      <c r="E23" s="89">
        <f t="shared" si="3"/>
        <v>10.593506792615468</v>
      </c>
      <c r="F23" s="89">
        <f t="shared" si="4"/>
        <v>12.637297902153747</v>
      </c>
      <c r="G23" s="89">
        <f t="shared" si="5"/>
        <v>4.824305715904762</v>
      </c>
      <c r="H23" s="90">
        <f t="shared" si="6"/>
        <v>3.9275584884724837</v>
      </c>
      <c r="I23" s="90">
        <f t="shared" si="7"/>
        <v>1.1509255638274587</v>
      </c>
      <c r="J23" s="90">
        <f t="shared" si="8"/>
        <v>2.5693239281017335</v>
      </c>
      <c r="K23" s="90">
        <f t="shared" si="9"/>
        <v>14.876343855834968</v>
      </c>
      <c r="L23" s="90">
        <f t="shared" si="10"/>
        <v>82.625810889280288</v>
      </c>
      <c r="M23" s="91">
        <f t="shared" si="11"/>
        <v>7.3171444907655694</v>
      </c>
      <c r="N23" s="91">
        <f t="shared" si="12"/>
        <v>-8.6208939809816165</v>
      </c>
      <c r="O23" s="130">
        <v>2024415.0134960737</v>
      </c>
      <c r="P23" s="131">
        <v>39875.077857142867</v>
      </c>
      <c r="Q23" s="131">
        <v>307828.44257788302</v>
      </c>
      <c r="R23" s="131">
        <v>124.5</v>
      </c>
      <c r="S23" s="131">
        <v>50.782839300685431</v>
      </c>
      <c r="T23" s="130">
        <v>3.1611173719865966</v>
      </c>
      <c r="U23" s="131">
        <v>2.5693239281017335</v>
      </c>
      <c r="V23" s="131">
        <v>14.876343855834968</v>
      </c>
      <c r="W23" s="131">
        <v>82.625810889280288</v>
      </c>
      <c r="X23" s="131">
        <v>1505.8977195763903</v>
      </c>
      <c r="Y23" s="130">
        <v>1.8029899875602159E-4</v>
      </c>
    </row>
    <row r="24" spans="1:25" x14ac:dyDescent="0.2">
      <c r="A24" s="88" t="str">
        <f t="shared" si="0"/>
        <v>SRN22</v>
      </c>
      <c r="B24" s="6" t="s">
        <v>7</v>
      </c>
      <c r="C24" s="88">
        <v>2022</v>
      </c>
      <c r="D24" s="89">
        <f t="shared" si="2"/>
        <v>14.528480892659163</v>
      </c>
      <c r="E24" s="89">
        <f t="shared" si="3"/>
        <v>10.596552765451104</v>
      </c>
      <c r="F24" s="89">
        <f t="shared" si="4"/>
        <v>12.645554955835618</v>
      </c>
      <c r="G24" s="89">
        <f t="shared" si="5"/>
        <v>4.833102254034098</v>
      </c>
      <c r="H24" s="90">
        <f t="shared" si="6"/>
        <v>3.9329106545082766</v>
      </c>
      <c r="I24" s="90">
        <f t="shared" si="7"/>
        <v>1.1509255638274587</v>
      </c>
      <c r="J24" s="90">
        <f t="shared" si="8"/>
        <v>2.5693239281017335</v>
      </c>
      <c r="K24" s="90">
        <f t="shared" si="9"/>
        <v>14.876343855834968</v>
      </c>
      <c r="L24" s="90">
        <f t="shared" si="10"/>
        <v>82.625810889280288</v>
      </c>
      <c r="M24" s="91">
        <f t="shared" si="11"/>
        <v>7.0591349741227507</v>
      </c>
      <c r="N24" s="91">
        <f t="shared" si="12"/>
        <v>-8.6285835390766721</v>
      </c>
      <c r="O24" s="130">
        <v>2040041.8751808601</v>
      </c>
      <c r="P24" s="131">
        <v>39996.721428571444</v>
      </c>
      <c r="Q24" s="131">
        <v>310380.72120291</v>
      </c>
      <c r="R24" s="131">
        <v>125.6</v>
      </c>
      <c r="S24" s="131">
        <v>51.055366142284974</v>
      </c>
      <c r="T24" s="130">
        <v>3.1611173719865966</v>
      </c>
      <c r="U24" s="131">
        <v>2.5693239281017335</v>
      </c>
      <c r="V24" s="131">
        <v>14.876343855834968</v>
      </c>
      <c r="W24" s="131">
        <v>82.625810889280288</v>
      </c>
      <c r="X24" s="131">
        <v>1163.4383261057387</v>
      </c>
      <c r="Y24" s="130">
        <v>1.7891789597095447E-4</v>
      </c>
    </row>
    <row r="25" spans="1:25" x14ac:dyDescent="0.2">
      <c r="A25" s="88" t="str">
        <f t="shared" si="0"/>
        <v>SRN23</v>
      </c>
      <c r="B25" s="6" t="s">
        <v>7</v>
      </c>
      <c r="C25" s="88">
        <v>2023</v>
      </c>
      <c r="D25" s="89">
        <f t="shared" si="2"/>
        <v>14.537560085078907</v>
      </c>
      <c r="E25" s="89">
        <f t="shared" si="3"/>
        <v>10.59934019503125</v>
      </c>
      <c r="F25" s="89">
        <f t="shared" si="4"/>
        <v>12.653794266544466</v>
      </c>
      <c r="G25" s="89">
        <f t="shared" si="5"/>
        <v>4.8402423081675749</v>
      </c>
      <c r="H25" s="90">
        <f t="shared" si="6"/>
        <v>3.9396579055325338</v>
      </c>
      <c r="I25" s="90">
        <f t="shared" si="7"/>
        <v>1.1509255638274587</v>
      </c>
      <c r="J25" s="90">
        <f t="shared" si="8"/>
        <v>2.5693239281017335</v>
      </c>
      <c r="K25" s="90">
        <f t="shared" si="9"/>
        <v>14.876343855834968</v>
      </c>
      <c r="L25" s="90">
        <f t="shared" si="10"/>
        <v>82.625810889280288</v>
      </c>
      <c r="M25" s="91">
        <f t="shared" si="11"/>
        <v>6.7452567688459322</v>
      </c>
      <c r="N25" s="91">
        <f t="shared" si="12"/>
        <v>-8.6376627314964143</v>
      </c>
      <c r="O25" s="130">
        <v>2058648.1450500558</v>
      </c>
      <c r="P25" s="131">
        <v>40108.36500000002</v>
      </c>
      <c r="Q25" s="131">
        <v>312948.60868736001</v>
      </c>
      <c r="R25" s="131">
        <v>126.5</v>
      </c>
      <c r="S25" s="131">
        <v>51.401014289878205</v>
      </c>
      <c r="T25" s="130">
        <v>3.1611173719865966</v>
      </c>
      <c r="U25" s="131">
        <v>2.5693239281017335</v>
      </c>
      <c r="V25" s="131">
        <v>14.876343855834968</v>
      </c>
      <c r="W25" s="131">
        <v>82.625810889280288</v>
      </c>
      <c r="X25" s="131">
        <v>850.01735663453962</v>
      </c>
      <c r="Y25" s="130">
        <v>1.7730081795552541E-4</v>
      </c>
    </row>
    <row r="26" spans="1:25" x14ac:dyDescent="0.2">
      <c r="A26" s="88" t="str">
        <f t="shared" si="0"/>
        <v>SRN24</v>
      </c>
      <c r="B26" s="6" t="s">
        <v>7</v>
      </c>
      <c r="C26" s="88">
        <v>2024</v>
      </c>
      <c r="D26" s="89">
        <f t="shared" si="2"/>
        <v>14.54634973548478</v>
      </c>
      <c r="E26" s="89">
        <f t="shared" si="3"/>
        <v>10.602269044794946</v>
      </c>
      <c r="F26" s="89">
        <f t="shared" si="4"/>
        <v>12.661881980193408</v>
      </c>
      <c r="G26" s="89">
        <f t="shared" si="5"/>
        <v>4.8496837630384935</v>
      </c>
      <c r="H26" s="90">
        <f t="shared" si="6"/>
        <v>3.9461210398445612</v>
      </c>
      <c r="I26" s="90">
        <f t="shared" si="7"/>
        <v>1.1509255638274587</v>
      </c>
      <c r="J26" s="90">
        <f t="shared" si="8"/>
        <v>2.5693239281017335</v>
      </c>
      <c r="K26" s="90">
        <f t="shared" si="9"/>
        <v>14.876343855834968</v>
      </c>
      <c r="L26" s="90">
        <f t="shared" si="10"/>
        <v>82.625810889280288</v>
      </c>
      <c r="M26" s="91">
        <f t="shared" si="11"/>
        <v>7.3302903311562648</v>
      </c>
      <c r="N26" s="91">
        <f t="shared" si="12"/>
        <v>-8.6464523819022894</v>
      </c>
      <c r="O26" s="130">
        <v>2076822.6995332502</v>
      </c>
      <c r="P26" s="131">
        <v>40226.008571428596</v>
      </c>
      <c r="Q26" s="131">
        <v>315489.91022840602</v>
      </c>
      <c r="R26" s="131">
        <v>127.7</v>
      </c>
      <c r="S26" s="131">
        <v>51.734301829899913</v>
      </c>
      <c r="T26" s="130">
        <v>3.1611173719865966</v>
      </c>
      <c r="U26" s="131">
        <v>2.5693239281017335</v>
      </c>
      <c r="V26" s="131">
        <v>14.876343855834968</v>
      </c>
      <c r="W26" s="131">
        <v>82.625810889280288</v>
      </c>
      <c r="X26" s="131">
        <v>1525.8247021392649</v>
      </c>
      <c r="Y26" s="130">
        <v>1.7574923467565667E-4</v>
      </c>
    </row>
    <row r="27" spans="1:25" x14ac:dyDescent="0.2">
      <c r="A27" s="88" t="str">
        <f t="shared" si="0"/>
        <v>SRN25</v>
      </c>
      <c r="B27" s="6" t="s">
        <v>7</v>
      </c>
      <c r="C27" s="88">
        <v>2025</v>
      </c>
      <c r="D27" s="89">
        <f t="shared" si="2"/>
        <v>14.555121539297341</v>
      </c>
      <c r="E27" s="89">
        <f t="shared" si="3"/>
        <v>10.605164554088242</v>
      </c>
      <c r="F27" s="89">
        <f t="shared" si="4"/>
        <v>12.669526550916132</v>
      </c>
      <c r="G27" s="89">
        <f t="shared" si="5"/>
        <v>4.8605872978525966</v>
      </c>
      <c r="H27" s="90">
        <f t="shared" si="6"/>
        <v>3.9525717276793833</v>
      </c>
      <c r="I27" s="90">
        <f t="shared" si="7"/>
        <v>1.1509255638274587</v>
      </c>
      <c r="J27" s="90">
        <f t="shared" si="8"/>
        <v>2.5693239281017335</v>
      </c>
      <c r="K27" s="90">
        <f t="shared" si="9"/>
        <v>14.876343855834968</v>
      </c>
      <c r="L27" s="90">
        <f t="shared" si="10"/>
        <v>82.625810889280288</v>
      </c>
      <c r="M27" s="91">
        <f t="shared" si="11"/>
        <v>7.3350886483142919</v>
      </c>
      <c r="N27" s="91">
        <f t="shared" si="12"/>
        <v>-8.6662435809644602</v>
      </c>
      <c r="O27" s="130">
        <v>2095120.3150287243</v>
      </c>
      <c r="P27" s="131">
        <v>40342.652142857172</v>
      </c>
      <c r="Q27" s="131">
        <v>317910.93722522102</v>
      </c>
      <c r="R27" s="131">
        <v>129.1</v>
      </c>
      <c r="S27" s="131">
        <v>52.069102347210809</v>
      </c>
      <c r="T27" s="130">
        <v>3.1611173719865966</v>
      </c>
      <c r="U27" s="131">
        <v>2.5693239281017335</v>
      </c>
      <c r="V27" s="131">
        <v>14.876343855834968</v>
      </c>
      <c r="W27" s="131">
        <v>82.625810889280288</v>
      </c>
      <c r="X27" s="131">
        <v>1533.1636862935106</v>
      </c>
      <c r="Y27" s="130">
        <v>1.7230514038285704E-4</v>
      </c>
    </row>
    <row r="28" spans="1:25" x14ac:dyDescent="0.2">
      <c r="A28" s="88" t="str">
        <f t="shared" si="0"/>
        <v>SWB21</v>
      </c>
      <c r="B28" s="6" t="s">
        <v>12</v>
      </c>
      <c r="C28" s="88">
        <v>2021</v>
      </c>
      <c r="D28" s="89">
        <f t="shared" si="2"/>
        <v>13.543332883004739</v>
      </c>
      <c r="E28" s="89">
        <f t="shared" si="3"/>
        <v>9.7731052778632836</v>
      </c>
      <c r="F28" s="89">
        <f t="shared" si="4"/>
        <v>11.593352714082844</v>
      </c>
      <c r="G28" s="89">
        <f t="shared" si="5"/>
        <v>3.7400477406883357</v>
      </c>
      <c r="H28" s="90">
        <f t="shared" si="6"/>
        <v>3.7718696959638693</v>
      </c>
      <c r="I28" s="90">
        <f t="shared" si="7"/>
        <v>0.87942500373504529</v>
      </c>
      <c r="J28" s="90">
        <f t="shared" si="8"/>
        <v>10.257160590301153</v>
      </c>
      <c r="K28" s="90">
        <f t="shared" si="9"/>
        <v>2.3329539147531113</v>
      </c>
      <c r="L28" s="90">
        <f t="shared" si="10"/>
        <v>58.109511029367148</v>
      </c>
      <c r="M28" s="91">
        <f t="shared" si="11"/>
        <v>6.8743279865975282</v>
      </c>
      <c r="N28" s="91">
        <f t="shared" si="12"/>
        <v>-7.0648232407961702</v>
      </c>
      <c r="O28" s="130">
        <v>761718.91068937129</v>
      </c>
      <c r="P28" s="131">
        <v>17555.196428571428</v>
      </c>
      <c r="Q28" s="131">
        <v>108375</v>
      </c>
      <c r="R28" s="131">
        <v>42.1</v>
      </c>
      <c r="S28" s="131">
        <v>43.461248238477886</v>
      </c>
      <c r="T28" s="130">
        <v>2.409513846561143</v>
      </c>
      <c r="U28" s="131">
        <v>10.257160590301153</v>
      </c>
      <c r="V28" s="131">
        <v>2.3329539147531113</v>
      </c>
      <c r="W28" s="131">
        <v>58.109511029367148</v>
      </c>
      <c r="X28" s="131">
        <v>967.12522604413061</v>
      </c>
      <c r="Y28" s="130">
        <v>8.5464597355319901E-4</v>
      </c>
    </row>
    <row r="29" spans="1:25" x14ac:dyDescent="0.2">
      <c r="A29" s="88" t="str">
        <f t="shared" si="0"/>
        <v>SWB22</v>
      </c>
      <c r="B29" s="6" t="s">
        <v>12</v>
      </c>
      <c r="C29" s="88">
        <v>2022</v>
      </c>
      <c r="D29" s="89">
        <f t="shared" si="2"/>
        <v>13.549490651238086</v>
      </c>
      <c r="E29" s="89">
        <f t="shared" si="3"/>
        <v>9.775738288690393</v>
      </c>
      <c r="F29" s="89">
        <f t="shared" si="4"/>
        <v>11.599515920051326</v>
      </c>
      <c r="G29" s="89">
        <f t="shared" si="5"/>
        <v>3.7471483622379123</v>
      </c>
      <c r="H29" s="90">
        <f t="shared" si="6"/>
        <v>3.7758862562769413</v>
      </c>
      <c r="I29" s="90">
        <f t="shared" si="7"/>
        <v>0.87942500373504529</v>
      </c>
      <c r="J29" s="90">
        <f t="shared" si="8"/>
        <v>10.257160590301153</v>
      </c>
      <c r="K29" s="90">
        <f t="shared" si="9"/>
        <v>2.3329539147531113</v>
      </c>
      <c r="L29" s="90">
        <f t="shared" si="10"/>
        <v>58.109511029367148</v>
      </c>
      <c r="M29" s="91">
        <f t="shared" si="11"/>
        <v>6.8760000961624783</v>
      </c>
      <c r="N29" s="91">
        <f t="shared" si="12"/>
        <v>-7.0709810090295164</v>
      </c>
      <c r="O29" s="130">
        <v>766423.87035902846</v>
      </c>
      <c r="P29" s="131">
        <v>17601.480357142857</v>
      </c>
      <c r="Q29" s="131">
        <v>109045</v>
      </c>
      <c r="R29" s="131">
        <v>42.4</v>
      </c>
      <c r="S29" s="131">
        <v>43.636164008022106</v>
      </c>
      <c r="T29" s="130">
        <v>2.409513846561143</v>
      </c>
      <c r="U29" s="131">
        <v>10.257160590301153</v>
      </c>
      <c r="V29" s="131">
        <v>2.3329539147531113</v>
      </c>
      <c r="W29" s="131">
        <v>58.109511029367148</v>
      </c>
      <c r="X29" s="131">
        <v>968.74371815607265</v>
      </c>
      <c r="Y29" s="130">
        <v>8.4939943179880529E-4</v>
      </c>
    </row>
    <row r="30" spans="1:25" x14ac:dyDescent="0.2">
      <c r="A30" s="88" t="str">
        <f t="shared" si="0"/>
        <v>SWB23</v>
      </c>
      <c r="B30" s="6" t="s">
        <v>12</v>
      </c>
      <c r="C30" s="88">
        <v>2023</v>
      </c>
      <c r="D30" s="89">
        <f t="shared" si="2"/>
        <v>13.55702447808506</v>
      </c>
      <c r="E30" s="89">
        <f t="shared" si="3"/>
        <v>9.7783643849735711</v>
      </c>
      <c r="F30" s="89">
        <f t="shared" si="4"/>
        <v>11.60581453443263</v>
      </c>
      <c r="G30" s="89">
        <f t="shared" si="5"/>
        <v>3.7541989202345789</v>
      </c>
      <c r="H30" s="90">
        <f t="shared" si="6"/>
        <v>3.7812834501807657</v>
      </c>
      <c r="I30" s="90">
        <f t="shared" si="7"/>
        <v>0.87942500373504529</v>
      </c>
      <c r="J30" s="90">
        <f t="shared" si="8"/>
        <v>10.257160590301153</v>
      </c>
      <c r="K30" s="90">
        <f t="shared" si="9"/>
        <v>2.3329539147531113</v>
      </c>
      <c r="L30" s="90">
        <f t="shared" si="10"/>
        <v>58.109511029367148</v>
      </c>
      <c r="M30" s="91">
        <f t="shared" si="11"/>
        <v>6.877702326756844</v>
      </c>
      <c r="N30" s="91">
        <f t="shared" si="12"/>
        <v>-7.0785148358764909</v>
      </c>
      <c r="O30" s="130">
        <v>772219.78036698489</v>
      </c>
      <c r="P30" s="131">
        <v>17647.764285714286</v>
      </c>
      <c r="Q30" s="131">
        <v>109734</v>
      </c>
      <c r="R30" s="131">
        <v>42.7</v>
      </c>
      <c r="S30" s="131">
        <v>43.872313545567835</v>
      </c>
      <c r="T30" s="130">
        <v>2.409513846561143</v>
      </c>
      <c r="U30" s="131">
        <v>10.257160590301153</v>
      </c>
      <c r="V30" s="131">
        <v>2.3329539147531113</v>
      </c>
      <c r="W30" s="131">
        <v>58.109511029367148</v>
      </c>
      <c r="X30" s="131">
        <v>970.3941476584921</v>
      </c>
      <c r="Y30" s="130">
        <v>8.4302424847317796E-4</v>
      </c>
    </row>
    <row r="31" spans="1:25" x14ac:dyDescent="0.2">
      <c r="A31" s="88" t="str">
        <f t="shared" si="0"/>
        <v>SWB24</v>
      </c>
      <c r="B31" s="6" t="s">
        <v>12</v>
      </c>
      <c r="C31" s="88">
        <v>2024</v>
      </c>
      <c r="D31" s="89">
        <f t="shared" si="2"/>
        <v>13.564441436159584</v>
      </c>
      <c r="E31" s="89">
        <f t="shared" si="3"/>
        <v>9.7810118606246128</v>
      </c>
      <c r="F31" s="89">
        <f t="shared" si="4"/>
        <v>11.611557394377828</v>
      </c>
      <c r="G31" s="89">
        <f t="shared" si="5"/>
        <v>3.7612001156935624</v>
      </c>
      <c r="H31" s="90">
        <f t="shared" si="6"/>
        <v>3.7865683307808382</v>
      </c>
      <c r="I31" s="90">
        <f t="shared" si="7"/>
        <v>0.87942500373504529</v>
      </c>
      <c r="J31" s="90">
        <f t="shared" si="8"/>
        <v>10.257160590301153</v>
      </c>
      <c r="K31" s="90">
        <f t="shared" si="9"/>
        <v>2.3329539147531113</v>
      </c>
      <c r="L31" s="90">
        <f t="shared" si="10"/>
        <v>58.109511029367148</v>
      </c>
      <c r="M31" s="91">
        <f t="shared" si="11"/>
        <v>6.8800199651144691</v>
      </c>
      <c r="N31" s="91">
        <f t="shared" si="12"/>
        <v>-7.0859317939510147</v>
      </c>
      <c r="O31" s="130">
        <v>777968.59510713012</v>
      </c>
      <c r="P31" s="131">
        <v>17694.548214285714</v>
      </c>
      <c r="Q31" s="131">
        <v>110366</v>
      </c>
      <c r="R31" s="131">
        <v>43</v>
      </c>
      <c r="S31" s="131">
        <v>44.104787241085283</v>
      </c>
      <c r="T31" s="130">
        <v>2.409513846561143</v>
      </c>
      <c r="U31" s="131">
        <v>10.257160590301153</v>
      </c>
      <c r="V31" s="131">
        <v>2.3329539147531113</v>
      </c>
      <c r="W31" s="131">
        <v>58.109511029367148</v>
      </c>
      <c r="X31" s="131">
        <v>972.64577858234168</v>
      </c>
      <c r="Y31" s="130">
        <v>8.3679470366069739E-4</v>
      </c>
    </row>
    <row r="32" spans="1:25" x14ac:dyDescent="0.2">
      <c r="A32" s="88" t="str">
        <f t="shared" si="0"/>
        <v>SWB25</v>
      </c>
      <c r="B32" s="6" t="s">
        <v>12</v>
      </c>
      <c r="C32" s="88">
        <v>2025</v>
      </c>
      <c r="D32" s="89">
        <f t="shared" si="2"/>
        <v>13.571802910474556</v>
      </c>
      <c r="E32" s="89">
        <f t="shared" si="3"/>
        <v>9.7835677937476184</v>
      </c>
      <c r="F32" s="89">
        <f t="shared" si="4"/>
        <v>11.617888901802692</v>
      </c>
      <c r="G32" s="89">
        <f t="shared" si="5"/>
        <v>3.7704594411063592</v>
      </c>
      <c r="H32" s="90">
        <f t="shared" si="6"/>
        <v>3.7918022637061459</v>
      </c>
      <c r="I32" s="90">
        <f t="shared" si="7"/>
        <v>0.87942500373504529</v>
      </c>
      <c r="J32" s="90">
        <f t="shared" si="8"/>
        <v>10.257160590301153</v>
      </c>
      <c r="K32" s="90">
        <f t="shared" si="9"/>
        <v>2.3329539147531113</v>
      </c>
      <c r="L32" s="90">
        <f t="shared" si="10"/>
        <v>58.109511029367148</v>
      </c>
      <c r="M32" s="91">
        <f t="shared" si="11"/>
        <v>6.883555509731706</v>
      </c>
      <c r="N32" s="91">
        <f t="shared" si="12"/>
        <v>-7.0932932682659864</v>
      </c>
      <c r="O32" s="130">
        <v>783716.72232511721</v>
      </c>
      <c r="P32" s="131">
        <v>17739.832142857143</v>
      </c>
      <c r="Q32" s="131">
        <v>111067</v>
      </c>
      <c r="R32" s="131">
        <v>43.4</v>
      </c>
      <c r="S32" s="131">
        <v>44.336233898976737</v>
      </c>
      <c r="T32" s="130">
        <v>2.409513846561143</v>
      </c>
      <c r="U32" s="131">
        <v>10.257160590301153</v>
      </c>
      <c r="V32" s="131">
        <v>2.3329539147531113</v>
      </c>
      <c r="W32" s="131">
        <v>58.109511029367148</v>
      </c>
      <c r="X32" s="131">
        <v>976.09069737285165</v>
      </c>
      <c r="Y32" s="130">
        <v>8.3065727890636865E-4</v>
      </c>
    </row>
    <row r="33" spans="1:25" x14ac:dyDescent="0.2">
      <c r="A33" s="88" t="str">
        <f t="shared" si="0"/>
        <v>TMS21</v>
      </c>
      <c r="B33" s="6" t="s">
        <v>9</v>
      </c>
      <c r="C33" s="88">
        <v>2021</v>
      </c>
      <c r="D33" s="89">
        <f t="shared" si="2"/>
        <v>15.604499475132471</v>
      </c>
      <c r="E33" s="89">
        <f t="shared" si="3"/>
        <v>11.601089292002229</v>
      </c>
      <c r="F33" s="89">
        <f t="shared" si="4"/>
        <v>13.808129323554905</v>
      </c>
      <c r="G33" s="89">
        <f t="shared" si="5"/>
        <v>5.9822471975583724</v>
      </c>
      <c r="H33" s="90">
        <f t="shared" si="6"/>
        <v>4.0044582350508575</v>
      </c>
      <c r="I33" s="90">
        <f t="shared" si="7"/>
        <v>0.233377201250967</v>
      </c>
      <c r="J33" s="90">
        <f t="shared" si="8"/>
        <v>0.67938022323728209</v>
      </c>
      <c r="K33" s="90">
        <f t="shared" si="9"/>
        <v>85.849013974051644</v>
      </c>
      <c r="L33" s="90">
        <f t="shared" si="10"/>
        <v>94.203004476565113</v>
      </c>
      <c r="M33" s="91">
        <f t="shared" si="11"/>
        <v>8.5671708367400914</v>
      </c>
      <c r="N33" s="91">
        <f t="shared" si="12"/>
        <v>-9.7128552633067002</v>
      </c>
      <c r="O33" s="130">
        <v>5983399.6942650778</v>
      </c>
      <c r="P33" s="131">
        <v>109216.70338561048</v>
      </c>
      <c r="Q33" s="131">
        <v>992645.94</v>
      </c>
      <c r="R33" s="131">
        <v>396.33</v>
      </c>
      <c r="S33" s="131">
        <v>54.842104819155423</v>
      </c>
      <c r="T33" s="130">
        <v>1.262857741018067</v>
      </c>
      <c r="U33" s="131">
        <v>0.67938022323728209</v>
      </c>
      <c r="V33" s="131">
        <v>85.849013974051644</v>
      </c>
      <c r="W33" s="131">
        <v>94.203004476565113</v>
      </c>
      <c r="X33" s="131">
        <v>5256.2379790689884</v>
      </c>
      <c r="Y33" s="130">
        <v>6.0500721746362179E-5</v>
      </c>
    </row>
    <row r="34" spans="1:25" x14ac:dyDescent="0.2">
      <c r="A34" s="88" t="str">
        <f t="shared" si="0"/>
        <v>TMS22</v>
      </c>
      <c r="B34" s="6" t="s">
        <v>9</v>
      </c>
      <c r="C34" s="88">
        <v>2022</v>
      </c>
      <c r="D34" s="89">
        <f t="shared" si="2"/>
        <v>15.611538287007395</v>
      </c>
      <c r="E34" s="89">
        <f t="shared" si="3"/>
        <v>11.601657092986056</v>
      </c>
      <c r="F34" s="89">
        <f t="shared" si="4"/>
        <v>13.814868311768331</v>
      </c>
      <c r="G34" s="89">
        <f t="shared" si="5"/>
        <v>5.9940113013745577</v>
      </c>
      <c r="H34" s="90">
        <f t="shared" si="6"/>
        <v>4.011054951545173</v>
      </c>
      <c r="I34" s="90">
        <f t="shared" si="7"/>
        <v>0.233377201250967</v>
      </c>
      <c r="J34" s="90">
        <f t="shared" si="8"/>
        <v>0.67938022323728209</v>
      </c>
      <c r="K34" s="90">
        <f t="shared" si="9"/>
        <v>85.849013974051644</v>
      </c>
      <c r="L34" s="90">
        <f t="shared" si="10"/>
        <v>94.203004476565113</v>
      </c>
      <c r="M34" s="91">
        <f t="shared" si="11"/>
        <v>8.5763139794240431</v>
      </c>
      <c r="N34" s="91">
        <f t="shared" si="12"/>
        <v>-9.7143844193706546</v>
      </c>
      <c r="O34" s="130">
        <v>6025664.2908583209</v>
      </c>
      <c r="P34" s="131">
        <v>109278.7343461969</v>
      </c>
      <c r="Q34" s="131">
        <v>999357.96</v>
      </c>
      <c r="R34" s="131">
        <v>401.02</v>
      </c>
      <c r="S34" s="131">
        <v>55.20507853767397</v>
      </c>
      <c r="T34" s="130">
        <v>1.262857741018067</v>
      </c>
      <c r="U34" s="131">
        <v>0.67938022323728209</v>
      </c>
      <c r="V34" s="131">
        <v>85.849013974051644</v>
      </c>
      <c r="W34" s="131">
        <v>94.203004476565113</v>
      </c>
      <c r="X34" s="131">
        <v>5304.5168870337366</v>
      </c>
      <c r="Y34" s="130">
        <v>6.0408277399760404E-5</v>
      </c>
    </row>
    <row r="35" spans="1:25" x14ac:dyDescent="0.2">
      <c r="A35" s="88" t="str">
        <f t="shared" ref="A35:A57" si="13">B35&amp;RIGHT(C35,2)</f>
        <v>TMS23</v>
      </c>
      <c r="B35" s="6" t="s">
        <v>9</v>
      </c>
      <c r="C35" s="88">
        <v>2023</v>
      </c>
      <c r="D35" s="89">
        <f t="shared" si="2"/>
        <v>15.621323905335281</v>
      </c>
      <c r="E35" s="89">
        <f t="shared" si="3"/>
        <v>11.602193909663601</v>
      </c>
      <c r="F35" s="89">
        <f t="shared" si="4"/>
        <v>13.82101050548636</v>
      </c>
      <c r="G35" s="89">
        <f t="shared" si="5"/>
        <v>5.9993087011310307</v>
      </c>
      <c r="H35" s="90">
        <f t="shared" si="6"/>
        <v>4.0203986698544112</v>
      </c>
      <c r="I35" s="90">
        <f t="shared" si="7"/>
        <v>0.233377201250967</v>
      </c>
      <c r="J35" s="90">
        <f t="shared" si="8"/>
        <v>0.67938022323728209</v>
      </c>
      <c r="K35" s="90">
        <f t="shared" si="9"/>
        <v>85.849013974051644</v>
      </c>
      <c r="L35" s="90">
        <f t="shared" si="10"/>
        <v>94.203004476565113</v>
      </c>
      <c r="M35" s="91">
        <f t="shared" si="11"/>
        <v>8.5844980300641183</v>
      </c>
      <c r="N35" s="91">
        <f t="shared" si="12"/>
        <v>-9.7186905719339141</v>
      </c>
      <c r="O35" s="130">
        <v>6084918.5889128782</v>
      </c>
      <c r="P35" s="131">
        <v>109337.41274165653</v>
      </c>
      <c r="Q35" s="131">
        <v>1005515.1</v>
      </c>
      <c r="R35" s="131">
        <v>403.15</v>
      </c>
      <c r="S35" s="131">
        <v>55.723316605635951</v>
      </c>
      <c r="T35" s="130">
        <v>1.262857741018067</v>
      </c>
      <c r="U35" s="131">
        <v>0.67938022323728209</v>
      </c>
      <c r="V35" s="131">
        <v>85.849013974051644</v>
      </c>
      <c r="W35" s="131">
        <v>94.203004476565113</v>
      </c>
      <c r="X35" s="131">
        <v>5348.1074522519875</v>
      </c>
      <c r="Y35" s="130">
        <v>6.0148709411967491E-5</v>
      </c>
    </row>
    <row r="36" spans="1:25" x14ac:dyDescent="0.2">
      <c r="A36" s="88" t="str">
        <f t="shared" si="13"/>
        <v>TMS24</v>
      </c>
      <c r="B36" s="6" t="s">
        <v>9</v>
      </c>
      <c r="C36" s="88">
        <v>2024</v>
      </c>
      <c r="D36" s="89">
        <f t="shared" si="2"/>
        <v>15.630672162778902</v>
      </c>
      <c r="E36" s="89">
        <f t="shared" si="3"/>
        <v>11.602728864838035</v>
      </c>
      <c r="F36" s="89">
        <f t="shared" si="4"/>
        <v>13.826567583136008</v>
      </c>
      <c r="G36" s="89">
        <f t="shared" si="5"/>
        <v>6.0046028602482098</v>
      </c>
      <c r="H36" s="90">
        <f t="shared" si="6"/>
        <v>4.0293052224687607</v>
      </c>
      <c r="I36" s="90">
        <f t="shared" si="7"/>
        <v>0.233377201250967</v>
      </c>
      <c r="J36" s="90">
        <f t="shared" si="8"/>
        <v>0.67938022323728209</v>
      </c>
      <c r="K36" s="90">
        <f t="shared" si="9"/>
        <v>85.849013974051644</v>
      </c>
      <c r="L36" s="90">
        <f t="shared" si="10"/>
        <v>94.203004476565113</v>
      </c>
      <c r="M36" s="91">
        <f t="shared" si="11"/>
        <v>8.5917243266228613</v>
      </c>
      <c r="N36" s="91">
        <f t="shared" si="12"/>
        <v>-9.7225892246099708</v>
      </c>
      <c r="O36" s="130">
        <v>6142068.6851170631</v>
      </c>
      <c r="P36" s="131">
        <v>109395.91900408061</v>
      </c>
      <c r="Q36" s="131">
        <v>1011118.38</v>
      </c>
      <c r="R36" s="131">
        <v>405.29</v>
      </c>
      <c r="S36" s="131">
        <v>56.221836005977949</v>
      </c>
      <c r="T36" s="130">
        <v>1.262857741018067</v>
      </c>
      <c r="U36" s="131">
        <v>0.67938022323728209</v>
      </c>
      <c r="V36" s="131">
        <v>85.849013974051644</v>
      </c>
      <c r="W36" s="131">
        <v>94.203004476565113</v>
      </c>
      <c r="X36" s="131">
        <v>5386.8944370716272</v>
      </c>
      <c r="Y36" s="130">
        <v>5.991466700652603E-5</v>
      </c>
    </row>
    <row r="37" spans="1:25" x14ac:dyDescent="0.2">
      <c r="A37" s="88" t="str">
        <f t="shared" si="13"/>
        <v>TMS25</v>
      </c>
      <c r="B37" s="6" t="s">
        <v>9</v>
      </c>
      <c r="C37" s="88">
        <v>2025</v>
      </c>
      <c r="D37" s="89">
        <f t="shared" si="2"/>
        <v>15.639761719525765</v>
      </c>
      <c r="E37" s="89">
        <f t="shared" si="3"/>
        <v>11.603253705947232</v>
      </c>
      <c r="F37" s="89">
        <f t="shared" si="4"/>
        <v>13.831917721309328</v>
      </c>
      <c r="G37" s="89">
        <f t="shared" si="5"/>
        <v>6.0098445943894117</v>
      </c>
      <c r="H37" s="90">
        <f t="shared" si="6"/>
        <v>4.0379532694033706</v>
      </c>
      <c r="I37" s="90">
        <f t="shared" si="7"/>
        <v>0.233377201250967</v>
      </c>
      <c r="J37" s="90">
        <f t="shared" si="8"/>
        <v>0.67938022323728209</v>
      </c>
      <c r="K37" s="90">
        <f t="shared" si="9"/>
        <v>85.849013974051644</v>
      </c>
      <c r="L37" s="90">
        <f t="shared" si="10"/>
        <v>94.203004476565113</v>
      </c>
      <c r="M37" s="91">
        <f t="shared" si="11"/>
        <v>8.5986584385846196</v>
      </c>
      <c r="N37" s="91">
        <f t="shared" si="12"/>
        <v>-9.7262587138874945</v>
      </c>
      <c r="O37" s="130">
        <v>6198151.8664709246</v>
      </c>
      <c r="P37" s="131">
        <v>109453.34954918953</v>
      </c>
      <c r="Q37" s="131">
        <v>1016542.5</v>
      </c>
      <c r="R37" s="131">
        <v>407.42</v>
      </c>
      <c r="S37" s="131">
        <v>56.710153535582123</v>
      </c>
      <c r="T37" s="130">
        <v>1.262857741018067</v>
      </c>
      <c r="U37" s="131">
        <v>0.67938022323728209</v>
      </c>
      <c r="V37" s="131">
        <v>85.849013974051644</v>
      </c>
      <c r="W37" s="131">
        <v>94.203004476565113</v>
      </c>
      <c r="X37" s="131">
        <v>5424.3775721638922</v>
      </c>
      <c r="Y37" s="130">
        <v>5.9695213665467816E-5</v>
      </c>
    </row>
    <row r="38" spans="1:25" x14ac:dyDescent="0.2">
      <c r="A38" s="88" t="str">
        <f t="shared" si="13"/>
        <v>WSH21</v>
      </c>
      <c r="B38" s="6" t="s">
        <v>15</v>
      </c>
      <c r="C38" s="88">
        <v>2021</v>
      </c>
      <c r="D38" s="89">
        <f t="shared" si="2"/>
        <v>14.203265741950053</v>
      </c>
      <c r="E38" s="89">
        <f t="shared" si="3"/>
        <v>10.504693389350285</v>
      </c>
      <c r="F38" s="89">
        <f t="shared" si="4"/>
        <v>12.427339313246959</v>
      </c>
      <c r="G38" s="89">
        <f t="shared" si="5"/>
        <v>4.2959239356204701</v>
      </c>
      <c r="H38" s="90">
        <f t="shared" si="6"/>
        <v>3.6994402845989134</v>
      </c>
      <c r="I38" s="90">
        <f t="shared" si="7"/>
        <v>0.5116785427340983</v>
      </c>
      <c r="J38" s="90">
        <f t="shared" si="8"/>
        <v>6.1613773818191069</v>
      </c>
      <c r="K38" s="90">
        <f t="shared" si="9"/>
        <v>2.0611453397868384</v>
      </c>
      <c r="L38" s="90">
        <f t="shared" si="10"/>
        <v>73.838196306748031</v>
      </c>
      <c r="M38" s="91">
        <f t="shared" si="11"/>
        <v>6.3980045059329571</v>
      </c>
      <c r="N38" s="91">
        <f t="shared" si="12"/>
        <v>-7.4782320997832095</v>
      </c>
      <c r="O38" s="130">
        <v>1473668.9623608035</v>
      </c>
      <c r="P38" s="131">
        <v>36486.346071428576</v>
      </c>
      <c r="Q38" s="131">
        <v>249531.219161791</v>
      </c>
      <c r="R38" s="131">
        <v>73.400000000000006</v>
      </c>
      <c r="S38" s="131">
        <v>40.424671715395377</v>
      </c>
      <c r="T38" s="130">
        <v>1.6680888046782083</v>
      </c>
      <c r="U38" s="131">
        <v>6.1613773818191069</v>
      </c>
      <c r="V38" s="131">
        <v>2.0611453397868384</v>
      </c>
      <c r="W38" s="131">
        <v>73.838196306748031</v>
      </c>
      <c r="X38" s="131">
        <v>600.64525714551667</v>
      </c>
      <c r="Y38" s="130">
        <v>5.652558486850005E-4</v>
      </c>
    </row>
    <row r="39" spans="1:25" x14ac:dyDescent="0.2">
      <c r="A39" s="88" t="str">
        <f t="shared" si="13"/>
        <v>WSH22</v>
      </c>
      <c r="B39" s="6" t="s">
        <v>15</v>
      </c>
      <c r="C39" s="88">
        <v>2022</v>
      </c>
      <c r="D39" s="89">
        <f t="shared" si="2"/>
        <v>14.208527253168976</v>
      </c>
      <c r="E39" s="89">
        <f t="shared" si="3"/>
        <v>10.506992334691358</v>
      </c>
      <c r="F39" s="89">
        <f t="shared" si="4"/>
        <v>12.432779864914918</v>
      </c>
      <c r="G39" s="89">
        <f t="shared" si="5"/>
        <v>4.3067641501733345</v>
      </c>
      <c r="H39" s="90">
        <f t="shared" si="6"/>
        <v>3.7025930931362994</v>
      </c>
      <c r="I39" s="90">
        <f t="shared" si="7"/>
        <v>0.5116785427340983</v>
      </c>
      <c r="J39" s="90">
        <f t="shared" si="8"/>
        <v>6.1613773818191069</v>
      </c>
      <c r="K39" s="90">
        <f t="shared" si="9"/>
        <v>2.0611453397868384</v>
      </c>
      <c r="L39" s="90">
        <f t="shared" si="10"/>
        <v>73.838196306748031</v>
      </c>
      <c r="M39" s="91">
        <f t="shared" si="11"/>
        <v>6.4062095042020823</v>
      </c>
      <c r="N39" s="91">
        <f t="shared" si="12"/>
        <v>-7.4834936110021326</v>
      </c>
      <c r="O39" s="130">
        <v>1481443.1221189813</v>
      </c>
      <c r="P39" s="131">
        <v>36570.322678571436</v>
      </c>
      <c r="Q39" s="131">
        <v>250892.506371314</v>
      </c>
      <c r="R39" s="131">
        <v>74.2</v>
      </c>
      <c r="S39" s="131">
        <v>40.552324091510471</v>
      </c>
      <c r="T39" s="130">
        <v>1.6680888046782083</v>
      </c>
      <c r="U39" s="131">
        <v>6.1613773818191069</v>
      </c>
      <c r="V39" s="131">
        <v>2.0611453397868384</v>
      </c>
      <c r="W39" s="131">
        <v>73.838196306748031</v>
      </c>
      <c r="X39" s="131">
        <v>605.59382417043776</v>
      </c>
      <c r="Y39" s="130">
        <v>5.6228955912159418E-4</v>
      </c>
    </row>
    <row r="40" spans="1:25" x14ac:dyDescent="0.2">
      <c r="A40" s="88" t="str">
        <f t="shared" si="13"/>
        <v>WSH23</v>
      </c>
      <c r="B40" s="6" t="s">
        <v>15</v>
      </c>
      <c r="C40" s="88">
        <v>2023</v>
      </c>
      <c r="D40" s="89">
        <f t="shared" si="2"/>
        <v>14.214183654919447</v>
      </c>
      <c r="E40" s="89">
        <f t="shared" si="3"/>
        <v>10.509149588051924</v>
      </c>
      <c r="F40" s="89">
        <f t="shared" si="4"/>
        <v>12.440108231250791</v>
      </c>
      <c r="G40" s="89">
        <f t="shared" si="5"/>
        <v>4.3188205587700894</v>
      </c>
      <c r="H40" s="90">
        <f t="shared" si="6"/>
        <v>3.7061452294769874</v>
      </c>
      <c r="I40" s="90">
        <f t="shared" si="7"/>
        <v>0.5116785427340983</v>
      </c>
      <c r="J40" s="90">
        <f t="shared" si="8"/>
        <v>6.1613773818191069</v>
      </c>
      <c r="K40" s="90">
        <f t="shared" si="9"/>
        <v>2.0611453397868384</v>
      </c>
      <c r="L40" s="90">
        <f t="shared" si="10"/>
        <v>73.838196306748031</v>
      </c>
      <c r="M40" s="91">
        <f t="shared" si="11"/>
        <v>6.4145790755138545</v>
      </c>
      <c r="N40" s="91">
        <f t="shared" si="12"/>
        <v>-7.4963789598957558</v>
      </c>
      <c r="O40" s="130">
        <v>1489846.503633694</v>
      </c>
      <c r="P40" s="131">
        <v>36649.299285714296</v>
      </c>
      <c r="Q40" s="131">
        <v>252737.89214154999</v>
      </c>
      <c r="R40" s="131">
        <v>75.099999999999994</v>
      </c>
      <c r="S40" s="131">
        <v>40.696627616782202</v>
      </c>
      <c r="T40" s="130">
        <v>1.6680888046782083</v>
      </c>
      <c r="U40" s="131">
        <v>6.1613773818191069</v>
      </c>
      <c r="V40" s="131">
        <v>2.0611453397868384</v>
      </c>
      <c r="W40" s="131">
        <v>73.838196306748031</v>
      </c>
      <c r="X40" s="131">
        <v>610.68365500714197</v>
      </c>
      <c r="Y40" s="130">
        <v>5.5509074121593742E-4</v>
      </c>
    </row>
    <row r="41" spans="1:25" x14ac:dyDescent="0.2">
      <c r="A41" s="88" t="str">
        <f t="shared" si="13"/>
        <v>WSH24</v>
      </c>
      <c r="B41" s="6" t="s">
        <v>15</v>
      </c>
      <c r="C41" s="88">
        <v>2024</v>
      </c>
      <c r="D41" s="89">
        <f t="shared" si="2"/>
        <v>14.219556924409655</v>
      </c>
      <c r="E41" s="89">
        <f t="shared" si="3"/>
        <v>10.511329424294775</v>
      </c>
      <c r="F41" s="89">
        <f t="shared" si="4"/>
        <v>12.445708845324825</v>
      </c>
      <c r="G41" s="89">
        <f t="shared" si="5"/>
        <v>4.3294166844015844</v>
      </c>
      <c r="H41" s="90">
        <f t="shared" si="6"/>
        <v>3.7094186521939694</v>
      </c>
      <c r="I41" s="90">
        <f t="shared" si="7"/>
        <v>0.5116785427340983</v>
      </c>
      <c r="J41" s="90">
        <f t="shared" si="8"/>
        <v>6.1613773818191069</v>
      </c>
      <c r="K41" s="90">
        <f t="shared" si="9"/>
        <v>2.0611453397868384</v>
      </c>
      <c r="L41" s="90">
        <f t="shared" si="10"/>
        <v>73.838196306748031</v>
      </c>
      <c r="M41" s="91">
        <f t="shared" si="11"/>
        <v>6.423088438681761</v>
      </c>
      <c r="N41" s="91">
        <f t="shared" si="12"/>
        <v>-7.5017522293859642</v>
      </c>
      <c r="O41" s="130">
        <v>1497873.3964130871</v>
      </c>
      <c r="P41" s="131">
        <v>36729.275892857157</v>
      </c>
      <c r="Q41" s="131">
        <v>254157.35074691099</v>
      </c>
      <c r="R41" s="131">
        <v>75.900000000000006</v>
      </c>
      <c r="S41" s="131">
        <v>40.830063158444105</v>
      </c>
      <c r="T41" s="130">
        <v>1.6680888046782083</v>
      </c>
      <c r="U41" s="131">
        <v>6.1613773818191069</v>
      </c>
      <c r="V41" s="131">
        <v>2.0611453397868384</v>
      </c>
      <c r="W41" s="131">
        <v>73.838196306748031</v>
      </c>
      <c r="X41" s="131">
        <v>615.9023564309872</v>
      </c>
      <c r="Y41" s="130">
        <v>5.5211608803547231E-4</v>
      </c>
    </row>
    <row r="42" spans="1:25" x14ac:dyDescent="0.2">
      <c r="A42" s="88" t="str">
        <f t="shared" si="13"/>
        <v>WSH25</v>
      </c>
      <c r="B42" s="6" t="s">
        <v>15</v>
      </c>
      <c r="C42" s="88">
        <v>2025</v>
      </c>
      <c r="D42" s="89">
        <f t="shared" si="2"/>
        <v>14.224767865122022</v>
      </c>
      <c r="E42" s="89">
        <f t="shared" si="3"/>
        <v>10.513490935551564</v>
      </c>
      <c r="F42" s="89">
        <f t="shared" si="4"/>
        <v>12.451324922529864</v>
      </c>
      <c r="G42" s="89">
        <f t="shared" si="5"/>
        <v>4.3412046401536264</v>
      </c>
      <c r="H42" s="90">
        <f t="shared" si="6"/>
        <v>3.7125341462516204</v>
      </c>
      <c r="I42" s="90">
        <f t="shared" si="7"/>
        <v>0.5116785427340983</v>
      </c>
      <c r="J42" s="90">
        <f t="shared" si="8"/>
        <v>6.1613773818191069</v>
      </c>
      <c r="K42" s="90">
        <f t="shared" si="9"/>
        <v>2.0611453397868384</v>
      </c>
      <c r="L42" s="90">
        <f t="shared" si="10"/>
        <v>73.838196306748031</v>
      </c>
      <c r="M42" s="91">
        <f t="shared" si="11"/>
        <v>6.4316497873572631</v>
      </c>
      <c r="N42" s="91">
        <f t="shared" si="12"/>
        <v>-7.5093844787873412</v>
      </c>
      <c r="O42" s="130">
        <v>1505699.0978012239</v>
      </c>
      <c r="P42" s="131">
        <v>36808.75250000001</v>
      </c>
      <c r="Q42" s="131">
        <v>255588.733667241</v>
      </c>
      <c r="R42" s="131">
        <v>76.8</v>
      </c>
      <c r="S42" s="131">
        <v>40.957467338017992</v>
      </c>
      <c r="T42" s="130">
        <v>1.6680888046782083</v>
      </c>
      <c r="U42" s="131">
        <v>6.1613773818191069</v>
      </c>
      <c r="V42" s="131">
        <v>2.0611453397868384</v>
      </c>
      <c r="W42" s="131">
        <v>73.838196306748031</v>
      </c>
      <c r="X42" s="131">
        <v>621.19794760998286</v>
      </c>
      <c r="Y42" s="130">
        <v>5.4791824024119401E-4</v>
      </c>
    </row>
    <row r="43" spans="1:25" x14ac:dyDescent="0.2">
      <c r="A43" s="88" t="str">
        <f t="shared" si="13"/>
        <v>WSX21</v>
      </c>
      <c r="B43" s="6" t="s">
        <v>10</v>
      </c>
      <c r="C43" s="88">
        <v>2021</v>
      </c>
      <c r="D43" s="89">
        <f t="shared" si="2"/>
        <v>14.054775023093619</v>
      </c>
      <c r="E43" s="89">
        <f t="shared" si="3"/>
        <v>10.472162003389942</v>
      </c>
      <c r="F43" s="89">
        <f t="shared" si="4"/>
        <v>12.135853030081531</v>
      </c>
      <c r="G43" s="89">
        <f t="shared" si="5"/>
        <v>4.3099398022034778</v>
      </c>
      <c r="H43" s="90">
        <f t="shared" si="6"/>
        <v>3.5862095862510692</v>
      </c>
      <c r="I43" s="90">
        <f t="shared" si="7"/>
        <v>0.3330901525054854</v>
      </c>
      <c r="J43" s="90">
        <f t="shared" si="8"/>
        <v>4.5136944985424767</v>
      </c>
      <c r="K43" s="90">
        <f t="shared" si="9"/>
        <v>6.1513487509809979</v>
      </c>
      <c r="L43" s="90">
        <f t="shared" si="10"/>
        <v>71.098056216031935</v>
      </c>
      <c r="M43" s="91">
        <f t="shared" si="11"/>
        <v>7.2273553365023</v>
      </c>
      <c r="N43" s="91">
        <f t="shared" si="12"/>
        <v>-8.063310475985638</v>
      </c>
      <c r="O43" s="130">
        <v>1270314.4460379907</v>
      </c>
      <c r="P43" s="131">
        <v>35318.493587222118</v>
      </c>
      <c r="Q43" s="131">
        <v>186437.81486047001</v>
      </c>
      <c r="R43" s="131">
        <v>74.436007921814294</v>
      </c>
      <c r="S43" s="131">
        <v>36.096993750112254</v>
      </c>
      <c r="T43" s="130">
        <v>1.3952730801639641</v>
      </c>
      <c r="U43" s="131">
        <v>4.5136944985424767</v>
      </c>
      <c r="V43" s="131">
        <v>6.1513487509809979</v>
      </c>
      <c r="W43" s="131">
        <v>71.098056216031935</v>
      </c>
      <c r="X43" s="131">
        <v>1376.5771025666932</v>
      </c>
      <c r="Y43" s="130">
        <v>3.1488266645126174E-4</v>
      </c>
    </row>
    <row r="44" spans="1:25" x14ac:dyDescent="0.2">
      <c r="A44" s="88" t="str">
        <f t="shared" si="13"/>
        <v>WSX22</v>
      </c>
      <c r="B44" s="6" t="s">
        <v>10</v>
      </c>
      <c r="C44" s="88">
        <v>2022</v>
      </c>
      <c r="D44" s="89">
        <f t="shared" si="2"/>
        <v>14.061897944598961</v>
      </c>
      <c r="E44" s="89">
        <f t="shared" si="3"/>
        <v>10.475874185218363</v>
      </c>
      <c r="F44" s="89">
        <f t="shared" si="4"/>
        <v>12.142292389377204</v>
      </c>
      <c r="G44" s="89">
        <f t="shared" si="5"/>
        <v>4.31816327662382</v>
      </c>
      <c r="H44" s="90">
        <f t="shared" si="6"/>
        <v>3.5907313325055905</v>
      </c>
      <c r="I44" s="90">
        <f t="shared" si="7"/>
        <v>0.3330901525054854</v>
      </c>
      <c r="J44" s="90">
        <f t="shared" si="8"/>
        <v>4.5136944985424767</v>
      </c>
      <c r="K44" s="90">
        <f t="shared" si="9"/>
        <v>6.1513487509809979</v>
      </c>
      <c r="L44" s="90">
        <f t="shared" si="10"/>
        <v>71.098056216031935</v>
      </c>
      <c r="M44" s="91">
        <f t="shared" si="11"/>
        <v>7.234784774768106</v>
      </c>
      <c r="N44" s="91">
        <f t="shared" si="12"/>
        <v>-8.0679365172923916</v>
      </c>
      <c r="O44" s="130">
        <v>1279395.0981172377</v>
      </c>
      <c r="P44" s="131">
        <v>35449.845908334129</v>
      </c>
      <c r="Q44" s="131">
        <v>187642.228601282</v>
      </c>
      <c r="R44" s="131">
        <v>75.050654329605806</v>
      </c>
      <c r="S44" s="131">
        <v>36.260584776221776</v>
      </c>
      <c r="T44" s="130">
        <v>1.3952730801639641</v>
      </c>
      <c r="U44" s="131">
        <v>4.5136944985424767</v>
      </c>
      <c r="V44" s="131">
        <v>6.1513487509809979</v>
      </c>
      <c r="W44" s="131">
        <v>71.098056216031935</v>
      </c>
      <c r="X44" s="131">
        <v>1386.8423825831203</v>
      </c>
      <c r="Y44" s="130">
        <v>3.1342937032517401E-4</v>
      </c>
    </row>
    <row r="45" spans="1:25" x14ac:dyDescent="0.2">
      <c r="A45" s="88" t="str">
        <f t="shared" si="13"/>
        <v>WSX23</v>
      </c>
      <c r="B45" s="6" t="s">
        <v>10</v>
      </c>
      <c r="C45" s="88">
        <v>2023</v>
      </c>
      <c r="D45" s="89">
        <f t="shared" si="2"/>
        <v>14.070018213156322</v>
      </c>
      <c r="E45" s="89">
        <f t="shared" si="3"/>
        <v>10.479602169626711</v>
      </c>
      <c r="F45" s="89">
        <f t="shared" si="4"/>
        <v>12.147682720976869</v>
      </c>
      <c r="G45" s="89">
        <f t="shared" si="5"/>
        <v>4.3245751850914029</v>
      </c>
      <c r="H45" s="90">
        <f t="shared" si="6"/>
        <v>3.5962571743744185</v>
      </c>
      <c r="I45" s="90">
        <f t="shared" si="7"/>
        <v>0.3330901525054854</v>
      </c>
      <c r="J45" s="90">
        <f t="shared" si="8"/>
        <v>4.5136944985424767</v>
      </c>
      <c r="K45" s="90">
        <f t="shared" si="9"/>
        <v>6.1513487509809979</v>
      </c>
      <c r="L45" s="90">
        <f t="shared" si="10"/>
        <v>71.098056216031935</v>
      </c>
      <c r="M45" s="91">
        <f t="shared" si="11"/>
        <v>7.2421708229763935</v>
      </c>
      <c r="N45" s="91">
        <f t="shared" si="12"/>
        <v>-8.0760567858497527</v>
      </c>
      <c r="O45" s="130">
        <v>1289826.4251744749</v>
      </c>
      <c r="P45" s="131">
        <v>35582.249026194899</v>
      </c>
      <c r="Q45" s="131">
        <v>188656.413376012</v>
      </c>
      <c r="R45" s="131">
        <v>75.533418320889993</v>
      </c>
      <c r="S45" s="131">
        <v>36.461509662071101</v>
      </c>
      <c r="T45" s="130">
        <v>1.3952730801639641</v>
      </c>
      <c r="U45" s="131">
        <v>4.5136944985424767</v>
      </c>
      <c r="V45" s="131">
        <v>6.1513487509809979</v>
      </c>
      <c r="W45" s="131">
        <v>71.098056216031935</v>
      </c>
      <c r="X45" s="131">
        <v>1397.1235892825493</v>
      </c>
      <c r="Y45" s="130">
        <v>3.1089454532283808E-4</v>
      </c>
    </row>
    <row r="46" spans="1:25" x14ac:dyDescent="0.2">
      <c r="A46" s="88" t="str">
        <f t="shared" si="13"/>
        <v>WSX24</v>
      </c>
      <c r="B46" s="6" t="s">
        <v>10</v>
      </c>
      <c r="C46" s="88">
        <v>2024</v>
      </c>
      <c r="D46" s="89">
        <f t="shared" si="2"/>
        <v>14.077953566823503</v>
      </c>
      <c r="E46" s="89">
        <f t="shared" si="3"/>
        <v>10.483346119589203</v>
      </c>
      <c r="F46" s="89">
        <f t="shared" si="4"/>
        <v>12.151659134737352</v>
      </c>
      <c r="G46" s="89">
        <f t="shared" si="5"/>
        <v>4.3355368965871657</v>
      </c>
      <c r="H46" s="90">
        <f t="shared" si="6"/>
        <v>3.6016048149886299</v>
      </c>
      <c r="I46" s="90">
        <f t="shared" si="7"/>
        <v>0.3330901525054854</v>
      </c>
      <c r="J46" s="90">
        <f t="shared" si="8"/>
        <v>4.5136944985424767</v>
      </c>
      <c r="K46" s="90">
        <f t="shared" si="9"/>
        <v>6.1513487509809979</v>
      </c>
      <c r="L46" s="90">
        <f t="shared" si="10"/>
        <v>71.098056216031935</v>
      </c>
      <c r="M46" s="91">
        <f t="shared" si="11"/>
        <v>7.2493450974846372</v>
      </c>
      <c r="N46" s="91">
        <f t="shared" si="12"/>
        <v>-8.0839921395169352</v>
      </c>
      <c r="O46" s="130">
        <v>1300102.3717398071</v>
      </c>
      <c r="P46" s="131">
        <v>35715.71687867921</v>
      </c>
      <c r="Q46" s="131">
        <v>189408.08281807901</v>
      </c>
      <c r="R46" s="131">
        <v>76.365948502318105</v>
      </c>
      <c r="S46" s="131">
        <v>36.657014992207813</v>
      </c>
      <c r="T46" s="130">
        <v>1.3952730801639641</v>
      </c>
      <c r="U46" s="131">
        <v>4.5136944985424767</v>
      </c>
      <c r="V46" s="131">
        <v>6.1513487509809979</v>
      </c>
      <c r="W46" s="131">
        <v>71.098056216031935</v>
      </c>
      <c r="X46" s="131">
        <v>1407.1829786979897</v>
      </c>
      <c r="Y46" s="130">
        <v>3.0843724980162806E-4</v>
      </c>
    </row>
    <row r="47" spans="1:25" x14ac:dyDescent="0.2">
      <c r="A47" s="88" t="str">
        <f t="shared" si="13"/>
        <v>WSX25</v>
      </c>
      <c r="B47" s="6" t="s">
        <v>10</v>
      </c>
      <c r="C47" s="88">
        <v>2025</v>
      </c>
      <c r="D47" s="89">
        <f t="shared" si="2"/>
        <v>14.085896612126525</v>
      </c>
      <c r="E47" s="89">
        <f t="shared" si="3"/>
        <v>10.48710619868271</v>
      </c>
      <c r="F47" s="89">
        <f t="shared" si="4"/>
        <v>12.15562613114168</v>
      </c>
      <c r="G47" s="89">
        <f t="shared" si="5"/>
        <v>4.35457081611617</v>
      </c>
      <c r="H47" s="90">
        <f t="shared" si="6"/>
        <v>3.6069668262179624</v>
      </c>
      <c r="I47" s="90">
        <f t="shared" si="7"/>
        <v>0.3330901525054854</v>
      </c>
      <c r="J47" s="90">
        <f t="shared" si="8"/>
        <v>4.5136944985424767</v>
      </c>
      <c r="K47" s="90">
        <f t="shared" si="9"/>
        <v>6.1513487509809979</v>
      </c>
      <c r="L47" s="90">
        <f t="shared" si="10"/>
        <v>71.098056216031935</v>
      </c>
      <c r="M47" s="91">
        <f t="shared" si="11"/>
        <v>7.2569536514487778</v>
      </c>
      <c r="N47" s="91">
        <f t="shared" si="12"/>
        <v>-8.0919351848199561</v>
      </c>
      <c r="O47" s="130">
        <v>1310470.265591538</v>
      </c>
      <c r="P47" s="131">
        <v>35850.263593648779</v>
      </c>
      <c r="Q47" s="131">
        <v>190160.956337507</v>
      </c>
      <c r="R47" s="131">
        <v>77.833413320770802</v>
      </c>
      <c r="S47" s="131">
        <v>36.854098227292177</v>
      </c>
      <c r="T47" s="130">
        <v>1.3952730801639641</v>
      </c>
      <c r="U47" s="131">
        <v>4.5136944985424767</v>
      </c>
      <c r="V47" s="131">
        <v>6.1513487509809979</v>
      </c>
      <c r="W47" s="131">
        <v>71.098056216031935</v>
      </c>
      <c r="X47" s="131">
        <v>1417.9304408039566</v>
      </c>
      <c r="Y47" s="130">
        <v>3.0599702299921404E-4</v>
      </c>
    </row>
    <row r="48" spans="1:25" x14ac:dyDescent="0.2">
      <c r="A48" s="88" t="str">
        <f t="shared" si="13"/>
        <v>YKY21</v>
      </c>
      <c r="B48" s="6" t="s">
        <v>11</v>
      </c>
      <c r="C48" s="88">
        <v>2021</v>
      </c>
      <c r="D48" s="89">
        <f t="shared" si="2"/>
        <v>14.656299633831704</v>
      </c>
      <c r="E48" s="89">
        <f t="shared" si="3"/>
        <v>10.866683635235736</v>
      </c>
      <c r="F48" s="89">
        <f t="shared" si="4"/>
        <v>12.772056684471448</v>
      </c>
      <c r="G48" s="89">
        <f t="shared" si="5"/>
        <v>5.0291298767324202</v>
      </c>
      <c r="H48" s="90">
        <f t="shared" si="6"/>
        <v>3.7897087395311808</v>
      </c>
      <c r="I48" s="90">
        <f t="shared" si="7"/>
        <v>0.27936667530645937</v>
      </c>
      <c r="J48" s="90">
        <f t="shared" si="8"/>
        <v>2.2335791211767639</v>
      </c>
      <c r="K48" s="90">
        <f t="shared" si="9"/>
        <v>40.959838960222946</v>
      </c>
      <c r="L48" s="90">
        <f t="shared" si="10"/>
        <v>80.869257948657761</v>
      </c>
      <c r="M48" s="91">
        <f t="shared" si="11"/>
        <v>7.005675799134889</v>
      </c>
      <c r="N48" s="91">
        <f t="shared" si="12"/>
        <v>-8.244481366121807</v>
      </c>
      <c r="O48" s="130">
        <v>2318195.4873845028</v>
      </c>
      <c r="P48" s="131">
        <v>52401.140494565348</v>
      </c>
      <c r="Q48" s="131">
        <v>352236</v>
      </c>
      <c r="R48" s="131">
        <v>152.80000000000001</v>
      </c>
      <c r="S48" s="131">
        <v>44.243512013102588</v>
      </c>
      <c r="T48" s="130">
        <v>1.322292106852309</v>
      </c>
      <c r="U48" s="131">
        <v>2.2335791211767639</v>
      </c>
      <c r="V48" s="131">
        <v>40.959838960222946</v>
      </c>
      <c r="W48" s="131">
        <v>80.869257948657761</v>
      </c>
      <c r="X48" s="131">
        <v>1102.8751252784677</v>
      </c>
      <c r="Y48" s="130">
        <v>2.6270433331189962E-4</v>
      </c>
    </row>
    <row r="49" spans="1:25" x14ac:dyDescent="0.2">
      <c r="A49" s="88" t="str">
        <f t="shared" si="13"/>
        <v>YKY22</v>
      </c>
      <c r="B49" s="6" t="s">
        <v>11</v>
      </c>
      <c r="C49" s="88">
        <v>2022</v>
      </c>
      <c r="D49" s="89">
        <f t="shared" si="2"/>
        <v>14.660566188929112</v>
      </c>
      <c r="E49" s="89">
        <f t="shared" si="3"/>
        <v>10.867528794084441</v>
      </c>
      <c r="F49" s="89">
        <f t="shared" si="4"/>
        <v>12.778912043440624</v>
      </c>
      <c r="G49" s="89">
        <f t="shared" si="5"/>
        <v>5.0350026505445502</v>
      </c>
      <c r="H49" s="90">
        <f t="shared" si="6"/>
        <v>3.7931432913927465</v>
      </c>
      <c r="I49" s="90">
        <f t="shared" si="7"/>
        <v>0.27936667530645937</v>
      </c>
      <c r="J49" s="90">
        <f t="shared" si="8"/>
        <v>2.2335791211767639</v>
      </c>
      <c r="K49" s="90">
        <f t="shared" si="9"/>
        <v>40.959838960222946</v>
      </c>
      <c r="L49" s="90">
        <f t="shared" si="10"/>
        <v>80.869257948657761</v>
      </c>
      <c r="M49" s="91">
        <f t="shared" si="11"/>
        <v>7.0089517708646456</v>
      </c>
      <c r="N49" s="91">
        <f t="shared" si="12"/>
        <v>-8.2487479212192163</v>
      </c>
      <c r="O49" s="130">
        <v>2328107.3258245662</v>
      </c>
      <c r="P49" s="131">
        <v>52445.446502306469</v>
      </c>
      <c r="Q49" s="131">
        <v>354659</v>
      </c>
      <c r="R49" s="131">
        <v>153.69999999999999</v>
      </c>
      <c r="S49" s="131">
        <v>44.395729900131016</v>
      </c>
      <c r="T49" s="130">
        <v>1.322292106852309</v>
      </c>
      <c r="U49" s="131">
        <v>2.2335791211767639</v>
      </c>
      <c r="V49" s="131">
        <v>40.959838960222946</v>
      </c>
      <c r="W49" s="131">
        <v>80.869257948657761</v>
      </c>
      <c r="X49" s="131">
        <v>1106.4940375008885</v>
      </c>
      <c r="Y49" s="130">
        <v>2.6158587847074666E-4</v>
      </c>
    </row>
    <row r="50" spans="1:25" x14ac:dyDescent="0.2">
      <c r="A50" s="88" t="str">
        <f t="shared" si="13"/>
        <v>YKY23</v>
      </c>
      <c r="B50" s="6" t="s">
        <v>11</v>
      </c>
      <c r="C50" s="88">
        <v>2023</v>
      </c>
      <c r="D50" s="89">
        <f t="shared" si="2"/>
        <v>14.665629290263837</v>
      </c>
      <c r="E50" s="89">
        <f t="shared" si="3"/>
        <v>10.868354187723641</v>
      </c>
      <c r="F50" s="89">
        <f t="shared" si="4"/>
        <v>12.785894340777995</v>
      </c>
      <c r="G50" s="89">
        <f t="shared" si="5"/>
        <v>5.0408411361533219</v>
      </c>
      <c r="H50" s="90">
        <f t="shared" si="6"/>
        <v>3.7973750811455944</v>
      </c>
      <c r="I50" s="90">
        <f t="shared" si="7"/>
        <v>0.27936667530645937</v>
      </c>
      <c r="J50" s="90">
        <f t="shared" si="8"/>
        <v>2.2335791211767639</v>
      </c>
      <c r="K50" s="90">
        <f t="shared" si="9"/>
        <v>40.959838960222946</v>
      </c>
      <c r="L50" s="90">
        <f t="shared" si="10"/>
        <v>80.869257948657761</v>
      </c>
      <c r="M50" s="91">
        <f t="shared" si="11"/>
        <v>7.0120683980391956</v>
      </c>
      <c r="N50" s="91">
        <f t="shared" si="12"/>
        <v>-8.2538110225539398</v>
      </c>
      <c r="O50" s="130">
        <v>2339924.6600689571</v>
      </c>
      <c r="P50" s="131">
        <v>52488.75251004759</v>
      </c>
      <c r="Q50" s="131">
        <v>357144</v>
      </c>
      <c r="R50" s="131">
        <v>154.6</v>
      </c>
      <c r="S50" s="131">
        <v>44.584001376680789</v>
      </c>
      <c r="T50" s="130">
        <v>1.322292106852309</v>
      </c>
      <c r="U50" s="131">
        <v>2.2335791211767639</v>
      </c>
      <c r="V50" s="131">
        <v>40.959838960222946</v>
      </c>
      <c r="W50" s="131">
        <v>80.869257948657761</v>
      </c>
      <c r="X50" s="131">
        <v>1109.9479463639955</v>
      </c>
      <c r="Y50" s="130">
        <v>2.6026478988518071E-4</v>
      </c>
    </row>
    <row r="51" spans="1:25" x14ac:dyDescent="0.2">
      <c r="A51" s="88" t="str">
        <f t="shared" si="13"/>
        <v>YKY24</v>
      </c>
      <c r="B51" s="6" t="s">
        <v>11</v>
      </c>
      <c r="C51" s="88">
        <v>2024</v>
      </c>
      <c r="D51" s="89">
        <f t="shared" si="2"/>
        <v>14.67047757090385</v>
      </c>
      <c r="E51" s="89">
        <f t="shared" si="3"/>
        <v>10.869207454234749</v>
      </c>
      <c r="F51" s="89">
        <f t="shared" si="4"/>
        <v>12.792700305712394</v>
      </c>
      <c r="G51" s="89">
        <f t="shared" si="5"/>
        <v>5.0466457316192885</v>
      </c>
      <c r="H51" s="90">
        <f t="shared" si="6"/>
        <v>3.8013927407086943</v>
      </c>
      <c r="I51" s="90">
        <f t="shared" si="7"/>
        <v>0.27936667530645937</v>
      </c>
      <c r="J51" s="90">
        <f t="shared" si="8"/>
        <v>2.2335791211767639</v>
      </c>
      <c r="K51" s="90">
        <f t="shared" si="9"/>
        <v>40.959838960222946</v>
      </c>
      <c r="L51" s="90">
        <f t="shared" si="10"/>
        <v>80.869257948657761</v>
      </c>
      <c r="M51" s="91">
        <f t="shared" si="11"/>
        <v>7.0152537207245187</v>
      </c>
      <c r="N51" s="91">
        <f t="shared" si="12"/>
        <v>-8.2586593031939532</v>
      </c>
      <c r="O51" s="130">
        <v>2351296.8169254381</v>
      </c>
      <c r="P51" s="131">
        <v>52533.558517788719</v>
      </c>
      <c r="Q51" s="131">
        <v>359583</v>
      </c>
      <c r="R51" s="131">
        <v>155.5</v>
      </c>
      <c r="S51" s="131">
        <v>44.763485026845622</v>
      </c>
      <c r="T51" s="130">
        <v>1.322292106852309</v>
      </c>
      <c r="U51" s="131">
        <v>2.2335791211767639</v>
      </c>
      <c r="V51" s="131">
        <v>40.959838960222946</v>
      </c>
      <c r="W51" s="131">
        <v>80.869257948657761</v>
      </c>
      <c r="X51" s="131">
        <v>1113.4891256422713</v>
      </c>
      <c r="Y51" s="130">
        <v>2.5900600707499363E-4</v>
      </c>
    </row>
    <row r="52" spans="1:25" x14ac:dyDescent="0.2">
      <c r="A52" s="88" t="str">
        <f t="shared" si="13"/>
        <v>YKY25</v>
      </c>
      <c r="B52" s="6" t="s">
        <v>11</v>
      </c>
      <c r="C52" s="88">
        <v>2025</v>
      </c>
      <c r="D52" s="89">
        <f t="shared" si="2"/>
        <v>14.675306843987249</v>
      </c>
      <c r="E52" s="89">
        <f t="shared" si="3"/>
        <v>10.87004097389206</v>
      </c>
      <c r="F52" s="89">
        <f t="shared" si="4"/>
        <v>12.799650840432415</v>
      </c>
      <c r="G52" s="89">
        <f t="shared" si="5"/>
        <v>5.0524168281112107</v>
      </c>
      <c r="H52" s="90">
        <f t="shared" si="6"/>
        <v>3.8053920820739955</v>
      </c>
      <c r="I52" s="90">
        <f t="shared" si="7"/>
        <v>0.27936667530645937</v>
      </c>
      <c r="J52" s="90">
        <f t="shared" si="8"/>
        <v>2.2335791211767639</v>
      </c>
      <c r="K52" s="90">
        <f t="shared" si="9"/>
        <v>40.959838960222946</v>
      </c>
      <c r="L52" s="90">
        <f t="shared" si="10"/>
        <v>80.869257948657761</v>
      </c>
      <c r="M52" s="91">
        <f t="shared" si="11"/>
        <v>7.0184707576690499</v>
      </c>
      <c r="N52" s="91">
        <f t="shared" si="12"/>
        <v>-8.2684268579179356</v>
      </c>
      <c r="O52" s="130">
        <v>2362679.3338740598</v>
      </c>
      <c r="P52" s="131">
        <v>52577.36452552984</v>
      </c>
      <c r="Q52" s="131">
        <v>362091</v>
      </c>
      <c r="R52" s="131">
        <v>156.4</v>
      </c>
      <c r="S52" s="131">
        <v>44.942867951846196</v>
      </c>
      <c r="T52" s="130">
        <v>1.322292106852309</v>
      </c>
      <c r="U52" s="131">
        <v>2.2335791211767639</v>
      </c>
      <c r="V52" s="131">
        <v>40.959838960222946</v>
      </c>
      <c r="W52" s="131">
        <v>80.869257948657761</v>
      </c>
      <c r="X52" s="131">
        <v>1117.0770294119213</v>
      </c>
      <c r="Y52" s="130">
        <v>2.5648846684850303E-4</v>
      </c>
    </row>
    <row r="53" spans="1:25" x14ac:dyDescent="0.2">
      <c r="A53" s="34" t="str">
        <f t="shared" si="13"/>
        <v>SVH21</v>
      </c>
      <c r="B53" s="34" t="s">
        <v>101</v>
      </c>
      <c r="C53" s="34">
        <v>2021</v>
      </c>
      <c r="D53" s="56">
        <f t="shared" si="2"/>
        <v>15.253316397514727</v>
      </c>
      <c r="E53" s="56">
        <f t="shared" si="3"/>
        <v>11.459823367949101</v>
      </c>
      <c r="F53" s="56">
        <f t="shared" si="4"/>
        <v>13.338408192202815</v>
      </c>
      <c r="G53" s="56">
        <f t="shared" si="5"/>
        <v>5.4728692475316398</v>
      </c>
      <c r="H53" s="57">
        <f t="shared" si="6"/>
        <v>3.7944431190989971</v>
      </c>
      <c r="I53" s="57">
        <f t="shared" si="7"/>
        <v>0.19486424258761825</v>
      </c>
      <c r="J53" s="57">
        <f t="shared" si="8"/>
        <v>2.4947934150699784</v>
      </c>
      <c r="K53" s="57">
        <f t="shared" si="9"/>
        <v>46.342652136321803</v>
      </c>
      <c r="L53" s="57">
        <f t="shared" si="10"/>
        <v>82.493446792535153</v>
      </c>
      <c r="M53" s="58">
        <f t="shared" si="11"/>
        <v>7.6316595214662426</v>
      </c>
      <c r="N53" s="58">
        <f t="shared" si="12"/>
        <v>-8.3405735770215497</v>
      </c>
      <c r="O53" s="132">
        <v>4211445.0856710766</v>
      </c>
      <c r="P53" s="133">
        <v>94828.319065082062</v>
      </c>
      <c r="Q53" s="133">
        <v>620579</v>
      </c>
      <c r="R53" s="133">
        <v>238.14250322381685</v>
      </c>
      <c r="S53" s="133">
        <v>44.453474220598075</v>
      </c>
      <c r="T53" s="132">
        <v>1.2151460102135954</v>
      </c>
      <c r="U53" s="133">
        <v>2.4947934150699784</v>
      </c>
      <c r="V53" s="133">
        <v>46.342652136321803</v>
      </c>
      <c r="W53" s="133">
        <v>82.493446792535153</v>
      </c>
      <c r="X53" s="133">
        <v>2062.4698944381225</v>
      </c>
      <c r="Y53" s="132">
        <v>2.3863542787709349E-4</v>
      </c>
    </row>
    <row r="54" spans="1:25" x14ac:dyDescent="0.2">
      <c r="A54" s="34" t="str">
        <f t="shared" si="13"/>
        <v>SVH22</v>
      </c>
      <c r="B54" s="34" t="s">
        <v>101</v>
      </c>
      <c r="C54" s="34">
        <v>2022</v>
      </c>
      <c r="D54" s="56">
        <f t="shared" si="2"/>
        <v>15.258959975894603</v>
      </c>
      <c r="E54" s="56">
        <f t="shared" si="3"/>
        <v>11.462705815515315</v>
      </c>
      <c r="F54" s="56">
        <f t="shared" si="4"/>
        <v>13.342651656305133</v>
      </c>
      <c r="G54" s="56">
        <f t="shared" si="5"/>
        <v>5.4760942841626612</v>
      </c>
      <c r="H54" s="57">
        <f t="shared" si="6"/>
        <v>3.7974479016504259</v>
      </c>
      <c r="I54" s="57">
        <f t="shared" si="7"/>
        <v>0.19486424258761825</v>
      </c>
      <c r="J54" s="57">
        <f t="shared" si="8"/>
        <v>2.4947934150699784</v>
      </c>
      <c r="K54" s="57">
        <f t="shared" si="9"/>
        <v>46.342652136321803</v>
      </c>
      <c r="L54" s="57">
        <f t="shared" si="10"/>
        <v>82.493446792535153</v>
      </c>
      <c r="M54" s="58">
        <f t="shared" si="11"/>
        <v>7.6378869816231907</v>
      </c>
      <c r="N54" s="58">
        <f t="shared" si="12"/>
        <v>-8.3462171554014262</v>
      </c>
      <c r="O54" s="132">
        <v>4235279.8996635843</v>
      </c>
      <c r="P54" s="133">
        <v>95102.05104208969</v>
      </c>
      <c r="Q54" s="133">
        <v>623218</v>
      </c>
      <c r="R54" s="133">
        <v>238.91176129610227</v>
      </c>
      <c r="S54" s="133">
        <v>44.587248124381908</v>
      </c>
      <c r="T54" s="132">
        <v>1.2151460102135954</v>
      </c>
      <c r="U54" s="133">
        <v>2.4947934150699784</v>
      </c>
      <c r="V54" s="133">
        <v>46.342652136321803</v>
      </c>
      <c r="W54" s="133">
        <v>82.493446792535153</v>
      </c>
      <c r="X54" s="133">
        <v>2075.3539192680873</v>
      </c>
      <c r="Y54" s="132">
        <v>2.3729246326313142E-4</v>
      </c>
    </row>
    <row r="55" spans="1:25" x14ac:dyDescent="0.2">
      <c r="A55" s="34" t="str">
        <f t="shared" si="13"/>
        <v>SVH23</v>
      </c>
      <c r="B55" s="34" t="s">
        <v>101</v>
      </c>
      <c r="C55" s="34">
        <v>2023</v>
      </c>
      <c r="D55" s="56">
        <f t="shared" si="2"/>
        <v>15.265841243596492</v>
      </c>
      <c r="E55" s="56">
        <f t="shared" si="3"/>
        <v>11.465579978451849</v>
      </c>
      <c r="F55" s="56">
        <f t="shared" si="4"/>
        <v>13.34699062749295</v>
      </c>
      <c r="G55" s="56">
        <f t="shared" si="5"/>
        <v>5.4804380909405186</v>
      </c>
      <c r="H55" s="57">
        <f t="shared" si="6"/>
        <v>3.8016973184450822</v>
      </c>
      <c r="I55" s="57">
        <f t="shared" si="7"/>
        <v>0.19486424258761825</v>
      </c>
      <c r="J55" s="57">
        <f t="shared" si="8"/>
        <v>2.4947934150699784</v>
      </c>
      <c r="K55" s="57">
        <f t="shared" si="9"/>
        <v>46.342652136321803</v>
      </c>
      <c r="L55" s="57">
        <f t="shared" si="10"/>
        <v>82.493446792535153</v>
      </c>
      <c r="M55" s="58">
        <f t="shared" si="11"/>
        <v>7.6439811203216763</v>
      </c>
      <c r="N55" s="58">
        <f t="shared" si="12"/>
        <v>-8.3550904556345564</v>
      </c>
      <c r="O55" s="132">
        <v>4264524.4990053354</v>
      </c>
      <c r="P55" s="133">
        <v>95375.783019097333</v>
      </c>
      <c r="Q55" s="133">
        <v>625928</v>
      </c>
      <c r="R55" s="133">
        <v>239.95180506336101</v>
      </c>
      <c r="S55" s="133">
        <v>44.77712106429923</v>
      </c>
      <c r="T55" s="132">
        <v>1.2151460102135954</v>
      </c>
      <c r="U55" s="133">
        <v>2.4947934150699784</v>
      </c>
      <c r="V55" s="133">
        <v>46.342652136321803</v>
      </c>
      <c r="W55" s="133">
        <v>82.493446792535153</v>
      </c>
      <c r="X55" s="133">
        <v>2088.0400300980918</v>
      </c>
      <c r="Y55" s="132">
        <v>2.3519621008952847E-4</v>
      </c>
    </row>
    <row r="56" spans="1:25" x14ac:dyDescent="0.2">
      <c r="A56" s="34" t="str">
        <f t="shared" si="13"/>
        <v>SVH24</v>
      </c>
      <c r="B56" s="34" t="s">
        <v>101</v>
      </c>
      <c r="C56" s="34">
        <v>2024</v>
      </c>
      <c r="D56" s="56">
        <f t="shared" si="2"/>
        <v>15.27247464890632</v>
      </c>
      <c r="E56" s="56">
        <f t="shared" si="3"/>
        <v>11.468445904245035</v>
      </c>
      <c r="F56" s="56">
        <f t="shared" si="4"/>
        <v>13.351310853316113</v>
      </c>
      <c r="G56" s="56">
        <f t="shared" si="5"/>
        <v>5.4831767379161311</v>
      </c>
      <c r="H56" s="57">
        <f t="shared" si="6"/>
        <v>3.805705781308812</v>
      </c>
      <c r="I56" s="57">
        <f t="shared" si="7"/>
        <v>0.19486424258761825</v>
      </c>
      <c r="J56" s="57">
        <f t="shared" si="8"/>
        <v>2.4947934150699784</v>
      </c>
      <c r="K56" s="57">
        <f t="shared" si="9"/>
        <v>46.342652136321803</v>
      </c>
      <c r="L56" s="57">
        <f t="shared" si="10"/>
        <v>82.493446792535153</v>
      </c>
      <c r="M56" s="58">
        <f t="shared" si="11"/>
        <v>7.6499521119142821</v>
      </c>
      <c r="N56" s="58">
        <f t="shared" si="12"/>
        <v>-8.3617238609443838</v>
      </c>
      <c r="O56" s="132">
        <v>4292906.8502070792</v>
      </c>
      <c r="P56" s="133">
        <v>95649.514996104903</v>
      </c>
      <c r="Q56" s="133">
        <v>628638</v>
      </c>
      <c r="R56" s="133">
        <v>240.6098490123382</v>
      </c>
      <c r="S56" s="133">
        <v>44.956968706715529</v>
      </c>
      <c r="T56" s="132">
        <v>1.2151460102135954</v>
      </c>
      <c r="U56" s="133">
        <v>2.4947934150699784</v>
      </c>
      <c r="V56" s="133">
        <v>46.342652136321803</v>
      </c>
      <c r="W56" s="133">
        <v>82.493446792535153</v>
      </c>
      <c r="X56" s="133">
        <v>2100.5449959327616</v>
      </c>
      <c r="Y56" s="132">
        <v>2.3364122143754826E-4</v>
      </c>
    </row>
    <row r="57" spans="1:25" x14ac:dyDescent="0.2">
      <c r="A57" s="34" t="str">
        <f t="shared" si="13"/>
        <v>SVH25</v>
      </c>
      <c r="B57" s="34" t="s">
        <v>101</v>
      </c>
      <c r="C57" s="34">
        <v>2025</v>
      </c>
      <c r="D57" s="56">
        <f t="shared" si="2"/>
        <v>15.279140916554859</v>
      </c>
      <c r="E57" s="56">
        <f t="shared" si="3"/>
        <v>11.471303639974096</v>
      </c>
      <c r="F57" s="56">
        <f t="shared" si="4"/>
        <v>13.35560615937667</v>
      </c>
      <c r="G57" s="56">
        <f t="shared" si="5"/>
        <v>5.4875749771004214</v>
      </c>
      <c r="H57" s="57">
        <f t="shared" si="6"/>
        <v>3.8097539787986738</v>
      </c>
      <c r="I57" s="57">
        <f t="shared" si="7"/>
        <v>0.19486424258761825</v>
      </c>
      <c r="J57" s="57">
        <f t="shared" si="8"/>
        <v>2.4947934150699784</v>
      </c>
      <c r="K57" s="57">
        <f t="shared" si="9"/>
        <v>46.342652136321803</v>
      </c>
      <c r="L57" s="57">
        <f t="shared" si="10"/>
        <v>82.493446792535153</v>
      </c>
      <c r="M57" s="58">
        <f t="shared" si="11"/>
        <v>7.6560396310290058</v>
      </c>
      <c r="N57" s="58">
        <f t="shared" si="12"/>
        <v>-8.3753936589702604</v>
      </c>
      <c r="O57" s="132">
        <v>4321620.1150825452</v>
      </c>
      <c r="P57" s="133">
        <v>95923.246973112546</v>
      </c>
      <c r="Q57" s="133">
        <v>631344</v>
      </c>
      <c r="R57" s="133">
        <v>241.67043933362919</v>
      </c>
      <c r="S57" s="133">
        <v>45.139332267393847</v>
      </c>
      <c r="T57" s="132">
        <v>1.2151460102135954</v>
      </c>
      <c r="U57" s="133">
        <v>2.4947934150699784</v>
      </c>
      <c r="V57" s="133">
        <v>46.342652136321803</v>
      </c>
      <c r="W57" s="133">
        <v>82.493446792535153</v>
      </c>
      <c r="X57" s="133">
        <v>2113.3711037260032</v>
      </c>
      <c r="Y57" s="132">
        <v>2.3046912349466791E-4</v>
      </c>
    </row>
  </sheetData>
  <mergeCells count="1">
    <mergeCell ref="A4:B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K23"/>
  <sheetViews>
    <sheetView showGridLines="0" zoomScale="80" zoomScaleNormal="80" workbookViewId="0"/>
  </sheetViews>
  <sheetFormatPr defaultColWidth="9" defaultRowHeight="12.75" x14ac:dyDescent="0.2"/>
  <cols>
    <col min="1" max="1" width="2.125" style="11" customWidth="1"/>
    <col min="2" max="2" width="21.375" style="11" bestFit="1" customWidth="1"/>
    <col min="3" max="3" width="22.125" style="11" bestFit="1" customWidth="1"/>
    <col min="4" max="6" width="9.875" style="17" bestFit="1" customWidth="1"/>
    <col min="7" max="7" width="10.125" style="17" bestFit="1" customWidth="1"/>
    <col min="8" max="16384" width="9" style="11"/>
  </cols>
  <sheetData>
    <row r="1" spans="2:11" ht="15.75" x14ac:dyDescent="0.25">
      <c r="B1" s="106" t="s">
        <v>162</v>
      </c>
    </row>
    <row r="2" spans="2:11" ht="15.75" customHeight="1" x14ac:dyDescent="0.2"/>
    <row r="3" spans="2:11" ht="32.1" customHeight="1" x14ac:dyDescent="0.2">
      <c r="B3" s="61" t="s">
        <v>400</v>
      </c>
      <c r="C3" s="61" t="s">
        <v>400</v>
      </c>
      <c r="D3" s="153" t="s">
        <v>285</v>
      </c>
      <c r="E3" s="154"/>
      <c r="F3" s="153" t="s">
        <v>286</v>
      </c>
      <c r="G3" s="153"/>
      <c r="H3" s="153" t="s">
        <v>35</v>
      </c>
      <c r="I3" s="153"/>
      <c r="J3" s="153" t="s">
        <v>287</v>
      </c>
      <c r="K3" s="153"/>
    </row>
    <row r="4" spans="2:11" x14ac:dyDescent="0.2">
      <c r="B4" s="61" t="s">
        <v>400</v>
      </c>
      <c r="C4" s="61" t="s">
        <v>400</v>
      </c>
      <c r="D4" s="107" t="s">
        <v>401</v>
      </c>
      <c r="E4" s="107" t="s">
        <v>402</v>
      </c>
      <c r="F4" s="107" t="s">
        <v>403</v>
      </c>
      <c r="G4" s="107" t="s">
        <v>404</v>
      </c>
      <c r="H4" s="107" t="s">
        <v>405</v>
      </c>
      <c r="I4" s="107" t="s">
        <v>406</v>
      </c>
      <c r="J4" s="107" t="s">
        <v>407</v>
      </c>
      <c r="K4" s="107" t="s">
        <v>408</v>
      </c>
    </row>
    <row r="5" spans="2:11" x14ac:dyDescent="0.2">
      <c r="B5" s="61" t="s">
        <v>409</v>
      </c>
      <c r="C5" s="61" t="s">
        <v>410</v>
      </c>
      <c r="D5" s="107" t="s">
        <v>27</v>
      </c>
      <c r="E5" s="107" t="s">
        <v>28</v>
      </c>
      <c r="F5" s="107" t="s">
        <v>32</v>
      </c>
      <c r="G5" s="107" t="s">
        <v>33</v>
      </c>
      <c r="H5" s="107" t="s">
        <v>36</v>
      </c>
      <c r="I5" s="107" t="s">
        <v>37</v>
      </c>
      <c r="J5" s="107" t="s">
        <v>39</v>
      </c>
      <c r="K5" s="107" t="s">
        <v>40</v>
      </c>
    </row>
    <row r="6" spans="2:11" x14ac:dyDescent="0.2">
      <c r="B6" s="63" t="s">
        <v>411</v>
      </c>
      <c r="C6" s="63" t="s">
        <v>29</v>
      </c>
      <c r="D6" s="64">
        <v>0.81902790000000003</v>
      </c>
      <c r="E6" s="64">
        <v>0.89731229999999995</v>
      </c>
      <c r="F6" s="64" t="s">
        <v>400</v>
      </c>
      <c r="G6" s="64" t="s">
        <v>400</v>
      </c>
      <c r="H6" s="64" t="s">
        <v>400</v>
      </c>
      <c r="I6" s="64" t="s">
        <v>400</v>
      </c>
      <c r="J6" s="64" t="s">
        <v>400</v>
      </c>
      <c r="K6" s="64" t="s">
        <v>400</v>
      </c>
    </row>
    <row r="7" spans="2:11" x14ac:dyDescent="0.2">
      <c r="B7" s="63" t="s">
        <v>412</v>
      </c>
      <c r="C7" s="63" t="s">
        <v>31</v>
      </c>
      <c r="D7" s="64">
        <v>0.28057700000000002</v>
      </c>
      <c r="E7" s="64">
        <v>0.61901989999999996</v>
      </c>
      <c r="F7" s="64" t="s">
        <v>400</v>
      </c>
      <c r="G7" s="64" t="s">
        <v>400</v>
      </c>
      <c r="H7" s="64" t="s">
        <v>400</v>
      </c>
      <c r="I7" s="64" t="s">
        <v>400</v>
      </c>
      <c r="J7" s="64" t="s">
        <v>400</v>
      </c>
      <c r="K7" s="64" t="s">
        <v>400</v>
      </c>
    </row>
    <row r="8" spans="2:11" x14ac:dyDescent="0.2">
      <c r="B8" s="63" t="s">
        <v>413</v>
      </c>
      <c r="C8" s="63" t="s">
        <v>30</v>
      </c>
      <c r="D8" s="64">
        <v>1.1862109999999999</v>
      </c>
      <c r="E8" s="64" t="s">
        <v>400</v>
      </c>
      <c r="F8" s="64" t="s">
        <v>400</v>
      </c>
      <c r="G8" s="64" t="s">
        <v>400</v>
      </c>
      <c r="H8" s="64" t="s">
        <v>400</v>
      </c>
      <c r="I8" s="64" t="s">
        <v>400</v>
      </c>
      <c r="J8" s="64" t="s">
        <v>400</v>
      </c>
      <c r="K8" s="64" t="s">
        <v>400</v>
      </c>
    </row>
    <row r="9" spans="2:11" x14ac:dyDescent="0.2">
      <c r="B9" s="63" t="s">
        <v>414</v>
      </c>
      <c r="C9" s="63" t="s">
        <v>84</v>
      </c>
      <c r="D9" s="64" t="s">
        <v>400</v>
      </c>
      <c r="E9" s="64">
        <v>0.1929486</v>
      </c>
      <c r="F9" s="64" t="s">
        <v>400</v>
      </c>
      <c r="G9" s="64" t="s">
        <v>400</v>
      </c>
      <c r="H9" s="64">
        <v>-0.23516670000000001</v>
      </c>
      <c r="I9" s="64" t="s">
        <v>400</v>
      </c>
      <c r="J9" s="64" t="s">
        <v>400</v>
      </c>
      <c r="K9" s="64" t="s">
        <v>400</v>
      </c>
    </row>
    <row r="10" spans="2:11" x14ac:dyDescent="0.2">
      <c r="B10" s="63" t="s">
        <v>415</v>
      </c>
      <c r="C10" s="63" t="s">
        <v>34</v>
      </c>
      <c r="D10" s="64" t="s">
        <v>400</v>
      </c>
      <c r="E10" s="64" t="s">
        <v>400</v>
      </c>
      <c r="F10" s="64">
        <v>0.85617829999999995</v>
      </c>
      <c r="G10" s="64">
        <v>0.8467614</v>
      </c>
      <c r="H10" s="64" t="s">
        <v>400</v>
      </c>
      <c r="I10" s="64" t="s">
        <v>400</v>
      </c>
      <c r="J10" s="64">
        <v>0.84023250000000005</v>
      </c>
      <c r="K10" s="64">
        <v>0.80902410000000002</v>
      </c>
    </row>
    <row r="11" spans="2:11" x14ac:dyDescent="0.2">
      <c r="B11" s="63" t="s">
        <v>60</v>
      </c>
      <c r="C11" s="63" t="s">
        <v>416</v>
      </c>
      <c r="D11" s="64" t="s">
        <v>400</v>
      </c>
      <c r="E11" s="64" t="s">
        <v>400</v>
      </c>
      <c r="F11" s="64">
        <v>5.77089E-2</v>
      </c>
      <c r="G11" s="64" t="s">
        <v>400</v>
      </c>
      <c r="H11" s="64">
        <v>5.3310700000000003E-2</v>
      </c>
      <c r="I11" s="64" t="s">
        <v>400</v>
      </c>
      <c r="J11" s="64">
        <v>5.0872100000000003E-2</v>
      </c>
      <c r="K11" s="64" t="s">
        <v>400</v>
      </c>
    </row>
    <row r="12" spans="2:11" x14ac:dyDescent="0.2">
      <c r="B12" s="63" t="s">
        <v>59</v>
      </c>
      <c r="C12" s="63" t="s">
        <v>417</v>
      </c>
      <c r="D12" s="64" t="s">
        <v>400</v>
      </c>
      <c r="E12" s="64" t="s">
        <v>400</v>
      </c>
      <c r="F12" s="64">
        <v>3.5847000000000001E-3</v>
      </c>
      <c r="G12" s="64">
        <v>3.7832E-3</v>
      </c>
      <c r="H12" s="64" t="s">
        <v>400</v>
      </c>
      <c r="I12" s="64" t="s">
        <v>400</v>
      </c>
      <c r="J12" s="64">
        <v>4.8393000000000004E-3</v>
      </c>
      <c r="K12" s="64">
        <v>5.0676000000000002E-3</v>
      </c>
    </row>
    <row r="13" spans="2:11" x14ac:dyDescent="0.2">
      <c r="B13" s="63" t="s">
        <v>85</v>
      </c>
      <c r="C13" s="63" t="s">
        <v>418</v>
      </c>
      <c r="D13" s="64" t="s">
        <v>400</v>
      </c>
      <c r="E13" s="64" t="s">
        <v>400</v>
      </c>
      <c r="F13" s="64" t="s">
        <v>400</v>
      </c>
      <c r="G13" s="64">
        <v>-1.4966500000000001E-2</v>
      </c>
      <c r="H13" s="64" t="s">
        <v>400</v>
      </c>
      <c r="I13" s="64" t="s">
        <v>400</v>
      </c>
      <c r="J13" s="64" t="s">
        <v>400</v>
      </c>
      <c r="K13" s="64">
        <v>-1.14331E-2</v>
      </c>
    </row>
    <row r="14" spans="2:11" x14ac:dyDescent="0.2">
      <c r="B14" s="63" t="s">
        <v>419</v>
      </c>
      <c r="C14" s="63" t="s">
        <v>38</v>
      </c>
      <c r="D14" s="64" t="s">
        <v>400</v>
      </c>
      <c r="E14" s="64" t="s">
        <v>400</v>
      </c>
      <c r="F14" s="64" t="s">
        <v>400</v>
      </c>
      <c r="G14" s="64" t="s">
        <v>400</v>
      </c>
      <c r="H14" s="64">
        <v>1.2168620000000001</v>
      </c>
      <c r="I14" s="64">
        <v>1.186158</v>
      </c>
      <c r="J14" s="64" t="s">
        <v>400</v>
      </c>
      <c r="K14" s="64" t="s">
        <v>400</v>
      </c>
    </row>
    <row r="15" spans="2:11" x14ac:dyDescent="0.2">
      <c r="B15" s="63" t="s">
        <v>420</v>
      </c>
      <c r="C15" s="63" t="s">
        <v>421</v>
      </c>
      <c r="D15" s="64" t="s">
        <v>400</v>
      </c>
      <c r="E15" s="64" t="s">
        <v>400</v>
      </c>
      <c r="F15" s="64" t="s">
        <v>400</v>
      </c>
      <c r="G15" s="64" t="s">
        <v>400</v>
      </c>
      <c r="H15" s="64" t="s">
        <v>400</v>
      </c>
      <c r="I15" s="64">
        <v>0.32521509999999998</v>
      </c>
      <c r="J15" s="64" t="s">
        <v>400</v>
      </c>
      <c r="K15" s="64" t="s">
        <v>400</v>
      </c>
    </row>
    <row r="16" spans="2:11" x14ac:dyDescent="0.2">
      <c r="B16" s="63" t="s">
        <v>422</v>
      </c>
      <c r="C16" s="63" t="s">
        <v>423</v>
      </c>
      <c r="D16" s="64">
        <v>-8.587745</v>
      </c>
      <c r="E16" s="64">
        <v>-6.5343260000000001</v>
      </c>
      <c r="F16" s="64">
        <v>-6.2730680000000003</v>
      </c>
      <c r="G16" s="64">
        <v>-4.7654639999999997</v>
      </c>
      <c r="H16" s="64">
        <v>-0.54216200000000003</v>
      </c>
      <c r="I16" s="64">
        <v>0.77459650000000002</v>
      </c>
      <c r="J16" s="64">
        <v>-5.7765170000000001</v>
      </c>
      <c r="K16" s="64">
        <v>-4.2957130000000001</v>
      </c>
    </row>
    <row r="17" spans="2:11" x14ac:dyDescent="0.2">
      <c r="B17" s="22" t="s">
        <v>400</v>
      </c>
      <c r="C17" s="22" t="s">
        <v>400</v>
      </c>
      <c r="D17" s="155" t="s">
        <v>400</v>
      </c>
      <c r="E17" s="155" t="s">
        <v>400</v>
      </c>
      <c r="F17" s="155" t="s">
        <v>400</v>
      </c>
      <c r="G17" s="155" t="s">
        <v>400</v>
      </c>
      <c r="H17" s="155" t="s">
        <v>400</v>
      </c>
      <c r="I17" s="155" t="s">
        <v>400</v>
      </c>
      <c r="J17" s="155" t="s">
        <v>400</v>
      </c>
      <c r="K17" s="155" t="s">
        <v>400</v>
      </c>
    </row>
    <row r="18" spans="2:11" x14ac:dyDescent="0.2">
      <c r="B18" s="22"/>
      <c r="C18" s="22" t="s">
        <v>400</v>
      </c>
      <c r="D18" s="155" t="s">
        <v>400</v>
      </c>
      <c r="E18" s="155" t="s">
        <v>400</v>
      </c>
      <c r="F18" s="155" t="s">
        <v>400</v>
      </c>
      <c r="G18" s="155" t="s">
        <v>400</v>
      </c>
      <c r="H18" s="155" t="s">
        <v>400</v>
      </c>
      <c r="I18" s="155" t="s">
        <v>400</v>
      </c>
      <c r="J18" s="155" t="s">
        <v>400</v>
      </c>
      <c r="K18" s="155" t="s">
        <v>400</v>
      </c>
    </row>
    <row r="19" spans="2:11" x14ac:dyDescent="0.2">
      <c r="B19" s="22"/>
      <c r="C19" s="22" t="s">
        <v>400</v>
      </c>
      <c r="D19" s="155" t="s">
        <v>400</v>
      </c>
      <c r="E19" s="155" t="s">
        <v>400</v>
      </c>
      <c r="F19" s="155" t="s">
        <v>400</v>
      </c>
      <c r="G19" s="155" t="s">
        <v>400</v>
      </c>
      <c r="H19" s="155" t="s">
        <v>400</v>
      </c>
      <c r="I19" s="155" t="s">
        <v>400</v>
      </c>
      <c r="J19" s="155" t="s">
        <v>400</v>
      </c>
      <c r="K19" s="155" t="s">
        <v>400</v>
      </c>
    </row>
    <row r="20" spans="2:11" x14ac:dyDescent="0.2">
      <c r="B20" s="22"/>
      <c r="C20" s="22" t="s">
        <v>400</v>
      </c>
      <c r="D20" s="156" t="s">
        <v>400</v>
      </c>
      <c r="E20" s="156" t="s">
        <v>400</v>
      </c>
      <c r="F20" s="156" t="s">
        <v>400</v>
      </c>
      <c r="G20" s="22" t="s">
        <v>400</v>
      </c>
      <c r="H20" s="22" t="s">
        <v>400</v>
      </c>
      <c r="I20" s="22" t="s">
        <v>400</v>
      </c>
      <c r="J20" s="22" t="s">
        <v>400</v>
      </c>
      <c r="K20" s="22" t="s">
        <v>400</v>
      </c>
    </row>
    <row r="21" spans="2:11" x14ac:dyDescent="0.2">
      <c r="B21" s="73" t="s">
        <v>400</v>
      </c>
      <c r="C21" s="11" t="s">
        <v>400</v>
      </c>
      <c r="D21" s="11" t="s">
        <v>400</v>
      </c>
      <c r="E21" s="11" t="s">
        <v>400</v>
      </c>
      <c r="F21" s="11" t="s">
        <v>400</v>
      </c>
      <c r="G21" s="11" t="s">
        <v>400</v>
      </c>
      <c r="H21" s="11" t="s">
        <v>400</v>
      </c>
      <c r="I21" s="11" t="s">
        <v>400</v>
      </c>
      <c r="J21" s="11" t="s">
        <v>400</v>
      </c>
      <c r="K21" s="11" t="s">
        <v>400</v>
      </c>
    </row>
    <row r="22" spans="2:11" x14ac:dyDescent="0.2">
      <c r="B22" s="11" t="s">
        <v>400</v>
      </c>
      <c r="C22" s="11" t="s">
        <v>400</v>
      </c>
      <c r="D22" s="11" t="s">
        <v>400</v>
      </c>
      <c r="E22" s="11" t="s">
        <v>400</v>
      </c>
      <c r="F22" s="11" t="s">
        <v>400</v>
      </c>
      <c r="G22" s="11" t="s">
        <v>400</v>
      </c>
      <c r="H22" s="11" t="s">
        <v>400</v>
      </c>
      <c r="I22" s="11" t="s">
        <v>400</v>
      </c>
      <c r="J22" s="11" t="s">
        <v>400</v>
      </c>
      <c r="K22" s="11" t="s">
        <v>400</v>
      </c>
    </row>
    <row r="23" spans="2:11" x14ac:dyDescent="0.2">
      <c r="B23" s="11" t="s">
        <v>400</v>
      </c>
      <c r="C23" s="11" t="s">
        <v>400</v>
      </c>
      <c r="D23" s="17" t="s">
        <v>400</v>
      </c>
      <c r="E23" s="17" t="s">
        <v>400</v>
      </c>
      <c r="F23" s="17" t="s">
        <v>400</v>
      </c>
      <c r="G23" s="17" t="s">
        <v>400</v>
      </c>
      <c r="H23" s="11" t="s">
        <v>400</v>
      </c>
      <c r="I23" s="11" t="s">
        <v>400</v>
      </c>
      <c r="J23" s="11" t="s">
        <v>400</v>
      </c>
      <c r="K23" s="11" t="s">
        <v>400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
  <sheetViews>
    <sheetView showGridLines="0" workbookViewId="0"/>
  </sheetViews>
  <sheetFormatPr defaultRowHeight="14.25" x14ac:dyDescent="0.2"/>
  <sheetData>
    <row r="1" spans="1:1" ht="15" x14ac:dyDescent="0.25">
      <c r="A1" s="222" t="s">
        <v>430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P100"/>
  <sheetViews>
    <sheetView showGridLines="0" zoomScale="80" zoomScaleNormal="80" workbookViewId="0">
      <pane xSplit="3" ySplit="5" topLeftCell="D6" activePane="bottomRight" state="frozen"/>
      <selection pane="topRight" activeCell="D1" sqref="D1"/>
      <selection pane="bottomLeft" activeCell="A7" sqref="A7"/>
      <selection pane="bottomRight"/>
    </sheetView>
  </sheetViews>
  <sheetFormatPr defaultColWidth="8.625" defaultRowHeight="15" x14ac:dyDescent="0.25"/>
  <cols>
    <col min="1" max="1" width="9.125" style="13" customWidth="1"/>
    <col min="2" max="2" width="10.5" style="13" customWidth="1"/>
    <col min="3" max="3" width="8.625" style="1"/>
    <col min="4" max="11" width="8.625" style="13"/>
    <col min="12" max="12" width="3" style="11" customWidth="1"/>
    <col min="13" max="19" width="12.125" style="13" customWidth="1"/>
    <col min="20" max="20" width="10.875" style="13" customWidth="1"/>
    <col min="21" max="21" width="12.875" style="13" customWidth="1"/>
    <col min="22" max="22" width="12.625" style="13" customWidth="1"/>
    <col min="23" max="23" width="3" style="11" customWidth="1"/>
    <col min="24" max="29" width="10.625" style="11" customWidth="1"/>
    <col min="30" max="32" width="8.625" style="11" customWidth="1"/>
    <col min="33" max="33" width="12.125" style="11" customWidth="1"/>
    <col min="34" max="34" width="13.125" style="11" customWidth="1"/>
    <col min="35" max="35" width="8.625" style="11"/>
    <col min="36" max="36" width="14.375" style="17" customWidth="1"/>
    <col min="37" max="37" width="13.375" style="17" customWidth="1"/>
    <col min="38" max="38" width="13" style="11" customWidth="1"/>
    <col min="39" max="39" width="8.625" style="11"/>
    <col min="40" max="40" width="17.625" style="11" customWidth="1"/>
    <col min="41" max="41" width="13" style="11" customWidth="1"/>
    <col min="42" max="42" width="14.5" style="11" customWidth="1"/>
    <col min="43" max="16384" width="8.625" style="13"/>
  </cols>
  <sheetData>
    <row r="1" spans="1:39" ht="15.75" x14ac:dyDescent="0.25">
      <c r="A1" s="65" t="s">
        <v>151</v>
      </c>
      <c r="L1" s="22"/>
      <c r="W1" s="22"/>
    </row>
    <row r="2" spans="1:39" ht="12.75" x14ac:dyDescent="0.2">
      <c r="A2" s="38"/>
      <c r="B2" s="38"/>
      <c r="C2" s="13"/>
      <c r="O2" s="27"/>
      <c r="T2" s="39"/>
      <c r="U2" s="39"/>
      <c r="AJ2" s="28"/>
      <c r="AK2" s="28"/>
      <c r="AM2" s="29"/>
    </row>
    <row r="3" spans="1:39" ht="12.75" x14ac:dyDescent="0.2">
      <c r="A3" s="37"/>
      <c r="B3" s="37"/>
      <c r="C3" s="13"/>
      <c r="D3" s="68" t="s">
        <v>73</v>
      </c>
      <c r="E3" s="26"/>
      <c r="F3" s="26"/>
      <c r="G3" s="26"/>
      <c r="H3" s="26"/>
      <c r="I3" s="26"/>
      <c r="J3" s="26"/>
      <c r="K3" s="26"/>
      <c r="O3" s="40"/>
    </row>
    <row r="4" spans="1:39" ht="39" customHeight="1" x14ac:dyDescent="0.2">
      <c r="A4" s="35"/>
      <c r="B4" s="36"/>
      <c r="C4" s="13"/>
      <c r="D4" s="69">
        <f>INDEX(Controls!$D$22:$D$29,MATCH(D$5,Controls!$C$22:$C$29,0))</f>
        <v>0.5</v>
      </c>
      <c r="E4" s="69">
        <f>INDEX(Controls!$D$22:$D$29,MATCH(E$5,Controls!$C$22:$C$29,0))</f>
        <v>0.5</v>
      </c>
      <c r="F4" s="69">
        <f>INDEX(Controls!$D$22:$D$29,MATCH(F$5,Controls!$C$22:$C$29,0))</f>
        <v>0.5</v>
      </c>
      <c r="G4" s="69">
        <f>INDEX(Controls!$D$22:$D$29,MATCH(G$5,Controls!$C$22:$C$29,0))</f>
        <v>0.5</v>
      </c>
      <c r="H4" s="69">
        <f>INDEX(Controls!$D$22:$D$29,MATCH(H$5,Controls!$C$22:$C$29,0))</f>
        <v>0.5</v>
      </c>
      <c r="I4" s="69">
        <f>INDEX(Controls!$D$22:$D$29,MATCH(I$5,Controls!$C$22:$C$29,0))</f>
        <v>0.5</v>
      </c>
      <c r="J4" s="69">
        <f>INDEX(Controls!$D$22:$D$29,MATCH(J$5,Controls!$C$22:$C$29,0))</f>
        <v>0.5</v>
      </c>
      <c r="K4" s="69">
        <f>INDEX(Controls!$D$22:$D$29,MATCH(K$5,Controls!$C$22:$C$29,0))</f>
        <v>0.5</v>
      </c>
      <c r="L4" s="13"/>
      <c r="T4" s="69">
        <f>INDEX(Controls!$H$22:$H$23,MATCH(T$5,Controls!$G$22:$G$23,0))</f>
        <v>0.5</v>
      </c>
      <c r="U4" s="69">
        <f>INDEX(Controls!$H$22:$H$23,MATCH(U$5,Controls!$G$22:$G$23,0))</f>
        <v>0.5</v>
      </c>
      <c r="W4" s="13"/>
      <c r="X4" s="69">
        <f>INDEX(Controls!$H$22:$H$23,MATCH(T$5,Controls!$G$22:$G$23,0))</f>
        <v>0.5</v>
      </c>
      <c r="Y4" s="69">
        <f>INDEX(Controls!$H$22:$H$23,MATCH(U$5,Controls!$G$22:$G$23,0))</f>
        <v>0.5</v>
      </c>
      <c r="AD4" s="163"/>
      <c r="AE4" s="212" t="s">
        <v>425</v>
      </c>
      <c r="AF4" s="211"/>
      <c r="AG4" s="211"/>
    </row>
    <row r="5" spans="1:39" ht="45.75" customHeight="1" x14ac:dyDescent="0.2">
      <c r="A5" s="218" t="str">
        <f>'Forecast drivers'!B7</f>
        <v>Company code</v>
      </c>
      <c r="B5" s="218" t="str">
        <f>'Forecast drivers'!C7</f>
        <v>Financial year</v>
      </c>
      <c r="C5" s="219" t="str">
        <f>'Forecast drivers'!A7</f>
        <v>Unique id</v>
      </c>
      <c r="D5" s="5" t="s">
        <v>27</v>
      </c>
      <c r="E5" s="5" t="s">
        <v>28</v>
      </c>
      <c r="F5" s="5" t="s">
        <v>32</v>
      </c>
      <c r="G5" s="5" t="s">
        <v>33</v>
      </c>
      <c r="H5" s="5" t="s">
        <v>36</v>
      </c>
      <c r="I5" s="5" t="s">
        <v>37</v>
      </c>
      <c r="J5" s="5" t="s">
        <v>39</v>
      </c>
      <c r="K5" s="5" t="s">
        <v>40</v>
      </c>
      <c r="M5" s="31" t="s">
        <v>357</v>
      </c>
      <c r="N5" s="31" t="s">
        <v>358</v>
      </c>
      <c r="O5" s="31" t="s">
        <v>122</v>
      </c>
      <c r="P5" s="31" t="s">
        <v>359</v>
      </c>
      <c r="Q5" s="31" t="s">
        <v>360</v>
      </c>
      <c r="R5" s="31" t="s">
        <v>382</v>
      </c>
      <c r="S5" s="31" t="s">
        <v>383</v>
      </c>
      <c r="T5" s="31" t="s">
        <v>125</v>
      </c>
      <c r="U5" s="31" t="s">
        <v>126</v>
      </c>
      <c r="V5" s="70" t="s">
        <v>159</v>
      </c>
      <c r="X5" s="31" t="s">
        <v>384</v>
      </c>
      <c r="Y5" s="31" t="s">
        <v>385</v>
      </c>
      <c r="Z5" s="31" t="s">
        <v>154</v>
      </c>
      <c r="AA5" s="31" t="s">
        <v>26</v>
      </c>
      <c r="AB5" s="70" t="s">
        <v>156</v>
      </c>
      <c r="AD5" s="12" t="s">
        <v>13</v>
      </c>
      <c r="AE5" s="12" t="s">
        <v>100</v>
      </c>
      <c r="AF5" s="12" t="s">
        <v>128</v>
      </c>
      <c r="AG5" s="25" t="s">
        <v>129</v>
      </c>
    </row>
    <row r="6" spans="1:39" ht="12.75" x14ac:dyDescent="0.2">
      <c r="A6" s="3" t="str">
        <f>'Forecast drivers'!B8</f>
        <v>ANH</v>
      </c>
      <c r="B6" s="3">
        <f>'Forecast drivers'!C8</f>
        <v>2021</v>
      </c>
      <c r="C6" s="32" t="str">
        <f>'Forecast drivers'!A8</f>
        <v>ANH21</v>
      </c>
      <c r="D6" s="46">
        <f>EXP('Model coeffs'!$D$16+'Model coeffs'!$D$6*'Forecast drivers'!E8+'Model coeffs'!$D$7*'Forecast drivers'!I8+'Model coeffs'!$D$8*'Forecast drivers'!H8)</f>
        <v>151.86712478102172</v>
      </c>
      <c r="E6" s="46">
        <f>EXP('Model coeffs'!$E$16+'Model coeffs'!$E$6*'Forecast drivers'!E8+'Model coeffs'!$E$7*'Forecast drivers'!I8+'Model coeffs'!$E$9*'Forecast drivers'!M8)</f>
        <v>170.00562818439391</v>
      </c>
      <c r="F6" s="46">
        <f>EXP('Model coeffs'!$F$16+'Model coeffs'!$F$10*'Forecast drivers'!F8+'Model coeffs'!$F$11*'Forecast drivers'!J8+'Model coeffs'!$F$12*'Forecast drivers'!K8)</f>
        <v>183.81942099250875</v>
      </c>
      <c r="G6" s="46">
        <f>EXP('Model coeffs'!$G$16+'Model coeffs'!$G$10*'Forecast drivers'!F8+'Model coeffs'!$G$12*'Forecast drivers'!K8+'Model coeffs'!$G$13*'Forecast drivers'!L8)</f>
        <v>202.74092833166719</v>
      </c>
      <c r="H6" s="47">
        <f>EXP('Model coeffs'!$H$16+'Model coeffs'!$H$9*'Forecast drivers'!M8+'Model coeffs'!$H$11*'Forecast drivers'!J8+'Model coeffs'!$H$14*'Forecast drivers'!G8)</f>
        <v>74.563122581110463</v>
      </c>
      <c r="I6" s="47">
        <f>EXP('Model coeffs'!$I$16+'Model coeffs'!$I$14*'Forecast drivers'!G8+'Model coeffs'!$I$15*'Forecast drivers'!N8)</f>
        <v>68.421761198522063</v>
      </c>
      <c r="J6" s="47">
        <f>EXP('Model coeffs'!$J$16+'Model coeffs'!$J$10*'Forecast drivers'!F8+'Model coeffs'!$J$11*'Forecast drivers'!J8+'Model coeffs'!$J$12*'Forecast drivers'!K8)</f>
        <v>242.62113371550743</v>
      </c>
      <c r="K6" s="47">
        <f>EXP('Model coeffs'!$K$16+'Model coeffs'!$K$10*'Forecast drivers'!F8+'Model coeffs'!$K$12*'Forecast drivers'!K8+'Model coeffs'!$K$13*'Forecast drivers'!L8)</f>
        <v>256.91843520472668</v>
      </c>
      <c r="L6" s="66"/>
      <c r="M6" s="43">
        <f t="shared" ref="M6" si="0">D$4*D6+E$4*E6</f>
        <v>160.93637648270783</v>
      </c>
      <c r="N6" s="43">
        <f t="shared" ref="N6" si="1">F$4*F6+G$4*G6</f>
        <v>193.28017466208797</v>
      </c>
      <c r="O6" s="43">
        <f>M6+N6</f>
        <v>354.2165511447958</v>
      </c>
      <c r="P6" s="43">
        <f>H$4*H6+I$4*I6</f>
        <v>71.492441889816263</v>
      </c>
      <c r="Q6" s="43">
        <f>J$4*J6+K$4*K6</f>
        <v>249.76978446011705</v>
      </c>
      <c r="R6" s="43">
        <f>Q6-N6</f>
        <v>56.489609798029079</v>
      </c>
      <c r="S6" s="43">
        <f>AVERAGE(R6,P6)</f>
        <v>63.991025843922671</v>
      </c>
      <c r="T6" s="43">
        <f>M6+N6+P6</f>
        <v>425.70899303461204</v>
      </c>
      <c r="U6" s="43">
        <f>M6+Q6</f>
        <v>410.70616094282491</v>
      </c>
      <c r="V6" s="94">
        <f t="shared" ref="V6:V37" si="2">T$4*T6+U$4*U6</f>
        <v>418.20757698871847</v>
      </c>
      <c r="X6" s="43">
        <f>(O6*Controls!$G$12)+(P6*Controls!$H$12)</f>
        <v>349.35880139934193</v>
      </c>
      <c r="Y6" s="43">
        <f>(O6*Controls!$G$12)+(R6*Controls!$H$12)</f>
        <v>349.35880139934193</v>
      </c>
      <c r="Z6" s="43">
        <f>X$4*X6+Y$4*Y6</f>
        <v>349.35880139934193</v>
      </c>
      <c r="AA6" s="160">
        <f>-(INDEX(Controls!$G$14:$G$18,MATCH($B6,Controls!$C$14:$C$18,0),0))*$Z6</f>
        <v>-3.8429468153927608</v>
      </c>
      <c r="AB6" s="94">
        <f t="shared" ref="AB6:AB37" si="3">Z6+AA6</f>
        <v>345.51585458394919</v>
      </c>
      <c r="AD6" s="177" t="s">
        <v>4</v>
      </c>
      <c r="AE6" s="74">
        <f>SUMIFS('BP costs'!$I$7:$I$66,'BP costs'!$B$7:$B$66,$AD6)</f>
        <v>2498.0227597181793</v>
      </c>
      <c r="AF6" s="74">
        <f>SUMIF($A$6:$A$65,$AD6,V$6:V$65)</f>
        <v>2120.6319157311482</v>
      </c>
      <c r="AG6" s="75">
        <f t="shared" ref="AG6:AG16" si="4">AE6/AF6</f>
        <v>1.1779615034497464</v>
      </c>
    </row>
    <row r="7" spans="1:39" ht="12.75" x14ac:dyDescent="0.2">
      <c r="A7" s="3" t="str">
        <f>'Forecast drivers'!B9</f>
        <v>ANH</v>
      </c>
      <c r="B7" s="3">
        <f>'Forecast drivers'!C9</f>
        <v>2022</v>
      </c>
      <c r="C7" s="32" t="str">
        <f>'Forecast drivers'!A9</f>
        <v>ANH22</v>
      </c>
      <c r="D7" s="46">
        <f>EXP('Model coeffs'!$D$16+'Model coeffs'!$D$6*'Forecast drivers'!E9+'Model coeffs'!$D$7*'Forecast drivers'!I9+'Model coeffs'!$D$8*'Forecast drivers'!H9)</f>
        <v>153.08061108911116</v>
      </c>
      <c r="E7" s="46">
        <f>EXP('Model coeffs'!$E$16+'Model coeffs'!$E$6*'Forecast drivers'!E9+'Model coeffs'!$E$7*'Forecast drivers'!I9+'Model coeffs'!$E$9*'Forecast drivers'!M9)</f>
        <v>170.3925551956242</v>
      </c>
      <c r="F7" s="46">
        <f>EXP('Model coeffs'!$F$16+'Model coeffs'!$F$10*'Forecast drivers'!F9+'Model coeffs'!$F$11*'Forecast drivers'!J9+'Model coeffs'!$F$12*'Forecast drivers'!K9)</f>
        <v>185.20363166923633</v>
      </c>
      <c r="G7" s="46">
        <f>EXP('Model coeffs'!$G$16+'Model coeffs'!$G$10*'Forecast drivers'!F9+'Model coeffs'!$G$12*'Forecast drivers'!K9+'Model coeffs'!$G$13*'Forecast drivers'!L9)</f>
        <v>204.2507690300348</v>
      </c>
      <c r="H7" s="47">
        <f>EXP('Model coeffs'!$H$16+'Model coeffs'!$H$9*'Forecast drivers'!M9+'Model coeffs'!$H$11*'Forecast drivers'!J9+'Model coeffs'!$H$14*'Forecast drivers'!G9)</f>
        <v>75.322715906923463</v>
      </c>
      <c r="I7" s="47">
        <f>EXP('Model coeffs'!$I$16+'Model coeffs'!$I$14*'Forecast drivers'!G9+'Model coeffs'!$I$15*'Forecast drivers'!N9)</f>
        <v>69.01787642359163</v>
      </c>
      <c r="J7" s="47">
        <f>EXP('Model coeffs'!$J$16+'Model coeffs'!$J$10*'Forecast drivers'!F9+'Model coeffs'!$J$11*'Forecast drivers'!J9+'Model coeffs'!$J$12*'Forecast drivers'!K9)</f>
        <v>244.41398518114525</v>
      </c>
      <c r="K7" s="47">
        <f>EXP('Model coeffs'!$K$16+'Model coeffs'!$K$10*'Forecast drivers'!F9+'Model coeffs'!$K$12*'Forecast drivers'!K9+'Model coeffs'!$K$13*'Forecast drivers'!L9)</f>
        <v>258.74617127327372</v>
      </c>
      <c r="L7" s="66"/>
      <c r="M7" s="43">
        <f t="shared" ref="M7:M55" si="5">D$4*D7+E$4*E7</f>
        <v>161.73658314236769</v>
      </c>
      <c r="N7" s="43">
        <f t="shared" ref="N7:N55" si="6">F$4*F7+G$4*G7</f>
        <v>194.72720034963555</v>
      </c>
      <c r="O7" s="43">
        <f t="shared" ref="O7:O55" si="7">M7+N7</f>
        <v>356.46378349200324</v>
      </c>
      <c r="P7" s="43">
        <f t="shared" ref="P7:P55" si="8">H$4*H7+I$4*I7</f>
        <v>72.170296165257554</v>
      </c>
      <c r="Q7" s="43">
        <f t="shared" ref="Q7:Q55" si="9">J$4*J7+K$4*K7</f>
        <v>251.58007822720947</v>
      </c>
      <c r="R7" s="43">
        <f t="shared" ref="R7:R65" si="10">Q7-N7</f>
        <v>56.852877877573917</v>
      </c>
      <c r="S7" s="43">
        <f t="shared" ref="S7:S65" si="11">AVERAGE(R7,P7)</f>
        <v>64.511587021415735</v>
      </c>
      <c r="T7" s="43">
        <f t="shared" ref="T7:T55" si="12">M7+N7+P7</f>
        <v>428.63407965726083</v>
      </c>
      <c r="U7" s="43">
        <f t="shared" ref="U7:U55" si="13">M7+Q7</f>
        <v>413.31666136957716</v>
      </c>
      <c r="V7" s="94">
        <f t="shared" si="2"/>
        <v>420.97537051341897</v>
      </c>
      <c r="X7" s="43">
        <f>(O7*Controls!$G$12)+(P7*Controls!$H$12)</f>
        <v>351.57521505011255</v>
      </c>
      <c r="Y7" s="43">
        <f>(O7*Controls!$G$12)+(R7*Controls!$H$12)</f>
        <v>351.57521505011255</v>
      </c>
      <c r="Z7" s="43">
        <f t="shared" ref="Z7:Z65" si="14">X$4*X7+Y$4*Y7</f>
        <v>351.57521505011255</v>
      </c>
      <c r="AA7" s="160">
        <f>-(INDEX(Controls!$G$14:$G$18,MATCH($B7,Controls!$C$14:$C$18,0),0))*$Z7</f>
        <v>-7.8127395863650362</v>
      </c>
      <c r="AB7" s="94">
        <f t="shared" si="3"/>
        <v>343.76247546374753</v>
      </c>
      <c r="AD7" s="177" t="s">
        <v>5</v>
      </c>
      <c r="AE7" s="74">
        <f>SUMIFS('BP costs'!$I$7:$I$66,'BP costs'!$B$7:$B$66,$AD7)</f>
        <v>881.34500000000003</v>
      </c>
      <c r="AF7" s="74">
        <f t="shared" ref="AF7:AF15" si="15">SUMIF($A$6:$A$65,$AD7,V$6:V$65)</f>
        <v>872.58530180755702</v>
      </c>
      <c r="AG7" s="75">
        <f t="shared" si="4"/>
        <v>1.0100387872386771</v>
      </c>
    </row>
    <row r="8" spans="1:39" ht="12.75" x14ac:dyDescent="0.2">
      <c r="A8" s="3" t="str">
        <f>'Forecast drivers'!B10</f>
        <v>ANH</v>
      </c>
      <c r="B8" s="3">
        <f>'Forecast drivers'!C10</f>
        <v>2023</v>
      </c>
      <c r="C8" s="32" t="str">
        <f>'Forecast drivers'!A10</f>
        <v>ANH23</v>
      </c>
      <c r="D8" s="46">
        <f>EXP('Model coeffs'!$D$16+'Model coeffs'!$D$6*'Forecast drivers'!E10+'Model coeffs'!$D$7*'Forecast drivers'!I10+'Model coeffs'!$D$8*'Forecast drivers'!H10)</f>
        <v>154.5930951824885</v>
      </c>
      <c r="E8" s="46">
        <f>EXP('Model coeffs'!$E$16+'Model coeffs'!$E$6*'Forecast drivers'!E10+'Model coeffs'!$E$7*'Forecast drivers'!I10+'Model coeffs'!$E$9*'Forecast drivers'!M10)</f>
        <v>170.81486487118292</v>
      </c>
      <c r="F8" s="46">
        <f>EXP('Model coeffs'!$F$16+'Model coeffs'!$F$10*'Forecast drivers'!F10+'Model coeffs'!$F$11*'Forecast drivers'!J10+'Model coeffs'!$F$12*'Forecast drivers'!K10)</f>
        <v>186.61344846480441</v>
      </c>
      <c r="G8" s="46">
        <f>EXP('Model coeffs'!$G$16+'Model coeffs'!$G$10*'Forecast drivers'!F10+'Model coeffs'!$G$12*'Forecast drivers'!K10+'Model coeffs'!$G$13*'Forecast drivers'!L10)</f>
        <v>205.78841227002593</v>
      </c>
      <c r="H8" s="47">
        <f>EXP('Model coeffs'!$H$16+'Model coeffs'!$H$9*'Forecast drivers'!M10+'Model coeffs'!$H$11*'Forecast drivers'!J10+'Model coeffs'!$H$14*'Forecast drivers'!G10)</f>
        <v>76.044730781148971</v>
      </c>
      <c r="I8" s="47">
        <f>EXP('Model coeffs'!$I$16+'Model coeffs'!$I$14*'Forecast drivers'!G10+'Model coeffs'!$I$15*'Forecast drivers'!N10)</f>
        <v>69.551564847180103</v>
      </c>
      <c r="J8" s="47">
        <f>EXP('Model coeffs'!$J$16+'Model coeffs'!$J$10*'Forecast drivers'!F10+'Model coeffs'!$J$11*'Forecast drivers'!J10+'Model coeffs'!$J$12*'Forecast drivers'!K10)</f>
        <v>246.23974559261632</v>
      </c>
      <c r="K8" s="47">
        <f>EXP('Model coeffs'!$K$16+'Model coeffs'!$K$10*'Forecast drivers'!F10+'Model coeffs'!$K$12*'Forecast drivers'!K10+'Model coeffs'!$K$13*'Forecast drivers'!L10)</f>
        <v>260.60694494039609</v>
      </c>
      <c r="L8" s="66"/>
      <c r="M8" s="43">
        <f t="shared" si="5"/>
        <v>162.70398002683572</v>
      </c>
      <c r="N8" s="43">
        <f t="shared" si="6"/>
        <v>196.20093036741517</v>
      </c>
      <c r="O8" s="43">
        <f t="shared" si="7"/>
        <v>358.90491039425092</v>
      </c>
      <c r="P8" s="43">
        <f t="shared" si="8"/>
        <v>72.798147814164537</v>
      </c>
      <c r="Q8" s="43">
        <f t="shared" si="9"/>
        <v>253.4233452665062</v>
      </c>
      <c r="R8" s="43">
        <f t="shared" si="10"/>
        <v>57.222414899091035</v>
      </c>
      <c r="S8" s="43">
        <f t="shared" si="11"/>
        <v>65.010281356627786</v>
      </c>
      <c r="T8" s="43">
        <f t="shared" si="12"/>
        <v>431.70305820841543</v>
      </c>
      <c r="U8" s="43">
        <f t="shared" si="13"/>
        <v>416.12732529334193</v>
      </c>
      <c r="V8" s="94">
        <f t="shared" si="2"/>
        <v>423.91519175087865</v>
      </c>
      <c r="X8" s="43">
        <f>(O8*Controls!$G$12)+(P8*Controls!$H$12)</f>
        <v>353.98286417287846</v>
      </c>
      <c r="Y8" s="43">
        <f>(O8*Controls!$G$12)+(R8*Controls!$H$12)</f>
        <v>353.98286417287846</v>
      </c>
      <c r="Z8" s="43">
        <f t="shared" si="14"/>
        <v>353.98286417287846</v>
      </c>
      <c r="AA8" s="160">
        <f>-(INDEX(Controls!$G$14:$G$18,MATCH($B8,Controls!$C$14:$C$18,0),0))*$Z8</f>
        <v>-11.810397869825071</v>
      </c>
      <c r="AB8" s="94">
        <f t="shared" si="3"/>
        <v>342.1724663030534</v>
      </c>
      <c r="AD8" s="177" t="s">
        <v>6</v>
      </c>
      <c r="AE8" s="74">
        <f>SUMIFS('BP costs'!$I$7:$I$66,'BP costs'!$B$7:$B$66,$AD8)</f>
        <v>2231.7129548895718</v>
      </c>
      <c r="AF8" s="74">
        <f t="shared" si="15"/>
        <v>2183.1923950432665</v>
      </c>
      <c r="AG8" s="75">
        <f t="shared" si="4"/>
        <v>1.0222245918208888</v>
      </c>
    </row>
    <row r="9" spans="1:39" ht="12.75" x14ac:dyDescent="0.2">
      <c r="A9" s="3" t="str">
        <f>'Forecast drivers'!B11</f>
        <v>ANH</v>
      </c>
      <c r="B9" s="3">
        <f>'Forecast drivers'!C11</f>
        <v>2024</v>
      </c>
      <c r="C9" s="32" t="str">
        <f>'Forecast drivers'!A11</f>
        <v>ANH24</v>
      </c>
      <c r="D9" s="46">
        <f>EXP('Model coeffs'!$D$16+'Model coeffs'!$D$6*'Forecast drivers'!E11+'Model coeffs'!$D$7*'Forecast drivers'!I11+'Model coeffs'!$D$8*'Forecast drivers'!H11)</f>
        <v>156.0556301252866</v>
      </c>
      <c r="E9" s="46">
        <f>EXP('Model coeffs'!$E$16+'Model coeffs'!$E$6*'Forecast drivers'!E11+'Model coeffs'!$E$7*'Forecast drivers'!I11+'Model coeffs'!$E$9*'Forecast drivers'!M11)</f>
        <v>171.23932601193971</v>
      </c>
      <c r="F9" s="46">
        <f>EXP('Model coeffs'!$F$16+'Model coeffs'!$F$10*'Forecast drivers'!F11+'Model coeffs'!$F$11*'Forecast drivers'!J11+'Model coeffs'!$F$12*'Forecast drivers'!K11)</f>
        <v>187.99799499770512</v>
      </c>
      <c r="G9" s="46">
        <f>EXP('Model coeffs'!$G$16+'Model coeffs'!$G$10*'Forecast drivers'!F11+'Model coeffs'!$G$12*'Forecast drivers'!K11+'Model coeffs'!$G$13*'Forecast drivers'!L11)</f>
        <v>207.29836966804174</v>
      </c>
      <c r="H9" s="47">
        <f>EXP('Model coeffs'!$H$16+'Model coeffs'!$H$9*'Forecast drivers'!M11+'Model coeffs'!$H$11*'Forecast drivers'!J11+'Model coeffs'!$H$14*'Forecast drivers'!G11)</f>
        <v>76.755465203500052</v>
      </c>
      <c r="I9" s="47">
        <f>EXP('Model coeffs'!$I$16+'Model coeffs'!$I$14*'Forecast drivers'!G11+'Model coeffs'!$I$15*'Forecast drivers'!N11)</f>
        <v>70.076183711577983</v>
      </c>
      <c r="J9" s="47">
        <f>EXP('Model coeffs'!$J$16+'Model coeffs'!$J$10*'Forecast drivers'!F11+'Model coeffs'!$J$11*'Forecast drivers'!J11+'Model coeffs'!$J$12*'Forecast drivers'!K11)</f>
        <v>248.03253013994308</v>
      </c>
      <c r="K9" s="47">
        <f>EXP('Model coeffs'!$K$16+'Model coeffs'!$K$10*'Forecast drivers'!F11+'Model coeffs'!$K$12*'Forecast drivers'!K11+'Model coeffs'!$K$13*'Forecast drivers'!L11)</f>
        <v>262.43361174464712</v>
      </c>
      <c r="L9" s="66"/>
      <c r="M9" s="43">
        <f t="shared" si="5"/>
        <v>163.64747806861317</v>
      </c>
      <c r="N9" s="43">
        <f t="shared" si="6"/>
        <v>197.64818233287343</v>
      </c>
      <c r="O9" s="43">
        <f t="shared" si="7"/>
        <v>361.2956604014866</v>
      </c>
      <c r="P9" s="43">
        <f t="shared" si="8"/>
        <v>73.415824457539017</v>
      </c>
      <c r="Q9" s="43">
        <f t="shared" si="9"/>
        <v>255.23307094229511</v>
      </c>
      <c r="R9" s="43">
        <f t="shared" si="10"/>
        <v>57.584888609421682</v>
      </c>
      <c r="S9" s="43">
        <f t="shared" si="11"/>
        <v>65.500356533480357</v>
      </c>
      <c r="T9" s="43">
        <f t="shared" si="12"/>
        <v>434.71148485902563</v>
      </c>
      <c r="U9" s="43">
        <f t="shared" si="13"/>
        <v>418.88054901090828</v>
      </c>
      <c r="V9" s="94">
        <f t="shared" si="2"/>
        <v>426.79601693496693</v>
      </c>
      <c r="X9" s="43">
        <f>(O9*Controls!$G$12)+(P9*Controls!$H$12)</f>
        <v>356.3408272727786</v>
      </c>
      <c r="Y9" s="43">
        <f>(O9*Controls!$G$12)+(R9*Controls!$H$12)</f>
        <v>356.3408272727786</v>
      </c>
      <c r="Z9" s="43">
        <f t="shared" si="14"/>
        <v>356.3408272727786</v>
      </c>
      <c r="AA9" s="160">
        <f>-(INDEX(Controls!$G$14:$G$18,MATCH($B9,Controls!$C$14:$C$18,0),0))*$Z9</f>
        <v>-15.75548362562815</v>
      </c>
      <c r="AB9" s="94">
        <f t="shared" si="3"/>
        <v>340.58534364715047</v>
      </c>
      <c r="AD9" s="177" t="s">
        <v>7</v>
      </c>
      <c r="AE9" s="74">
        <f>SUMIFS('BP costs'!$I$7:$I$66,'BP costs'!$B$7:$B$66,$AD9)</f>
        <v>1655.1970000000001</v>
      </c>
      <c r="AF9" s="74">
        <f t="shared" si="15"/>
        <v>1600.8869893852648</v>
      </c>
      <c r="AG9" s="75">
        <f t="shared" si="4"/>
        <v>1.0339249497152765</v>
      </c>
    </row>
    <row r="10" spans="1:39" ht="12.75" x14ac:dyDescent="0.2">
      <c r="A10" s="3" t="str">
        <f>'Forecast drivers'!B12</f>
        <v>ANH</v>
      </c>
      <c r="B10" s="3">
        <f>'Forecast drivers'!C12</f>
        <v>2025</v>
      </c>
      <c r="C10" s="32" t="str">
        <f>'Forecast drivers'!A12</f>
        <v>ANH25</v>
      </c>
      <c r="D10" s="46">
        <f>EXP('Model coeffs'!$D$16+'Model coeffs'!$D$6*'Forecast drivers'!E12+'Model coeffs'!$D$7*'Forecast drivers'!I12+'Model coeffs'!$D$8*'Forecast drivers'!H12)</f>
        <v>157.53524993018112</v>
      </c>
      <c r="E10" s="46">
        <f>EXP('Model coeffs'!$E$16+'Model coeffs'!$E$6*'Forecast drivers'!E12+'Model coeffs'!$E$7*'Forecast drivers'!I12+'Model coeffs'!$E$9*'Forecast drivers'!M12)</f>
        <v>171.70116768885126</v>
      </c>
      <c r="F10" s="46">
        <f>EXP('Model coeffs'!$F$16+'Model coeffs'!$F$10*'Forecast drivers'!F12+'Model coeffs'!$F$11*'Forecast drivers'!J12+'Model coeffs'!$F$12*'Forecast drivers'!K12)</f>
        <v>189.31873852643685</v>
      </c>
      <c r="G10" s="46">
        <f>EXP('Model coeffs'!$G$16+'Model coeffs'!$G$10*'Forecast drivers'!F12+'Model coeffs'!$G$12*'Forecast drivers'!K12+'Model coeffs'!$G$13*'Forecast drivers'!L12)</f>
        <v>208.73863085342381</v>
      </c>
      <c r="H10" s="47">
        <f>EXP('Model coeffs'!$H$16+'Model coeffs'!$H$9*'Forecast drivers'!M12+'Model coeffs'!$H$11*'Forecast drivers'!J12+'Model coeffs'!$H$14*'Forecast drivers'!G12)</f>
        <v>79.812408515677291</v>
      </c>
      <c r="I10" s="47">
        <f>EXP('Model coeffs'!$I$16+'Model coeffs'!$I$14*'Forecast drivers'!G12+'Model coeffs'!$I$15*'Forecast drivers'!N12)</f>
        <v>72.690543842434863</v>
      </c>
      <c r="J10" s="47">
        <f>EXP('Model coeffs'!$J$16+'Model coeffs'!$J$10*'Forecast drivers'!F12+'Model coeffs'!$J$11*'Forecast drivers'!J12+'Model coeffs'!$J$12*'Forecast drivers'!K12)</f>
        <v>249.7424699818535</v>
      </c>
      <c r="K10" s="47">
        <f>EXP('Model coeffs'!$K$16+'Model coeffs'!$K$10*'Forecast drivers'!F12+'Model coeffs'!$K$12*'Forecast drivers'!K12+'Model coeffs'!$K$13*'Forecast drivers'!L12)</f>
        <v>264.17541121477029</v>
      </c>
      <c r="L10" s="66"/>
      <c r="M10" s="43">
        <f t="shared" si="5"/>
        <v>164.6182088095162</v>
      </c>
      <c r="N10" s="43">
        <f t="shared" si="6"/>
        <v>199.02868468993034</v>
      </c>
      <c r="O10" s="43">
        <f t="shared" si="7"/>
        <v>363.64689349944655</v>
      </c>
      <c r="P10" s="43">
        <f t="shared" si="8"/>
        <v>76.251476179056084</v>
      </c>
      <c r="Q10" s="43">
        <f t="shared" si="9"/>
        <v>256.95894059831187</v>
      </c>
      <c r="R10" s="43">
        <f t="shared" si="10"/>
        <v>57.930255908381525</v>
      </c>
      <c r="S10" s="43">
        <f t="shared" si="11"/>
        <v>67.090866043718805</v>
      </c>
      <c r="T10" s="43">
        <f t="shared" si="12"/>
        <v>439.8983696785026</v>
      </c>
      <c r="U10" s="43">
        <f t="shared" si="13"/>
        <v>421.57714940782807</v>
      </c>
      <c r="V10" s="94">
        <f t="shared" si="2"/>
        <v>430.73775954316534</v>
      </c>
      <c r="X10" s="43">
        <f>(O10*Controls!$G$12)+(P10*Controls!$H$12)</f>
        <v>358.65981540097022</v>
      </c>
      <c r="Y10" s="43">
        <f>(O10*Controls!$G$12)+(R10*Controls!$H$12)</f>
        <v>358.65981540097022</v>
      </c>
      <c r="Z10" s="43">
        <f t="shared" si="14"/>
        <v>358.65981540097022</v>
      </c>
      <c r="AA10" s="160">
        <f>-(INDEX(Controls!$G$14:$G$18,MATCH($B10,Controls!$C$14:$C$18,0),0))*$Z10</f>
        <v>-19.640646971286071</v>
      </c>
      <c r="AB10" s="94">
        <f t="shared" si="3"/>
        <v>339.01916842968416</v>
      </c>
      <c r="AD10" s="177" t="s">
        <v>101</v>
      </c>
      <c r="AE10" s="74">
        <f>SUMIFS('BP costs'!$I$7:$I$66,'BP costs'!$B$7:$B$66,$AD10)</f>
        <v>2321.5057288811145</v>
      </c>
      <c r="AF10" s="74">
        <f t="shared" si="15"/>
        <v>2702.3485659836415</v>
      </c>
      <c r="AG10" s="75">
        <f t="shared" si="4"/>
        <v>0.8590696840901787</v>
      </c>
    </row>
    <row r="11" spans="1:39" ht="12.75" x14ac:dyDescent="0.2">
      <c r="A11" s="3" t="str">
        <f>'Forecast drivers'!B13</f>
        <v>NES</v>
      </c>
      <c r="B11" s="3">
        <f>'Forecast drivers'!C13</f>
        <v>2021</v>
      </c>
      <c r="C11" s="32" t="str">
        <f>'Forecast drivers'!A13</f>
        <v>NES21</v>
      </c>
      <c r="D11" s="46">
        <f>EXP('Model coeffs'!$D$16+'Model coeffs'!$D$6*'Forecast drivers'!E13+'Model coeffs'!$D$7*'Forecast drivers'!I13+'Model coeffs'!$D$8*'Forecast drivers'!H13)</f>
        <v>82.943121784338004</v>
      </c>
      <c r="E11" s="46">
        <f>EXP('Model coeffs'!$E$16+'Model coeffs'!$E$6*'Forecast drivers'!E13+'Model coeffs'!$E$7*'Forecast drivers'!I13+'Model coeffs'!$E$9*'Forecast drivers'!M13)</f>
        <v>77.448292638362716</v>
      </c>
      <c r="F11" s="46">
        <f>EXP('Model coeffs'!$F$16+'Model coeffs'!$F$10*'Forecast drivers'!F13+'Model coeffs'!$F$11*'Forecast drivers'!J13+'Model coeffs'!$F$12*'Forecast drivers'!K13)</f>
        <v>69.834780993799271</v>
      </c>
      <c r="G11" s="46">
        <f>EXP('Model coeffs'!$G$16+'Model coeffs'!$G$10*'Forecast drivers'!F13+'Model coeffs'!$G$12*'Forecast drivers'!K13+'Model coeffs'!$G$13*'Forecast drivers'!L13)</f>
        <v>67.937789664604708</v>
      </c>
      <c r="H11" s="47">
        <f>EXP('Model coeffs'!$H$16+'Model coeffs'!$H$9*'Forecast drivers'!M13+'Model coeffs'!$H$11*'Forecast drivers'!J13+'Model coeffs'!$H$14*'Forecast drivers'!G13)</f>
        <v>22.794497414425035</v>
      </c>
      <c r="I11" s="47">
        <f>EXP('Model coeffs'!$I$16+'Model coeffs'!$I$14*'Forecast drivers'!G13+'Model coeffs'!$I$15*'Forecast drivers'!N13)</f>
        <v>25.654210832951215</v>
      </c>
      <c r="J11" s="47">
        <f>EXP('Model coeffs'!$J$16+'Model coeffs'!$J$10*'Forecast drivers'!F13+'Model coeffs'!$J$11*'Forecast drivers'!J13+'Model coeffs'!$J$12*'Forecast drivers'!K13)</f>
        <v>93.355450475224245</v>
      </c>
      <c r="K11" s="47">
        <f>EXP('Model coeffs'!$K$16+'Model coeffs'!$K$10*'Forecast drivers'!F13+'Model coeffs'!$K$12*'Forecast drivers'!K13+'Model coeffs'!$K$13*'Forecast drivers'!L13)</f>
        <v>93.385406291929499</v>
      </c>
      <c r="L11" s="66"/>
      <c r="M11" s="43">
        <f t="shared" si="5"/>
        <v>80.195707211350367</v>
      </c>
      <c r="N11" s="43">
        <f t="shared" si="6"/>
        <v>68.886285329201996</v>
      </c>
      <c r="O11" s="43">
        <f t="shared" si="7"/>
        <v>149.08199254055236</v>
      </c>
      <c r="P11" s="43">
        <f t="shared" si="8"/>
        <v>24.224354123688123</v>
      </c>
      <c r="Q11" s="43">
        <f t="shared" si="9"/>
        <v>93.370428383576865</v>
      </c>
      <c r="R11" s="43">
        <f t="shared" si="10"/>
        <v>24.484143054374869</v>
      </c>
      <c r="S11" s="43">
        <f t="shared" si="11"/>
        <v>24.354248589031496</v>
      </c>
      <c r="T11" s="43">
        <f t="shared" si="12"/>
        <v>173.30634666424049</v>
      </c>
      <c r="U11" s="43">
        <f t="shared" si="13"/>
        <v>173.56613559492723</v>
      </c>
      <c r="V11" s="94">
        <f t="shared" si="2"/>
        <v>173.43624112958386</v>
      </c>
      <c r="X11" s="43">
        <f>(O11*Controls!$G$12)+(P11*Controls!$H$12)</f>
        <v>147.03747200932628</v>
      </c>
      <c r="Y11" s="43">
        <f>(O11*Controls!$G$12)+(R11*Controls!$H$12)</f>
        <v>147.03747200932628</v>
      </c>
      <c r="Z11" s="43">
        <f t="shared" si="14"/>
        <v>147.03747200932628</v>
      </c>
      <c r="AA11" s="160">
        <f>-(INDEX(Controls!$G$14:$G$18,MATCH($B11,Controls!$C$14:$C$18,0),0))*$Z11</f>
        <v>-1.617412192102589</v>
      </c>
      <c r="AB11" s="94">
        <f t="shared" si="3"/>
        <v>145.42005981722369</v>
      </c>
      <c r="AD11" s="177" t="s">
        <v>12</v>
      </c>
      <c r="AE11" s="74">
        <f>SUMIFS('BP costs'!$I$7:$I$66,'BP costs'!$B$7:$B$66,$AD11)</f>
        <v>770.44399999999996</v>
      </c>
      <c r="AF11" s="74">
        <f t="shared" si="15"/>
        <v>750.84667932034461</v>
      </c>
      <c r="AG11" s="75">
        <f t="shared" si="4"/>
        <v>1.0261002961315546</v>
      </c>
    </row>
    <row r="12" spans="1:39" ht="12.75" x14ac:dyDescent="0.2">
      <c r="A12" s="3" t="str">
        <f>'Forecast drivers'!B14</f>
        <v>NES</v>
      </c>
      <c r="B12" s="3">
        <f>'Forecast drivers'!C14</f>
        <v>2022</v>
      </c>
      <c r="C12" s="32" t="str">
        <f>'Forecast drivers'!A14</f>
        <v>NES22</v>
      </c>
      <c r="D12" s="46">
        <f>EXP('Model coeffs'!$D$16+'Model coeffs'!$D$6*'Forecast drivers'!E14+'Model coeffs'!$D$7*'Forecast drivers'!I14+'Model coeffs'!$D$8*'Forecast drivers'!H14)</f>
        <v>83.234510152822281</v>
      </c>
      <c r="E12" s="46">
        <f>EXP('Model coeffs'!$E$16+'Model coeffs'!$E$6*'Forecast drivers'!E14+'Model coeffs'!$E$7*'Forecast drivers'!I14+'Model coeffs'!$E$9*'Forecast drivers'!M14)</f>
        <v>77.554685643956901</v>
      </c>
      <c r="F12" s="46">
        <f>EXP('Model coeffs'!$F$16+'Model coeffs'!$F$10*'Forecast drivers'!F14+'Model coeffs'!$F$11*'Forecast drivers'!J14+'Model coeffs'!$F$12*'Forecast drivers'!K14)</f>
        <v>70.011220269034013</v>
      </c>
      <c r="G12" s="46">
        <f>EXP('Model coeffs'!$G$16+'Model coeffs'!$G$10*'Forecast drivers'!F14+'Model coeffs'!$G$12*'Forecast drivers'!K14+'Model coeffs'!$G$13*'Forecast drivers'!L14)</f>
        <v>68.107545889849249</v>
      </c>
      <c r="H12" s="47">
        <f>EXP('Model coeffs'!$H$16+'Model coeffs'!$H$9*'Forecast drivers'!M14+'Model coeffs'!$H$11*'Forecast drivers'!J14+'Model coeffs'!$H$14*'Forecast drivers'!G14)</f>
        <v>23.089596490695996</v>
      </c>
      <c r="I12" s="47">
        <f>EXP('Model coeffs'!$I$16+'Model coeffs'!$I$14*'Forecast drivers'!G14+'Model coeffs'!$I$15*'Forecast drivers'!N14)</f>
        <v>25.961912056923595</v>
      </c>
      <c r="J12" s="47">
        <f>EXP('Model coeffs'!$J$16+'Model coeffs'!$J$10*'Forecast drivers'!F14+'Model coeffs'!$J$11*'Forecast drivers'!J14+'Model coeffs'!$J$12*'Forecast drivers'!K14)</f>
        <v>93.586917014756011</v>
      </c>
      <c r="K12" s="47">
        <f>EXP('Model coeffs'!$K$16+'Model coeffs'!$K$10*'Forecast drivers'!F14+'Model coeffs'!$K$12*'Forecast drivers'!K14+'Model coeffs'!$K$13*'Forecast drivers'!L14)</f>
        <v>93.608336825174149</v>
      </c>
      <c r="L12" s="66"/>
      <c r="M12" s="43">
        <f t="shared" si="5"/>
        <v>80.394597898389591</v>
      </c>
      <c r="N12" s="43">
        <f t="shared" si="6"/>
        <v>69.059383079441631</v>
      </c>
      <c r="O12" s="43">
        <f t="shared" si="7"/>
        <v>149.45398097783124</v>
      </c>
      <c r="P12" s="43">
        <f t="shared" si="8"/>
        <v>24.525754273809795</v>
      </c>
      <c r="Q12" s="43">
        <f t="shared" si="9"/>
        <v>93.59762691996508</v>
      </c>
      <c r="R12" s="43">
        <f t="shared" si="10"/>
        <v>24.53824384052345</v>
      </c>
      <c r="S12" s="43">
        <f t="shared" si="11"/>
        <v>24.531999057166622</v>
      </c>
      <c r="T12" s="43">
        <f t="shared" si="12"/>
        <v>173.97973525164105</v>
      </c>
      <c r="U12" s="43">
        <f t="shared" si="13"/>
        <v>173.99222481835466</v>
      </c>
      <c r="V12" s="94">
        <f t="shared" si="2"/>
        <v>173.98598003499785</v>
      </c>
      <c r="X12" s="43">
        <f>(O12*Controls!$G$12)+(P12*Controls!$H$12)</f>
        <v>147.40435897201098</v>
      </c>
      <c r="Y12" s="43">
        <f>(O12*Controls!$G$12)+(R12*Controls!$H$12)</f>
        <v>147.40435897201098</v>
      </c>
      <c r="Z12" s="43">
        <f t="shared" si="14"/>
        <v>147.40435897201098</v>
      </c>
      <c r="AA12" s="160">
        <f>-(INDEX(Controls!$G$14:$G$18,MATCH($B12,Controls!$C$14:$C$18,0),0))*$Z12</f>
        <v>-3.2756344055118958</v>
      </c>
      <c r="AB12" s="94">
        <f t="shared" si="3"/>
        <v>144.12872456649907</v>
      </c>
      <c r="AD12" s="177" t="s">
        <v>9</v>
      </c>
      <c r="AE12" s="74">
        <f>SUMIFS('BP costs'!$I$7:$I$66,'BP costs'!$B$7:$B$66,$AD12)</f>
        <v>4083.4651333771581</v>
      </c>
      <c r="AF12" s="74">
        <f t="shared" si="15"/>
        <v>4013.7712309883632</v>
      </c>
      <c r="AG12" s="75">
        <f t="shared" si="4"/>
        <v>1.0173636957310179</v>
      </c>
    </row>
    <row r="13" spans="1:39" ht="12.75" x14ac:dyDescent="0.2">
      <c r="A13" s="3" t="str">
        <f>'Forecast drivers'!B15</f>
        <v>NES</v>
      </c>
      <c r="B13" s="3">
        <f>'Forecast drivers'!C15</f>
        <v>2023</v>
      </c>
      <c r="C13" s="32" t="str">
        <f>'Forecast drivers'!A15</f>
        <v>NES23</v>
      </c>
      <c r="D13" s="46">
        <f>EXP('Model coeffs'!$D$16+'Model coeffs'!$D$6*'Forecast drivers'!E15+'Model coeffs'!$D$7*'Forecast drivers'!I15+'Model coeffs'!$D$8*'Forecast drivers'!H15)</f>
        <v>83.54007276578686</v>
      </c>
      <c r="E13" s="46">
        <f>EXP('Model coeffs'!$E$16+'Model coeffs'!$E$6*'Forecast drivers'!E15+'Model coeffs'!$E$7*'Forecast drivers'!I15+'Model coeffs'!$E$9*'Forecast drivers'!M15)</f>
        <v>77.654683130511231</v>
      </c>
      <c r="F13" s="46">
        <f>EXP('Model coeffs'!$F$16+'Model coeffs'!$F$10*'Forecast drivers'!F15+'Model coeffs'!$F$11*'Forecast drivers'!J15+'Model coeffs'!$F$12*'Forecast drivers'!K15)</f>
        <v>70.189913727740176</v>
      </c>
      <c r="G13" s="46">
        <f>EXP('Model coeffs'!$G$16+'Model coeffs'!$G$10*'Forecast drivers'!F15+'Model coeffs'!$G$12*'Forecast drivers'!K15+'Model coeffs'!$G$13*'Forecast drivers'!L15)</f>
        <v>68.279466120246482</v>
      </c>
      <c r="H13" s="47">
        <f>EXP('Model coeffs'!$H$16+'Model coeffs'!$H$9*'Forecast drivers'!M15+'Model coeffs'!$H$11*'Forecast drivers'!J15+'Model coeffs'!$H$14*'Forecast drivers'!G15)</f>
        <v>23.348792946354614</v>
      </c>
      <c r="I13" s="47">
        <f>EXP('Model coeffs'!$I$16+'Model coeffs'!$I$14*'Forecast drivers'!G15+'Model coeffs'!$I$15*'Forecast drivers'!N15)</f>
        <v>26.226452113960377</v>
      </c>
      <c r="J13" s="47">
        <f>EXP('Model coeffs'!$J$16+'Model coeffs'!$J$10*'Forecast drivers'!F15+'Model coeffs'!$J$11*'Forecast drivers'!J15+'Model coeffs'!$J$12*'Forecast drivers'!K15)</f>
        <v>93.821329691695652</v>
      </c>
      <c r="K13" s="47">
        <f>EXP('Model coeffs'!$K$16+'Model coeffs'!$K$10*'Forecast drivers'!F15+'Model coeffs'!$K$12*'Forecast drivers'!K15+'Model coeffs'!$K$13*'Forecast drivers'!L15)</f>
        <v>93.834083977616217</v>
      </c>
      <c r="L13" s="66"/>
      <c r="M13" s="43">
        <f t="shared" si="5"/>
        <v>80.597377948149045</v>
      </c>
      <c r="N13" s="43">
        <f t="shared" si="6"/>
        <v>69.234689923993329</v>
      </c>
      <c r="O13" s="43">
        <f t="shared" si="7"/>
        <v>149.83206787214237</v>
      </c>
      <c r="P13" s="43">
        <f t="shared" si="8"/>
        <v>24.787622530157496</v>
      </c>
      <c r="Q13" s="43">
        <f t="shared" si="9"/>
        <v>93.827706834655942</v>
      </c>
      <c r="R13" s="43">
        <f t="shared" si="10"/>
        <v>24.593016910662612</v>
      </c>
      <c r="S13" s="43">
        <f t="shared" si="11"/>
        <v>24.690319720410052</v>
      </c>
      <c r="T13" s="43">
        <f t="shared" si="12"/>
        <v>174.61969040229988</v>
      </c>
      <c r="U13" s="43">
        <f t="shared" si="13"/>
        <v>174.42508478280499</v>
      </c>
      <c r="V13" s="94">
        <f t="shared" si="2"/>
        <v>174.52238759255243</v>
      </c>
      <c r="X13" s="43">
        <f>(O13*Controls!$G$12)+(P13*Controls!$H$12)</f>
        <v>147.77726075707562</v>
      </c>
      <c r="Y13" s="43">
        <f>(O13*Controls!$G$12)+(R13*Controls!$H$12)</f>
        <v>147.77726075707562</v>
      </c>
      <c r="Z13" s="43">
        <f t="shared" si="14"/>
        <v>147.77726075707562</v>
      </c>
      <c r="AA13" s="160">
        <f>-(INDEX(Controls!$G$14:$G$18,MATCH($B13,Controls!$C$14:$C$18,0),0))*$Z13</f>
        <v>-4.9304879481442212</v>
      </c>
      <c r="AB13" s="94">
        <f t="shared" si="3"/>
        <v>142.84677280893141</v>
      </c>
      <c r="AD13" s="177" t="s">
        <v>15</v>
      </c>
      <c r="AE13" s="74">
        <f>SUMIFS('BP costs'!$I$7:$I$66,'BP costs'!$B$7:$B$66,$AD13)</f>
        <v>1140.5810000000001</v>
      </c>
      <c r="AF13" s="74">
        <f t="shared" si="15"/>
        <v>1170.9980542109795</v>
      </c>
      <c r="AG13" s="75">
        <f t="shared" si="4"/>
        <v>0.97402467570155404</v>
      </c>
    </row>
    <row r="14" spans="1:39" ht="12.75" x14ac:dyDescent="0.2">
      <c r="A14" s="3" t="str">
        <f>'Forecast drivers'!B16</f>
        <v>NES</v>
      </c>
      <c r="B14" s="3">
        <f>'Forecast drivers'!C16</f>
        <v>2024</v>
      </c>
      <c r="C14" s="32" t="str">
        <f>'Forecast drivers'!A16</f>
        <v>NES24</v>
      </c>
      <c r="D14" s="46">
        <f>EXP('Model coeffs'!$D$16+'Model coeffs'!$D$6*'Forecast drivers'!E16+'Model coeffs'!$D$7*'Forecast drivers'!I16+'Model coeffs'!$D$8*'Forecast drivers'!H16)</f>
        <v>83.81700147143286</v>
      </c>
      <c r="E14" s="46">
        <f>EXP('Model coeffs'!$E$16+'Model coeffs'!$E$6*'Forecast drivers'!E16+'Model coeffs'!$E$7*'Forecast drivers'!I16+'Model coeffs'!$E$9*'Forecast drivers'!M16)</f>
        <v>77.763463958612917</v>
      </c>
      <c r="F14" s="46">
        <f>EXP('Model coeffs'!$F$16+'Model coeffs'!$F$10*'Forecast drivers'!F16+'Model coeffs'!$F$11*'Forecast drivers'!J16+'Model coeffs'!$F$12*'Forecast drivers'!K16)</f>
        <v>70.362877423789612</v>
      </c>
      <c r="G14" s="46">
        <f>EXP('Model coeffs'!$G$16+'Model coeffs'!$G$10*'Forecast drivers'!F16+'Model coeffs'!$G$12*'Forecast drivers'!K16+'Model coeffs'!$G$13*'Forecast drivers'!L16)</f>
        <v>68.445869184932135</v>
      </c>
      <c r="H14" s="47">
        <f>EXP('Model coeffs'!$H$16+'Model coeffs'!$H$9*'Forecast drivers'!M16+'Model coeffs'!$H$11*'Forecast drivers'!J16+'Model coeffs'!$H$14*'Forecast drivers'!G16)</f>
        <v>23.64474762672419</v>
      </c>
      <c r="I14" s="47">
        <f>EXP('Model coeffs'!$I$16+'Model coeffs'!$I$14*'Forecast drivers'!G16+'Model coeffs'!$I$15*'Forecast drivers'!N16)</f>
        <v>26.535728988079889</v>
      </c>
      <c r="J14" s="47">
        <f>EXP('Model coeffs'!$J$16+'Model coeffs'!$J$10*'Forecast drivers'!F16+'Model coeffs'!$J$11*'Forecast drivers'!J16+'Model coeffs'!$J$12*'Forecast drivers'!K16)</f>
        <v>94.048215396816872</v>
      </c>
      <c r="K14" s="47">
        <f>EXP('Model coeffs'!$K$16+'Model coeffs'!$K$10*'Forecast drivers'!F16+'Model coeffs'!$K$12*'Forecast drivers'!K16+'Model coeffs'!$K$13*'Forecast drivers'!L16)</f>
        <v>94.052562456595354</v>
      </c>
      <c r="L14" s="66"/>
      <c r="M14" s="43">
        <f t="shared" si="5"/>
        <v>80.790232715022881</v>
      </c>
      <c r="N14" s="43">
        <f t="shared" si="6"/>
        <v>69.404373304360874</v>
      </c>
      <c r="O14" s="43">
        <f t="shared" si="7"/>
        <v>150.19460601938374</v>
      </c>
      <c r="P14" s="43">
        <f t="shared" si="8"/>
        <v>25.090238307402039</v>
      </c>
      <c r="Q14" s="43">
        <f t="shared" si="9"/>
        <v>94.05038892670612</v>
      </c>
      <c r="R14" s="43">
        <f t="shared" si="10"/>
        <v>24.646015622345246</v>
      </c>
      <c r="S14" s="43">
        <f t="shared" si="11"/>
        <v>24.868126964873642</v>
      </c>
      <c r="T14" s="43">
        <f t="shared" si="12"/>
        <v>175.28484432678579</v>
      </c>
      <c r="U14" s="43">
        <f t="shared" si="13"/>
        <v>174.840621641729</v>
      </c>
      <c r="V14" s="94">
        <f t="shared" si="2"/>
        <v>175.06273298425739</v>
      </c>
      <c r="X14" s="43">
        <f>(O14*Controls!$G$12)+(P14*Controls!$H$12)</f>
        <v>148.1348270316397</v>
      </c>
      <c r="Y14" s="43">
        <f>(O14*Controls!$G$12)+(R14*Controls!$H$12)</f>
        <v>148.1348270316397</v>
      </c>
      <c r="Z14" s="43">
        <f t="shared" si="14"/>
        <v>148.1348270316397</v>
      </c>
      <c r="AA14" s="160">
        <f>-(INDEX(Controls!$G$14:$G$18,MATCH($B14,Controls!$C$14:$C$18,0),0))*$Z14</f>
        <v>-6.5497289758931601</v>
      </c>
      <c r="AB14" s="94">
        <f t="shared" si="3"/>
        <v>141.58509805574653</v>
      </c>
      <c r="AD14" s="177" t="s">
        <v>10</v>
      </c>
      <c r="AE14" s="74">
        <f>SUMIFS('BP costs'!$I$7:$I$66,'BP costs'!$B$7:$B$66,$AD14)</f>
        <v>1001.9662308479287</v>
      </c>
      <c r="AF14" s="74">
        <f t="shared" si="15"/>
        <v>972.85545730067156</v>
      </c>
      <c r="AG14" s="75">
        <f t="shared" si="4"/>
        <v>1.0299230202480738</v>
      </c>
    </row>
    <row r="15" spans="1:39" ht="12.75" x14ac:dyDescent="0.2">
      <c r="A15" s="3" t="str">
        <f>'Forecast drivers'!B17</f>
        <v>NES</v>
      </c>
      <c r="B15" s="3">
        <f>'Forecast drivers'!C17</f>
        <v>2025</v>
      </c>
      <c r="C15" s="32" t="str">
        <f>'Forecast drivers'!A17</f>
        <v>NES25</v>
      </c>
      <c r="D15" s="46">
        <f>EXP('Model coeffs'!$D$16+'Model coeffs'!$D$6*'Forecast drivers'!E17+'Model coeffs'!$D$7*'Forecast drivers'!I17+'Model coeffs'!$D$8*'Forecast drivers'!H17)</f>
        <v>84.093900333277958</v>
      </c>
      <c r="E15" s="46">
        <f>EXP('Model coeffs'!$E$16+'Model coeffs'!$E$6*'Forecast drivers'!E17+'Model coeffs'!$E$7*'Forecast drivers'!I17+'Model coeffs'!$E$9*'Forecast drivers'!M17)</f>
        <v>77.870225228940967</v>
      </c>
      <c r="F15" s="46">
        <f>EXP('Model coeffs'!$F$16+'Model coeffs'!$F$10*'Forecast drivers'!F17+'Model coeffs'!$F$11*'Forecast drivers'!J17+'Model coeffs'!$F$12*'Forecast drivers'!K17)</f>
        <v>70.532279338221855</v>
      </c>
      <c r="G15" s="46">
        <f>EXP('Model coeffs'!$G$16+'Model coeffs'!$G$10*'Forecast drivers'!F17+'Model coeffs'!$G$12*'Forecast drivers'!K17+'Model coeffs'!$G$13*'Forecast drivers'!L17)</f>
        <v>68.608841207806378</v>
      </c>
      <c r="H15" s="47">
        <f>EXP('Model coeffs'!$H$16+'Model coeffs'!$H$9*'Forecast drivers'!M17+'Model coeffs'!$H$11*'Forecast drivers'!J17+'Model coeffs'!$H$14*'Forecast drivers'!G17)</f>
        <v>23.902624325698028</v>
      </c>
      <c r="I15" s="47">
        <f>EXP('Model coeffs'!$I$16+'Model coeffs'!$I$14*'Forecast drivers'!G17+'Model coeffs'!$I$15*'Forecast drivers'!N17)</f>
        <v>26.802912199990182</v>
      </c>
      <c r="J15" s="47">
        <f>EXP('Model coeffs'!$J$16+'Model coeffs'!$J$10*'Forecast drivers'!F17+'Model coeffs'!$J$11*'Forecast drivers'!J17+'Model coeffs'!$J$12*'Forecast drivers'!K17)</f>
        <v>94.270418854469554</v>
      </c>
      <c r="K15" s="47">
        <f>EXP('Model coeffs'!$K$16+'Model coeffs'!$K$10*'Forecast drivers'!F17+'Model coeffs'!$K$12*'Forecast drivers'!K17+'Model coeffs'!$K$13*'Forecast drivers'!L17)</f>
        <v>94.266513214038198</v>
      </c>
      <c r="L15" s="66"/>
      <c r="M15" s="43">
        <f t="shared" si="5"/>
        <v>80.982062781109462</v>
      </c>
      <c r="N15" s="43">
        <f t="shared" si="6"/>
        <v>69.570560273014109</v>
      </c>
      <c r="O15" s="43">
        <f t="shared" si="7"/>
        <v>150.55262305412356</v>
      </c>
      <c r="P15" s="43">
        <f t="shared" si="8"/>
        <v>25.352768262844105</v>
      </c>
      <c r="Q15" s="43">
        <f t="shared" si="9"/>
        <v>94.268466034253876</v>
      </c>
      <c r="R15" s="43">
        <f t="shared" si="10"/>
        <v>24.697905761239767</v>
      </c>
      <c r="S15" s="43">
        <f t="shared" si="11"/>
        <v>25.025337012041938</v>
      </c>
      <c r="T15" s="43">
        <f t="shared" si="12"/>
        <v>175.90539131696767</v>
      </c>
      <c r="U15" s="43">
        <f t="shared" si="13"/>
        <v>175.25052881536334</v>
      </c>
      <c r="V15" s="94">
        <f t="shared" si="2"/>
        <v>175.5779600661655</v>
      </c>
      <c r="X15" s="43">
        <f>(O15*Controls!$G$12)+(P15*Controls!$H$12)</f>
        <v>148.48793419654496</v>
      </c>
      <c r="Y15" s="43">
        <f>(O15*Controls!$G$12)+(R15*Controls!$H$12)</f>
        <v>148.48793419654496</v>
      </c>
      <c r="Z15" s="43">
        <f t="shared" si="14"/>
        <v>148.48793419654496</v>
      </c>
      <c r="AA15" s="160">
        <f>-(INDEX(Controls!$G$14:$G$18,MATCH($B15,Controls!$C$14:$C$18,0),0))*$Z15</f>
        <v>-8.1313795686574348</v>
      </c>
      <c r="AB15" s="94">
        <f t="shared" si="3"/>
        <v>140.35655462788753</v>
      </c>
      <c r="AD15" s="177" t="s">
        <v>11</v>
      </c>
      <c r="AE15" s="74">
        <f>SUMIFS('BP costs'!$I$7:$I$66,'BP costs'!$B$7:$B$66,$AD15)</f>
        <v>1923.183</v>
      </c>
      <c r="AF15" s="74">
        <f t="shared" si="15"/>
        <v>1634.032972955551</v>
      </c>
      <c r="AG15" s="75">
        <f t="shared" si="4"/>
        <v>1.1769548300616297</v>
      </c>
    </row>
    <row r="16" spans="1:39" ht="12.75" x14ac:dyDescent="0.2">
      <c r="A16" s="3" t="str">
        <f>'Forecast drivers'!B18</f>
        <v>NWT</v>
      </c>
      <c r="B16" s="3">
        <f>'Forecast drivers'!C18</f>
        <v>2021</v>
      </c>
      <c r="C16" s="32" t="str">
        <f>'Forecast drivers'!A18</f>
        <v>NWT21</v>
      </c>
      <c r="D16" s="46">
        <f>EXP('Model coeffs'!$D$16+'Model coeffs'!$D$6*'Forecast drivers'!E18+'Model coeffs'!$D$7*'Forecast drivers'!I18+'Model coeffs'!$D$8*'Forecast drivers'!H18)</f>
        <v>169.51954312504816</v>
      </c>
      <c r="E16" s="46">
        <f>EXP('Model coeffs'!$E$16+'Model coeffs'!$E$6*'Forecast drivers'!E18+'Model coeffs'!$E$7*'Forecast drivers'!I18+'Model coeffs'!$E$9*'Forecast drivers'!M18)</f>
        <v>161.1559619407854</v>
      </c>
      <c r="F16" s="46">
        <f>EXP('Model coeffs'!$F$16+'Model coeffs'!$F$10*'Forecast drivers'!F18+'Model coeffs'!$F$11*'Forecast drivers'!J18+'Model coeffs'!$F$12*'Forecast drivers'!K18)</f>
        <v>198.52112019203383</v>
      </c>
      <c r="G16" s="46">
        <f>EXP('Model coeffs'!$G$16+'Model coeffs'!$G$10*'Forecast drivers'!F18+'Model coeffs'!$G$12*'Forecast drivers'!K18+'Model coeffs'!$G$13*'Forecast drivers'!L18)</f>
        <v>192.57123333854827</v>
      </c>
      <c r="H16" s="47">
        <f>EXP('Model coeffs'!$H$16+'Model coeffs'!$H$9*'Forecast drivers'!M18+'Model coeffs'!$H$11*'Forecast drivers'!J18+'Model coeffs'!$H$14*'Forecast drivers'!G18)</f>
        <v>65.977445153965078</v>
      </c>
      <c r="I16" s="47">
        <f>EXP('Model coeffs'!$I$16+'Model coeffs'!$I$14*'Forecast drivers'!G18+'Model coeffs'!$I$15*'Forecast drivers'!N18)</f>
        <v>67.031391283426956</v>
      </c>
      <c r="J16" s="47">
        <f>EXP('Model coeffs'!$J$16+'Model coeffs'!$J$10*'Forecast drivers'!F18+'Model coeffs'!$J$11*'Forecast drivers'!J18+'Model coeffs'!$J$12*'Forecast drivers'!K18)</f>
        <v>276.9803417999974</v>
      </c>
      <c r="K16" s="47">
        <f>EXP('Model coeffs'!$K$16+'Model coeffs'!$K$10*'Forecast drivers'!F18+'Model coeffs'!$K$12*'Forecast drivers'!K18+'Model coeffs'!$K$13*'Forecast drivers'!L18)</f>
        <v>272.10346279624451</v>
      </c>
      <c r="L16" s="66"/>
      <c r="M16" s="43">
        <f t="shared" si="5"/>
        <v>165.3377525329168</v>
      </c>
      <c r="N16" s="43">
        <f t="shared" si="6"/>
        <v>195.54617676529105</v>
      </c>
      <c r="O16" s="43">
        <f t="shared" si="7"/>
        <v>360.88392929820782</v>
      </c>
      <c r="P16" s="43">
        <f t="shared" si="8"/>
        <v>66.504418218696017</v>
      </c>
      <c r="Q16" s="43">
        <f t="shared" si="9"/>
        <v>274.54190229812093</v>
      </c>
      <c r="R16" s="43">
        <f t="shared" si="10"/>
        <v>78.99572553282988</v>
      </c>
      <c r="S16" s="43">
        <f t="shared" si="11"/>
        <v>72.750071875762956</v>
      </c>
      <c r="T16" s="43">
        <f t="shared" si="12"/>
        <v>427.38834751690382</v>
      </c>
      <c r="U16" s="43">
        <f t="shared" si="13"/>
        <v>439.87965483103773</v>
      </c>
      <c r="V16" s="94">
        <f t="shared" si="2"/>
        <v>433.63400117397077</v>
      </c>
      <c r="X16" s="43">
        <f>(O16*Controls!$G$12)+(P16*Controls!$H$12)</f>
        <v>355.93474267770415</v>
      </c>
      <c r="Y16" s="43">
        <f>(O16*Controls!$G$12)+(R16*Controls!$H$12)</f>
        <v>355.93474267770415</v>
      </c>
      <c r="Z16" s="43">
        <f t="shared" si="14"/>
        <v>355.93474267770415</v>
      </c>
      <c r="AA16" s="160">
        <f>-(INDEX(Controls!$G$14:$G$18,MATCH($B16,Controls!$C$14:$C$18,0),0))*$Z16</f>
        <v>-3.9152821694547453</v>
      </c>
      <c r="AB16" s="94">
        <f t="shared" si="3"/>
        <v>352.01946050824938</v>
      </c>
      <c r="AD16" s="76" t="s">
        <v>24</v>
      </c>
      <c r="AE16" s="77">
        <f>SUM(AE6:AE15)</f>
        <v>18507.422807713952</v>
      </c>
      <c r="AF16" s="77">
        <f>SUM(AF6:AF15)</f>
        <v>18022.14956272679</v>
      </c>
      <c r="AG16" s="213">
        <f t="shared" si="4"/>
        <v>1.0269264908327471</v>
      </c>
    </row>
    <row r="17" spans="1:33" ht="12.75" x14ac:dyDescent="0.2">
      <c r="A17" s="3" t="str">
        <f>'Forecast drivers'!B19</f>
        <v>NWT</v>
      </c>
      <c r="B17" s="3">
        <f>'Forecast drivers'!C19</f>
        <v>2022</v>
      </c>
      <c r="C17" s="32" t="str">
        <f>'Forecast drivers'!A19</f>
        <v>NWT22</v>
      </c>
      <c r="D17" s="46">
        <f>EXP('Model coeffs'!$D$16+'Model coeffs'!$D$6*'Forecast drivers'!E19+'Model coeffs'!$D$7*'Forecast drivers'!I19+'Model coeffs'!$D$8*'Forecast drivers'!H19)</f>
        <v>170.30463173933302</v>
      </c>
      <c r="E17" s="46">
        <f>EXP('Model coeffs'!$E$16+'Model coeffs'!$E$6*'Forecast drivers'!E19+'Model coeffs'!$E$7*'Forecast drivers'!I19+'Model coeffs'!$E$9*'Forecast drivers'!M19)</f>
        <v>161.54024409164944</v>
      </c>
      <c r="F17" s="46">
        <f>EXP('Model coeffs'!$F$16+'Model coeffs'!$F$10*'Forecast drivers'!F19+'Model coeffs'!$F$11*'Forecast drivers'!J19+'Model coeffs'!$F$12*'Forecast drivers'!K19)</f>
        <v>198.9993560210176</v>
      </c>
      <c r="G17" s="46">
        <f>EXP('Model coeffs'!$G$16+'Model coeffs'!$G$10*'Forecast drivers'!F19+'Model coeffs'!$G$12*'Forecast drivers'!K19+'Model coeffs'!$G$13*'Forecast drivers'!L19)</f>
        <v>193.03002750976879</v>
      </c>
      <c r="H17" s="47">
        <f>EXP('Model coeffs'!$H$16+'Model coeffs'!$H$9*'Forecast drivers'!M19+'Model coeffs'!$H$11*'Forecast drivers'!J19+'Model coeffs'!$H$14*'Forecast drivers'!G19)</f>
        <v>66.482409487514118</v>
      </c>
      <c r="I17" s="47">
        <f>EXP('Model coeffs'!$I$16+'Model coeffs'!$I$14*'Forecast drivers'!G19+'Model coeffs'!$I$15*'Forecast drivers'!N19)</f>
        <v>67.476130971937721</v>
      </c>
      <c r="J17" s="47">
        <f>EXP('Model coeffs'!$J$16+'Model coeffs'!$J$10*'Forecast drivers'!F19+'Model coeffs'!$J$11*'Forecast drivers'!J19+'Model coeffs'!$J$12*'Forecast drivers'!K19)</f>
        <v>277.63514359997998</v>
      </c>
      <c r="K17" s="47">
        <f>EXP('Model coeffs'!$K$16+'Model coeffs'!$K$10*'Forecast drivers'!F19+'Model coeffs'!$K$12*'Forecast drivers'!K19+'Model coeffs'!$K$13*'Forecast drivers'!L19)</f>
        <v>272.72281532819903</v>
      </c>
      <c r="L17" s="66"/>
      <c r="M17" s="43">
        <f t="shared" si="5"/>
        <v>165.92243791549123</v>
      </c>
      <c r="N17" s="43">
        <f t="shared" si="6"/>
        <v>196.0146917653932</v>
      </c>
      <c r="O17" s="43">
        <f t="shared" si="7"/>
        <v>361.93712968088442</v>
      </c>
      <c r="P17" s="43">
        <f t="shared" si="8"/>
        <v>66.979270229725927</v>
      </c>
      <c r="Q17" s="43">
        <f t="shared" si="9"/>
        <v>275.17897946408948</v>
      </c>
      <c r="R17" s="43">
        <f t="shared" si="10"/>
        <v>79.164287698696285</v>
      </c>
      <c r="S17" s="43">
        <f t="shared" si="11"/>
        <v>73.071778964211106</v>
      </c>
      <c r="T17" s="43">
        <f t="shared" si="12"/>
        <v>428.91639991061038</v>
      </c>
      <c r="U17" s="43">
        <f t="shared" si="13"/>
        <v>441.10141737958071</v>
      </c>
      <c r="V17" s="94">
        <f t="shared" si="2"/>
        <v>435.00890864509552</v>
      </c>
      <c r="X17" s="43">
        <f>(O17*Controls!$G$12)+(P17*Controls!$H$12)</f>
        <v>356.97349939908281</v>
      </c>
      <c r="Y17" s="43">
        <f>(O17*Controls!$G$12)+(R17*Controls!$H$12)</f>
        <v>356.97349939908281</v>
      </c>
      <c r="Z17" s="43">
        <f t="shared" si="14"/>
        <v>356.97349939908281</v>
      </c>
      <c r="AA17" s="160">
        <f>-(INDEX(Controls!$G$14:$G$18,MATCH($B17,Controls!$C$14:$C$18,0),0))*$Z17</f>
        <v>-7.9327008009962867</v>
      </c>
      <c r="AB17" s="94">
        <f t="shared" si="3"/>
        <v>349.04079859808655</v>
      </c>
    </row>
    <row r="18" spans="1:33" ht="12.75" x14ac:dyDescent="0.2">
      <c r="A18" s="3" t="str">
        <f>'Forecast drivers'!B20</f>
        <v>NWT</v>
      </c>
      <c r="B18" s="3">
        <f>'Forecast drivers'!C20</f>
        <v>2023</v>
      </c>
      <c r="C18" s="32" t="str">
        <f>'Forecast drivers'!A20</f>
        <v>NWT23</v>
      </c>
      <c r="D18" s="46">
        <f>EXP('Model coeffs'!$D$16+'Model coeffs'!$D$6*'Forecast drivers'!E20+'Model coeffs'!$D$7*'Forecast drivers'!I20+'Model coeffs'!$D$8*'Forecast drivers'!H20)</f>
        <v>171.17319755321012</v>
      </c>
      <c r="E18" s="46">
        <f>EXP('Model coeffs'!$E$16+'Model coeffs'!$E$6*'Forecast drivers'!E20+'Model coeffs'!$E$7*'Forecast drivers'!I20+'Model coeffs'!$E$9*'Forecast drivers'!M20)</f>
        <v>161.92339196295234</v>
      </c>
      <c r="F18" s="46">
        <f>EXP('Model coeffs'!$F$16+'Model coeffs'!$F$10*'Forecast drivers'!F20+'Model coeffs'!$F$11*'Forecast drivers'!J20+'Model coeffs'!$F$12*'Forecast drivers'!K20)</f>
        <v>199.59493205226502</v>
      </c>
      <c r="G18" s="46">
        <f>EXP('Model coeffs'!$G$16+'Model coeffs'!$G$10*'Forecast drivers'!F20+'Model coeffs'!$G$12*'Forecast drivers'!K20+'Model coeffs'!$G$13*'Forecast drivers'!L20)</f>
        <v>193.60137471592265</v>
      </c>
      <c r="H18" s="47">
        <f>EXP('Model coeffs'!$H$16+'Model coeffs'!$H$9*'Forecast drivers'!M20+'Model coeffs'!$H$11*'Forecast drivers'!J20+'Model coeffs'!$H$14*'Forecast drivers'!G20)</f>
        <v>67.147601711190035</v>
      </c>
      <c r="I18" s="47">
        <f>EXP('Model coeffs'!$I$16+'Model coeffs'!$I$14*'Forecast drivers'!G20+'Model coeffs'!$I$15*'Forecast drivers'!N20)</f>
        <v>68.108391142250881</v>
      </c>
      <c r="J18" s="47">
        <f>EXP('Model coeffs'!$J$16+'Model coeffs'!$J$10*'Forecast drivers'!F20+'Model coeffs'!$J$11*'Forecast drivers'!J20+'Model coeffs'!$J$12*'Forecast drivers'!K20)</f>
        <v>278.45056695728027</v>
      </c>
      <c r="K18" s="47">
        <f>EXP('Model coeffs'!$K$16+'Model coeffs'!$K$10*'Forecast drivers'!F20+'Model coeffs'!$K$12*'Forecast drivers'!K20+'Model coeffs'!$K$13*'Forecast drivers'!L20)</f>
        <v>273.49401795087903</v>
      </c>
      <c r="L18" s="66"/>
      <c r="M18" s="43">
        <f t="shared" si="5"/>
        <v>166.54829475808123</v>
      </c>
      <c r="N18" s="43">
        <f t="shared" si="6"/>
        <v>196.59815338409385</v>
      </c>
      <c r="O18" s="43">
        <f t="shared" si="7"/>
        <v>363.14644814217507</v>
      </c>
      <c r="P18" s="43">
        <f t="shared" si="8"/>
        <v>67.627996426720458</v>
      </c>
      <c r="Q18" s="43">
        <f t="shared" si="9"/>
        <v>275.97229245407965</v>
      </c>
      <c r="R18" s="43">
        <f t="shared" si="10"/>
        <v>79.374139069985802</v>
      </c>
      <c r="S18" s="43">
        <f t="shared" si="11"/>
        <v>73.501067748353137</v>
      </c>
      <c r="T18" s="43">
        <f t="shared" si="12"/>
        <v>430.77444456889555</v>
      </c>
      <c r="U18" s="43">
        <f t="shared" si="13"/>
        <v>442.52058721216088</v>
      </c>
      <c r="V18" s="94">
        <f t="shared" si="2"/>
        <v>436.64751589052821</v>
      </c>
      <c r="X18" s="43">
        <f>(O18*Controls!$G$12)+(P18*Controls!$H$12)</f>
        <v>358.1662331851839</v>
      </c>
      <c r="Y18" s="43">
        <f>(O18*Controls!$G$12)+(R18*Controls!$H$12)</f>
        <v>358.1662331851839</v>
      </c>
      <c r="Z18" s="43">
        <f t="shared" si="14"/>
        <v>358.1662331851839</v>
      </c>
      <c r="AA18" s="160">
        <f>-(INDEX(Controls!$G$14:$G$18,MATCH($B18,Controls!$C$14:$C$18,0),0))*$Z18</f>
        <v>-11.949973135952911</v>
      </c>
      <c r="AB18" s="94">
        <f t="shared" si="3"/>
        <v>346.21626004923098</v>
      </c>
    </row>
    <row r="19" spans="1:33" ht="12.75" x14ac:dyDescent="0.2">
      <c r="A19" s="3" t="str">
        <f>'Forecast drivers'!B21</f>
        <v>NWT</v>
      </c>
      <c r="B19" s="3">
        <f>'Forecast drivers'!C21</f>
        <v>2024</v>
      </c>
      <c r="C19" s="32" t="str">
        <f>'Forecast drivers'!A21</f>
        <v>NWT24</v>
      </c>
      <c r="D19" s="46">
        <f>EXP('Model coeffs'!$D$16+'Model coeffs'!$D$6*'Forecast drivers'!E21+'Model coeffs'!$D$7*'Forecast drivers'!I21+'Model coeffs'!$D$8*'Forecast drivers'!H21)</f>
        <v>171.95852883005111</v>
      </c>
      <c r="E19" s="46">
        <f>EXP('Model coeffs'!$E$16+'Model coeffs'!$E$6*'Forecast drivers'!E21+'Model coeffs'!$E$7*'Forecast drivers'!I21+'Model coeffs'!$E$9*'Forecast drivers'!M21)</f>
        <v>162.29653079967241</v>
      </c>
      <c r="F19" s="46">
        <f>EXP('Model coeffs'!$F$16+'Model coeffs'!$F$10*'Forecast drivers'!F21+'Model coeffs'!$F$11*'Forecast drivers'!J21+'Model coeffs'!$F$12*'Forecast drivers'!K21)</f>
        <v>199.95745654250584</v>
      </c>
      <c r="G19" s="46">
        <f>EXP('Model coeffs'!$G$16+'Model coeffs'!$G$10*'Forecast drivers'!F21+'Model coeffs'!$G$12*'Forecast drivers'!K21+'Model coeffs'!$G$13*'Forecast drivers'!L21)</f>
        <v>193.94914204355962</v>
      </c>
      <c r="H19" s="47">
        <f>EXP('Model coeffs'!$H$16+'Model coeffs'!$H$9*'Forecast drivers'!M21+'Model coeffs'!$H$11*'Forecast drivers'!J21+'Model coeffs'!$H$14*'Forecast drivers'!G21)</f>
        <v>68.109056830205844</v>
      </c>
      <c r="I19" s="47">
        <f>EXP('Model coeffs'!$I$16+'Model coeffs'!$I$14*'Forecast drivers'!G21+'Model coeffs'!$I$15*'Forecast drivers'!N21)</f>
        <v>69.037039647760622</v>
      </c>
      <c r="J19" s="47">
        <f>EXP('Model coeffs'!$J$16+'Model coeffs'!$J$10*'Forecast drivers'!F21+'Model coeffs'!$J$11*'Forecast drivers'!J21+'Model coeffs'!$J$12*'Forecast drivers'!K21)</f>
        <v>278.94688934526198</v>
      </c>
      <c r="K19" s="47">
        <f>EXP('Model coeffs'!$K$16+'Model coeffs'!$K$10*'Forecast drivers'!F21+'Model coeffs'!$K$12*'Forecast drivers'!K21+'Model coeffs'!$K$13*'Forecast drivers'!L21)</f>
        <v>273.96338349629769</v>
      </c>
      <c r="L19" s="66"/>
      <c r="M19" s="43">
        <f t="shared" si="5"/>
        <v>167.12752981486176</v>
      </c>
      <c r="N19" s="43">
        <f t="shared" si="6"/>
        <v>196.95329929303273</v>
      </c>
      <c r="O19" s="43">
        <f t="shared" si="7"/>
        <v>364.08082910789449</v>
      </c>
      <c r="P19" s="43">
        <f t="shared" si="8"/>
        <v>68.573048238983233</v>
      </c>
      <c r="Q19" s="43">
        <f t="shared" si="9"/>
        <v>276.45513642077981</v>
      </c>
      <c r="R19" s="43">
        <f t="shared" si="10"/>
        <v>79.501837127747081</v>
      </c>
      <c r="S19" s="43">
        <f t="shared" si="11"/>
        <v>74.037442683365157</v>
      </c>
      <c r="T19" s="43">
        <f t="shared" si="12"/>
        <v>432.65387734687772</v>
      </c>
      <c r="U19" s="43">
        <f t="shared" si="13"/>
        <v>443.58266623564157</v>
      </c>
      <c r="V19" s="94">
        <f t="shared" si="2"/>
        <v>438.11827179125964</v>
      </c>
      <c r="X19" s="43">
        <f>(O19*Controls!$G$12)+(P19*Controls!$H$12)</f>
        <v>359.08779998712777</v>
      </c>
      <c r="Y19" s="43">
        <f>(O19*Controls!$G$12)+(R19*Controls!$H$12)</f>
        <v>359.08779998712777</v>
      </c>
      <c r="Z19" s="43">
        <f t="shared" si="14"/>
        <v>359.08779998712777</v>
      </c>
      <c r="AA19" s="160">
        <f>-(INDEX(Controls!$G$14:$G$18,MATCH($B19,Controls!$C$14:$C$18,0),0))*$Z19</f>
        <v>-15.87694005247717</v>
      </c>
      <c r="AB19" s="94">
        <f t="shared" si="3"/>
        <v>343.21085993465061</v>
      </c>
      <c r="AE19" s="78" t="s">
        <v>130</v>
      </c>
      <c r="AF19" s="79"/>
      <c r="AG19" s="80">
        <f>PERCENTILE($AG$6:$AG$15,0.25)</f>
        <v>1.0118700143617623</v>
      </c>
    </row>
    <row r="20" spans="1:33" ht="12.75" x14ac:dyDescent="0.2">
      <c r="A20" s="3" t="str">
        <f>'Forecast drivers'!B22</f>
        <v>NWT</v>
      </c>
      <c r="B20" s="3">
        <f>'Forecast drivers'!C22</f>
        <v>2025</v>
      </c>
      <c r="C20" s="32" t="str">
        <f>'Forecast drivers'!A22</f>
        <v>NWT25</v>
      </c>
      <c r="D20" s="46">
        <f>EXP('Model coeffs'!$D$16+'Model coeffs'!$D$6*'Forecast drivers'!E22+'Model coeffs'!$D$7*'Forecast drivers'!I22+'Model coeffs'!$D$8*'Forecast drivers'!H22)</f>
        <v>172.72506680141927</v>
      </c>
      <c r="E20" s="46">
        <f>EXP('Model coeffs'!$E$16+'Model coeffs'!$E$6*'Forecast drivers'!E22+'Model coeffs'!$E$7*'Forecast drivers'!I22+'Model coeffs'!$E$9*'Forecast drivers'!M22)</f>
        <v>162.67380448545953</v>
      </c>
      <c r="F20" s="46">
        <f>EXP('Model coeffs'!$F$16+'Model coeffs'!$F$10*'Forecast drivers'!F22+'Model coeffs'!$F$11*'Forecast drivers'!J22+'Model coeffs'!$F$12*'Forecast drivers'!K22)</f>
        <v>200.35271410492501</v>
      </c>
      <c r="G20" s="46">
        <f>EXP('Model coeffs'!$G$16+'Model coeffs'!$G$10*'Forecast drivers'!F22+'Model coeffs'!$G$12*'Forecast drivers'!K22+'Model coeffs'!$G$13*'Forecast drivers'!L22)</f>
        <v>194.32830208744133</v>
      </c>
      <c r="H20" s="47">
        <f>EXP('Model coeffs'!$H$16+'Model coeffs'!$H$9*'Forecast drivers'!M22+'Model coeffs'!$H$11*'Forecast drivers'!J22+'Model coeffs'!$H$14*'Forecast drivers'!G22)</f>
        <v>69.399247795723539</v>
      </c>
      <c r="I20" s="47">
        <f>EXP('Model coeffs'!$I$16+'Model coeffs'!$I$14*'Forecast drivers'!G22+'Model coeffs'!$I$15*'Forecast drivers'!N22)</f>
        <v>70.293701404461274</v>
      </c>
      <c r="J20" s="47">
        <f>EXP('Model coeffs'!$J$16+'Model coeffs'!$J$10*'Forecast drivers'!F22+'Model coeffs'!$J$11*'Forecast drivers'!J22+'Model coeffs'!$J$12*'Forecast drivers'!K22)</f>
        <v>279.48800659358534</v>
      </c>
      <c r="K20" s="47">
        <f>EXP('Model coeffs'!$K$16+'Model coeffs'!$K$10*'Forecast drivers'!F22+'Model coeffs'!$K$12*'Forecast drivers'!K22+'Model coeffs'!$K$13*'Forecast drivers'!L22)</f>
        <v>274.47507560975532</v>
      </c>
      <c r="L20" s="66"/>
      <c r="M20" s="43">
        <f t="shared" si="5"/>
        <v>167.69943564343941</v>
      </c>
      <c r="N20" s="43">
        <f t="shared" si="6"/>
        <v>197.34050809618316</v>
      </c>
      <c r="O20" s="43">
        <f t="shared" si="7"/>
        <v>365.03994373962257</v>
      </c>
      <c r="P20" s="43">
        <f t="shared" si="8"/>
        <v>69.846474600092407</v>
      </c>
      <c r="Q20" s="43">
        <f t="shared" si="9"/>
        <v>276.98154110167036</v>
      </c>
      <c r="R20" s="43">
        <f t="shared" si="10"/>
        <v>79.641033005487202</v>
      </c>
      <c r="S20" s="43">
        <f t="shared" si="11"/>
        <v>74.743753802789797</v>
      </c>
      <c r="T20" s="43">
        <f t="shared" si="12"/>
        <v>434.88641833971496</v>
      </c>
      <c r="U20" s="43">
        <f t="shared" si="13"/>
        <v>444.68097674510977</v>
      </c>
      <c r="V20" s="94">
        <f t="shared" si="2"/>
        <v>439.78369754241237</v>
      </c>
      <c r="X20" s="43">
        <f>(O20*Controls!$G$12)+(P20*Controls!$H$12)</f>
        <v>360.03376125591143</v>
      </c>
      <c r="Y20" s="43">
        <f>(O20*Controls!$G$12)+(R20*Controls!$H$12)</f>
        <v>360.03376125591143</v>
      </c>
      <c r="Z20" s="43">
        <f t="shared" si="14"/>
        <v>360.03376125591143</v>
      </c>
      <c r="AA20" s="160">
        <f>-(INDEX(Controls!$G$14:$G$18,MATCH($B20,Controls!$C$14:$C$18,0),0))*$Z20</f>
        <v>-19.715885914529249</v>
      </c>
      <c r="AB20" s="94">
        <f t="shared" si="3"/>
        <v>340.31787534138221</v>
      </c>
    </row>
    <row r="21" spans="1:33" ht="12.75" x14ac:dyDescent="0.2">
      <c r="A21" s="3" t="str">
        <f>'Forecast drivers'!B23</f>
        <v>SRN</v>
      </c>
      <c r="B21" s="3">
        <f>'Forecast drivers'!C23</f>
        <v>2021</v>
      </c>
      <c r="C21" s="32" t="str">
        <f>'Forecast drivers'!A23</f>
        <v>SRN21</v>
      </c>
      <c r="D21" s="46">
        <f>EXP('Model coeffs'!$D$16+'Model coeffs'!$D$6*'Forecast drivers'!E23+'Model coeffs'!$D$7*'Forecast drivers'!I23+'Model coeffs'!$D$8*'Forecast drivers'!H23)</f>
        <v>159.2489890254075</v>
      </c>
      <c r="E21" s="46">
        <f>EXP('Model coeffs'!$E$16+'Model coeffs'!$E$6*'Forecast drivers'!E23+'Model coeffs'!$E$7*'Forecast drivers'!I23+'Model coeffs'!$E$9*'Forecast drivers'!M23)</f>
        <v>163.30776642074679</v>
      </c>
      <c r="F21" s="46">
        <f>EXP('Model coeffs'!$F$16+'Model coeffs'!$F$10*'Forecast drivers'!F23+'Model coeffs'!$F$11*'Forecast drivers'!J23+'Model coeffs'!$F$12*'Forecast drivers'!K23)</f>
        <v>115.38937997743568</v>
      </c>
      <c r="G21" s="46">
        <f>EXP('Model coeffs'!$G$16+'Model coeffs'!$G$10*'Forecast drivers'!F23+'Model coeffs'!$G$12*'Forecast drivers'!K23+'Model coeffs'!$G$13*'Forecast drivers'!L23)</f>
        <v>116.16052250851712</v>
      </c>
      <c r="H21" s="47">
        <f>EXP('Model coeffs'!$H$16+'Model coeffs'!$H$9*'Forecast drivers'!M23+'Model coeffs'!$H$11*'Forecast drivers'!J23+'Model coeffs'!$H$14*'Forecast drivers'!G23)</f>
        <v>42.291073519911315</v>
      </c>
      <c r="I21" s="47">
        <f>EXP('Model coeffs'!$I$16+'Model coeffs'!$I$14*'Forecast drivers'!G23+'Model coeffs'!$I$15*'Forecast drivers'!N23)</f>
        <v>40.178837282560785</v>
      </c>
      <c r="J21" s="47">
        <f>EXP('Model coeffs'!$J$16+'Model coeffs'!$J$10*'Forecast drivers'!F23+'Model coeffs'!$J$11*'Forecast drivers'!J23+'Model coeffs'!$J$12*'Forecast drivers'!K23)</f>
        <v>155.158845865866</v>
      </c>
      <c r="K21" s="47">
        <f>EXP('Model coeffs'!$K$16+'Model coeffs'!$K$10*'Forecast drivers'!F23+'Model coeffs'!$K$12*'Forecast drivers'!K23+'Model coeffs'!$K$13*'Forecast drivers'!L23)</f>
        <v>157.41470615722861</v>
      </c>
      <c r="L21" s="66"/>
      <c r="M21" s="43">
        <f t="shared" si="5"/>
        <v>161.27837772307714</v>
      </c>
      <c r="N21" s="43">
        <f t="shared" si="6"/>
        <v>115.7749512429764</v>
      </c>
      <c r="O21" s="43">
        <f t="shared" si="7"/>
        <v>277.05332896605353</v>
      </c>
      <c r="P21" s="43">
        <f t="shared" si="8"/>
        <v>41.23495540123605</v>
      </c>
      <c r="Q21" s="43">
        <f t="shared" si="9"/>
        <v>156.28677601154732</v>
      </c>
      <c r="R21" s="43">
        <f t="shared" si="10"/>
        <v>40.511824768570918</v>
      </c>
      <c r="S21" s="43">
        <f t="shared" si="11"/>
        <v>40.873390084903484</v>
      </c>
      <c r="T21" s="43">
        <f t="shared" si="12"/>
        <v>318.28828436728958</v>
      </c>
      <c r="U21" s="43">
        <f t="shared" si="13"/>
        <v>317.56515373462446</v>
      </c>
      <c r="V21" s="94">
        <f t="shared" si="2"/>
        <v>317.92671905095699</v>
      </c>
      <c r="X21" s="43">
        <f>(O21*Controls!$G$12)+(P21*Controls!$H$12)</f>
        <v>273.25380086971722</v>
      </c>
      <c r="Y21" s="43">
        <f>(O21*Controls!$G$12)+(R21*Controls!$H$12)</f>
        <v>273.25380086971722</v>
      </c>
      <c r="Z21" s="43">
        <f t="shared" si="14"/>
        <v>273.25380086971722</v>
      </c>
      <c r="AA21" s="160">
        <f>-(INDEX(Controls!$G$14:$G$18,MATCH($B21,Controls!$C$14:$C$18,0),0))*$Z21</f>
        <v>-3.0057918095668894</v>
      </c>
      <c r="AB21" s="94">
        <f t="shared" si="3"/>
        <v>270.24800906015031</v>
      </c>
    </row>
    <row r="22" spans="1:33" ht="12.75" x14ac:dyDescent="0.2">
      <c r="A22" s="3" t="str">
        <f>'Forecast drivers'!B24</f>
        <v>SRN</v>
      </c>
      <c r="B22" s="3">
        <f>'Forecast drivers'!C24</f>
        <v>2022</v>
      </c>
      <c r="C22" s="32" t="str">
        <f>'Forecast drivers'!A24</f>
        <v>SRN22</v>
      </c>
      <c r="D22" s="46">
        <f>EXP('Model coeffs'!$D$16+'Model coeffs'!$D$6*'Forecast drivers'!E24+'Model coeffs'!$D$7*'Forecast drivers'!I24+'Model coeffs'!$D$8*'Forecast drivers'!H24)</f>
        <v>160.66355870627027</v>
      </c>
      <c r="E22" s="46">
        <f>EXP('Model coeffs'!$E$16+'Model coeffs'!$E$6*'Forecast drivers'!E24+'Model coeffs'!$E$7*'Forecast drivers'!I24+'Model coeffs'!$E$9*'Forecast drivers'!M24)</f>
        <v>155.80218721327569</v>
      </c>
      <c r="F22" s="46">
        <f>EXP('Model coeffs'!$F$16+'Model coeffs'!$F$10*'Forecast drivers'!F24+'Model coeffs'!$F$11*'Forecast drivers'!J24+'Model coeffs'!$F$12*'Forecast drivers'!K24)</f>
        <v>116.20801664500097</v>
      </c>
      <c r="G22" s="46">
        <f>EXP('Model coeffs'!$G$16+'Model coeffs'!$G$10*'Forecast drivers'!F24+'Model coeffs'!$G$12*'Forecast drivers'!K24+'Model coeffs'!$G$13*'Forecast drivers'!L24)</f>
        <v>116.97553420604298</v>
      </c>
      <c r="H22" s="47">
        <f>EXP('Model coeffs'!$H$16+'Model coeffs'!$H$9*'Forecast drivers'!M24+'Model coeffs'!$H$11*'Forecast drivers'!J24+'Model coeffs'!$H$14*'Forecast drivers'!G24)</f>
        <v>45.420132571446722</v>
      </c>
      <c r="I22" s="47">
        <f>EXP('Model coeffs'!$I$16+'Model coeffs'!$I$14*'Forecast drivers'!G24+'Model coeffs'!$I$15*'Forecast drivers'!N24)</f>
        <v>40.498856733897718</v>
      </c>
      <c r="J22" s="47">
        <f>EXP('Model coeffs'!$J$16+'Model coeffs'!$J$10*'Forecast drivers'!F24+'Model coeffs'!$J$11*'Forecast drivers'!J24+'Model coeffs'!$J$12*'Forecast drivers'!K24)</f>
        <v>156.23905670151257</v>
      </c>
      <c r="K22" s="47">
        <f>EXP('Model coeffs'!$K$16+'Model coeffs'!$K$10*'Forecast drivers'!F24+'Model coeffs'!$K$12*'Forecast drivers'!K24+'Model coeffs'!$K$13*'Forecast drivers'!L24)</f>
        <v>158.469780968675</v>
      </c>
      <c r="L22" s="66"/>
      <c r="M22" s="43">
        <f t="shared" si="5"/>
        <v>158.23287295977298</v>
      </c>
      <c r="N22" s="43">
        <f t="shared" si="6"/>
        <v>116.59177542552197</v>
      </c>
      <c r="O22" s="43">
        <f t="shared" si="7"/>
        <v>274.82464838529495</v>
      </c>
      <c r="P22" s="43">
        <f t="shared" si="8"/>
        <v>42.95949465267222</v>
      </c>
      <c r="Q22" s="43">
        <f t="shared" si="9"/>
        <v>157.35441883509378</v>
      </c>
      <c r="R22" s="43">
        <f t="shared" si="10"/>
        <v>40.762643409571808</v>
      </c>
      <c r="S22" s="43">
        <f t="shared" si="11"/>
        <v>41.861069031122014</v>
      </c>
      <c r="T22" s="43">
        <f t="shared" si="12"/>
        <v>317.78414303796717</v>
      </c>
      <c r="U22" s="43">
        <f t="shared" si="13"/>
        <v>315.58729179486676</v>
      </c>
      <c r="V22" s="94">
        <f t="shared" si="2"/>
        <v>316.68571741641699</v>
      </c>
      <c r="X22" s="43">
        <f>(O22*Controls!$G$12)+(P22*Controls!$H$12)</f>
        <v>271.0556845652153</v>
      </c>
      <c r="Y22" s="43">
        <f>(O22*Controls!$G$12)+(R22*Controls!$H$12)</f>
        <v>271.0556845652153</v>
      </c>
      <c r="Z22" s="43">
        <f t="shared" si="14"/>
        <v>271.0556845652153</v>
      </c>
      <c r="AA22" s="160">
        <f>-(INDEX(Controls!$G$14:$G$18,MATCH($B22,Controls!$C$14:$C$18,0),0))*$Z22</f>
        <v>-6.0234265279766168</v>
      </c>
      <c r="AB22" s="94">
        <f t="shared" si="3"/>
        <v>265.03225803723871</v>
      </c>
    </row>
    <row r="23" spans="1:33" ht="12.75" x14ac:dyDescent="0.2">
      <c r="A23" s="3" t="str">
        <f>'Forecast drivers'!B25</f>
        <v>SRN</v>
      </c>
      <c r="B23" s="3">
        <f>'Forecast drivers'!C25</f>
        <v>2023</v>
      </c>
      <c r="C23" s="32" t="str">
        <f>'Forecast drivers'!A25</f>
        <v>SRN23</v>
      </c>
      <c r="D23" s="46">
        <f>EXP('Model coeffs'!$D$16+'Model coeffs'!$D$6*'Forecast drivers'!E25+'Model coeffs'!$D$7*'Forecast drivers'!I25+'Model coeffs'!$D$8*'Forecast drivers'!H25)</f>
        <v>162.32477739238016</v>
      </c>
      <c r="E23" s="46">
        <f>EXP('Model coeffs'!$E$16+'Model coeffs'!$E$6*'Forecast drivers'!E25+'Model coeffs'!$E$7*'Forecast drivers'!I25+'Model coeffs'!$E$9*'Forecast drivers'!M25)</f>
        <v>147.013733340969</v>
      </c>
      <c r="F23" s="46">
        <f>EXP('Model coeffs'!$F$16+'Model coeffs'!$F$10*'Forecast drivers'!F25+'Model coeffs'!$F$11*'Forecast drivers'!J25+'Model coeffs'!$F$12*'Forecast drivers'!K25)</f>
        <v>117.03068333402722</v>
      </c>
      <c r="G23" s="46">
        <f>EXP('Model coeffs'!$G$16+'Model coeffs'!$G$10*'Forecast drivers'!F25+'Model coeffs'!$G$12*'Forecast drivers'!K25+'Model coeffs'!$G$13*'Forecast drivers'!L25)</f>
        <v>117.79449446702101</v>
      </c>
      <c r="H23" s="47">
        <f>EXP('Model coeffs'!$H$16+'Model coeffs'!$H$9*'Forecast drivers'!M25+'Model coeffs'!$H$11*'Forecast drivers'!J25+'Model coeffs'!$H$14*'Forecast drivers'!G25)</f>
        <v>49.326310377681864</v>
      </c>
      <c r="I23" s="47">
        <f>EXP('Model coeffs'!$I$16+'Model coeffs'!$I$14*'Forecast drivers'!G25+'Model coeffs'!$I$15*'Forecast drivers'!N25)</f>
        <v>40.722887742430075</v>
      </c>
      <c r="J23" s="47">
        <f>EXP('Model coeffs'!$J$16+'Model coeffs'!$J$10*'Forecast drivers'!F25+'Model coeffs'!$J$11*'Forecast drivers'!J25+'Model coeffs'!$J$12*'Forecast drivers'!K25)</f>
        <v>157.32444248455502</v>
      </c>
      <c r="K23" s="47">
        <f>EXP('Model coeffs'!$K$16+'Model coeffs'!$K$10*'Forecast drivers'!F25+'Model coeffs'!$K$12*'Forecast drivers'!K25+'Model coeffs'!$K$13*'Forecast drivers'!L25)</f>
        <v>159.52963745396818</v>
      </c>
      <c r="L23" s="66"/>
      <c r="M23" s="43">
        <f t="shared" si="5"/>
        <v>154.66925536667458</v>
      </c>
      <c r="N23" s="43">
        <f t="shared" si="6"/>
        <v>117.41258890052411</v>
      </c>
      <c r="O23" s="43">
        <f t="shared" si="7"/>
        <v>272.08184426719868</v>
      </c>
      <c r="P23" s="43">
        <f t="shared" si="8"/>
        <v>45.024599060055969</v>
      </c>
      <c r="Q23" s="43">
        <f t="shared" si="9"/>
        <v>158.42703996926161</v>
      </c>
      <c r="R23" s="43">
        <f t="shared" si="10"/>
        <v>41.0144510687375</v>
      </c>
      <c r="S23" s="43">
        <f t="shared" si="11"/>
        <v>43.019525064396731</v>
      </c>
      <c r="T23" s="43">
        <f t="shared" si="12"/>
        <v>317.10644332725462</v>
      </c>
      <c r="U23" s="43">
        <f t="shared" si="13"/>
        <v>313.09629533593619</v>
      </c>
      <c r="V23" s="94">
        <f t="shared" si="2"/>
        <v>315.10136933159538</v>
      </c>
      <c r="X23" s="43">
        <f>(O23*Controls!$G$12)+(P23*Controls!$H$12)</f>
        <v>268.35049544834766</v>
      </c>
      <c r="Y23" s="43">
        <f>(O23*Controls!$G$12)+(R23*Controls!$H$12)</f>
        <v>268.35049544834766</v>
      </c>
      <c r="Z23" s="43">
        <f t="shared" si="14"/>
        <v>268.35049544834766</v>
      </c>
      <c r="AA23" s="160">
        <f>-(INDEX(Controls!$G$14:$G$18,MATCH($B23,Controls!$C$14:$C$18,0),0))*$Z23</f>
        <v>-8.9533320411290571</v>
      </c>
      <c r="AB23" s="94">
        <f t="shared" si="3"/>
        <v>259.39716340721861</v>
      </c>
    </row>
    <row r="24" spans="1:33" ht="12.75" x14ac:dyDescent="0.2">
      <c r="A24" s="3" t="str">
        <f>'Forecast drivers'!B26</f>
        <v>SRN</v>
      </c>
      <c r="B24" s="3">
        <f>'Forecast drivers'!C26</f>
        <v>2024</v>
      </c>
      <c r="C24" s="32" t="str">
        <f>'Forecast drivers'!A26</f>
        <v>SRN24</v>
      </c>
      <c r="D24" s="46">
        <f>EXP('Model coeffs'!$D$16+'Model coeffs'!$D$6*'Forecast drivers'!E26+'Model coeffs'!$D$7*'Forecast drivers'!I26+'Model coeffs'!$D$8*'Forecast drivers'!H26)</f>
        <v>163.96689992209042</v>
      </c>
      <c r="E24" s="46">
        <f>EXP('Model coeffs'!$E$16+'Model coeffs'!$E$6*'Forecast drivers'!E26+'Model coeffs'!$E$7*'Forecast drivers'!I26+'Model coeffs'!$E$9*'Forecast drivers'!M26)</f>
        <v>165.01485600175306</v>
      </c>
      <c r="F24" s="46">
        <f>EXP('Model coeffs'!$F$16+'Model coeffs'!$F$10*'Forecast drivers'!F26+'Model coeffs'!$F$11*'Forecast drivers'!J26+'Model coeffs'!$F$12*'Forecast drivers'!K26)</f>
        <v>117.84387745968458</v>
      </c>
      <c r="G24" s="46">
        <f>EXP('Model coeffs'!$G$16+'Model coeffs'!$G$10*'Forecast drivers'!F26+'Model coeffs'!$G$12*'Forecast drivers'!K26+'Model coeffs'!$G$13*'Forecast drivers'!L26)</f>
        <v>118.60396261325208</v>
      </c>
      <c r="H24" s="47">
        <f>EXP('Model coeffs'!$H$16+'Model coeffs'!$H$9*'Forecast drivers'!M26+'Model coeffs'!$H$11*'Forecast drivers'!J26+'Model coeffs'!$H$14*'Forecast drivers'!G26)</f>
        <v>43.48283024528903</v>
      </c>
      <c r="I24" s="47">
        <f>EXP('Model coeffs'!$I$16+'Model coeffs'!$I$14*'Forecast drivers'!G26+'Model coeffs'!$I$15*'Forecast drivers'!N26)</f>
        <v>41.063958595790076</v>
      </c>
      <c r="J24" s="47">
        <f>EXP('Model coeffs'!$J$16+'Model coeffs'!$J$10*'Forecast drivers'!F26+'Model coeffs'!$J$11*'Forecast drivers'!J26+'Model coeffs'!$J$12*'Forecast drivers'!K26)</f>
        <v>158.39719098573804</v>
      </c>
      <c r="K24" s="47">
        <f>EXP('Model coeffs'!$K$16+'Model coeffs'!$K$10*'Forecast drivers'!F26+'Model coeffs'!$K$12*'Forecast drivers'!K26+'Model coeffs'!$K$13*'Forecast drivers'!L26)</f>
        <v>160.57688706182191</v>
      </c>
      <c r="L24" s="66"/>
      <c r="M24" s="43">
        <f t="shared" si="5"/>
        <v>164.49087796192174</v>
      </c>
      <c r="N24" s="43">
        <f t="shared" si="6"/>
        <v>118.22392003646833</v>
      </c>
      <c r="O24" s="43">
        <f t="shared" si="7"/>
        <v>282.71479799839005</v>
      </c>
      <c r="P24" s="43">
        <f t="shared" si="8"/>
        <v>42.273394420539553</v>
      </c>
      <c r="Q24" s="43">
        <f t="shared" si="9"/>
        <v>159.48703902377997</v>
      </c>
      <c r="R24" s="43">
        <f t="shared" si="10"/>
        <v>41.263118987311643</v>
      </c>
      <c r="S24" s="43">
        <f t="shared" si="11"/>
        <v>41.768256703925601</v>
      </c>
      <c r="T24" s="43">
        <f t="shared" si="12"/>
        <v>324.9881924189296</v>
      </c>
      <c r="U24" s="43">
        <f t="shared" si="13"/>
        <v>323.97791698570171</v>
      </c>
      <c r="V24" s="94">
        <f t="shared" si="2"/>
        <v>324.48305470231566</v>
      </c>
      <c r="X24" s="43">
        <f>(O24*Controls!$G$12)+(P24*Controls!$H$12)</f>
        <v>278.83762813274103</v>
      </c>
      <c r="Y24" s="43">
        <f>(O24*Controls!$G$12)+(R24*Controls!$H$12)</f>
        <v>278.83762813274103</v>
      </c>
      <c r="Z24" s="43">
        <f t="shared" si="14"/>
        <v>278.83762813274103</v>
      </c>
      <c r="AA24" s="160">
        <f>-(INDEX(Controls!$G$14:$G$18,MATCH($B24,Controls!$C$14:$C$18,0),0))*$Z24</f>
        <v>-12.328707091683841</v>
      </c>
      <c r="AB24" s="94">
        <f t="shared" si="3"/>
        <v>266.50892104105719</v>
      </c>
    </row>
    <row r="25" spans="1:33" ht="12.75" x14ac:dyDescent="0.2">
      <c r="A25" s="3" t="str">
        <f>'Forecast drivers'!B27</f>
        <v>SRN</v>
      </c>
      <c r="B25" s="3">
        <f>'Forecast drivers'!C27</f>
        <v>2025</v>
      </c>
      <c r="C25" s="32" t="str">
        <f>'Forecast drivers'!A27</f>
        <v>SRN25</v>
      </c>
      <c r="D25" s="46">
        <f>EXP('Model coeffs'!$D$16+'Model coeffs'!$D$6*'Forecast drivers'!E27+'Model coeffs'!$D$7*'Forecast drivers'!I27+'Model coeffs'!$D$8*'Forecast drivers'!H27)</f>
        <v>165.61866674251797</v>
      </c>
      <c r="E25" s="46">
        <f>EXP('Model coeffs'!$E$16+'Model coeffs'!$E$6*'Forecast drivers'!E27+'Model coeffs'!$E$7*'Forecast drivers'!I27+'Model coeffs'!$E$9*'Forecast drivers'!M27)</f>
        <v>165.59739495898899</v>
      </c>
      <c r="F25" s="46">
        <f>EXP('Model coeffs'!$F$16+'Model coeffs'!$F$10*'Forecast drivers'!F27+'Model coeffs'!$F$11*'Forecast drivers'!J27+'Model coeffs'!$F$12*'Forecast drivers'!K27)</f>
        <v>118.61770890198504</v>
      </c>
      <c r="G25" s="46">
        <f>EXP('Model coeffs'!$G$16+'Model coeffs'!$G$10*'Forecast drivers'!F27+'Model coeffs'!$G$12*'Forecast drivers'!K27+'Model coeffs'!$G$13*'Forecast drivers'!L27)</f>
        <v>119.37419137928966</v>
      </c>
      <c r="H25" s="47">
        <f>EXP('Model coeffs'!$H$16+'Model coeffs'!$H$9*'Forecast drivers'!M27+'Model coeffs'!$H$11*'Forecast drivers'!J27+'Model coeffs'!$H$14*'Forecast drivers'!G27)</f>
        <v>44.013915529049726</v>
      </c>
      <c r="I25" s="47">
        <f>EXP('Model coeffs'!$I$16+'Model coeffs'!$I$14*'Forecast drivers'!G27+'Model coeffs'!$I$15*'Forecast drivers'!N27)</f>
        <v>41.331616312130294</v>
      </c>
      <c r="J25" s="47">
        <f>EXP('Model coeffs'!$J$16+'Model coeffs'!$J$10*'Forecast drivers'!F27+'Model coeffs'!$J$11*'Forecast drivers'!J27+'Model coeffs'!$J$12*'Forecast drivers'!K27)</f>
        <v>159.4178850394556</v>
      </c>
      <c r="K25" s="47">
        <f>EXP('Model coeffs'!$K$16+'Model coeffs'!$K$10*'Forecast drivers'!F27+'Model coeffs'!$K$12*'Forecast drivers'!K27+'Model coeffs'!$K$13*'Forecast drivers'!L27)</f>
        <v>161.57307497099433</v>
      </c>
      <c r="L25" s="66"/>
      <c r="M25" s="43">
        <f t="shared" si="5"/>
        <v>165.60803085075349</v>
      </c>
      <c r="N25" s="43">
        <f t="shared" si="6"/>
        <v>118.99595014063735</v>
      </c>
      <c r="O25" s="43">
        <f t="shared" si="7"/>
        <v>284.60398099139081</v>
      </c>
      <c r="P25" s="43">
        <f t="shared" si="8"/>
        <v>42.67276592059001</v>
      </c>
      <c r="Q25" s="43">
        <f t="shared" si="9"/>
        <v>160.49548000522498</v>
      </c>
      <c r="R25" s="43">
        <f t="shared" si="10"/>
        <v>41.499529864587629</v>
      </c>
      <c r="S25" s="43">
        <f t="shared" si="11"/>
        <v>42.086147892588819</v>
      </c>
      <c r="T25" s="43">
        <f t="shared" si="12"/>
        <v>327.27674691198081</v>
      </c>
      <c r="U25" s="43">
        <f t="shared" si="13"/>
        <v>326.10351085597847</v>
      </c>
      <c r="V25" s="94">
        <f t="shared" si="2"/>
        <v>326.69012888397964</v>
      </c>
      <c r="X25" s="43">
        <f>(O25*Controls!$G$12)+(P25*Controls!$H$12)</f>
        <v>280.70090274237094</v>
      </c>
      <c r="Y25" s="43">
        <f>(O25*Controls!$G$12)+(R25*Controls!$H$12)</f>
        <v>280.70090274237094</v>
      </c>
      <c r="Z25" s="43">
        <f t="shared" si="14"/>
        <v>280.70090274237094</v>
      </c>
      <c r="AA25" s="160">
        <f>-(INDEX(Controls!$G$14:$G$18,MATCH($B25,Controls!$C$14:$C$18,0),0))*$Z25</f>
        <v>-15.371522257436874</v>
      </c>
      <c r="AB25" s="94">
        <f t="shared" si="3"/>
        <v>265.32938048493406</v>
      </c>
    </row>
    <row r="26" spans="1:33" ht="12.75" x14ac:dyDescent="0.2">
      <c r="A26" s="3" t="str">
        <f>'Forecast drivers'!B28</f>
        <v>SWB</v>
      </c>
      <c r="B26" s="3">
        <f>'Forecast drivers'!C28</f>
        <v>2021</v>
      </c>
      <c r="C26" s="32" t="str">
        <f>'Forecast drivers'!A28</f>
        <v>SWB21</v>
      </c>
      <c r="D26" s="46">
        <f>EXP('Model coeffs'!$D$16+'Model coeffs'!$D$6*'Forecast drivers'!E28+'Model coeffs'!$D$7*'Forecast drivers'!I28+'Model coeffs'!$D$8*'Forecast drivers'!H28)</f>
        <v>62.657328226742976</v>
      </c>
      <c r="E26" s="46">
        <f>EXP('Model coeffs'!$E$16+'Model coeffs'!$E$6*'Forecast drivers'!E28+'Model coeffs'!$E$7*'Forecast drivers'!I28+'Model coeffs'!$E$9*'Forecast drivers'!M28)</f>
        <v>60.701906967834709</v>
      </c>
      <c r="F26" s="46">
        <f>EXP('Model coeffs'!$F$16+'Model coeffs'!$F$10*'Forecast drivers'!F28+'Model coeffs'!$F$11*'Forecast drivers'!J28+'Model coeffs'!$F$12*'Forecast drivers'!K28)</f>
        <v>70.330208346727176</v>
      </c>
      <c r="G26" s="46">
        <f>EXP('Model coeffs'!$G$16+'Model coeffs'!$G$10*'Forecast drivers'!F28+'Model coeffs'!$G$12*'Forecast drivers'!K28+'Model coeffs'!$G$13*'Forecast drivers'!L28)</f>
        <v>66.053803158285959</v>
      </c>
      <c r="H26" s="47">
        <f>EXP('Model coeffs'!$H$16+'Model coeffs'!$H$9*'Forecast drivers'!M28+'Model coeffs'!$H$11*'Forecast drivers'!J28+'Model coeffs'!$H$14*'Forecast drivers'!G28)</f>
        <v>18.900027131337573</v>
      </c>
      <c r="I26" s="47">
        <f>EXP('Model coeffs'!$I$16+'Model coeffs'!$I$14*'Forecast drivers'!G28+'Model coeffs'!$I$15*'Forecast drivers'!N28)</f>
        <v>18.417418073372264</v>
      </c>
      <c r="J26" s="47">
        <f>EXP('Model coeffs'!$J$16+'Model coeffs'!$J$10*'Forecast drivers'!F28+'Model coeffs'!$J$11*'Forecast drivers'!J28+'Model coeffs'!$J$12*'Forecast drivers'!K28)</f>
        <v>89.809242886774669</v>
      </c>
      <c r="K26" s="47">
        <f>EXP('Model coeffs'!$K$16+'Model coeffs'!$K$10*'Forecast drivers'!F28+'Model coeffs'!$K$12*'Forecast drivers'!K28+'Model coeffs'!$K$13*'Forecast drivers'!L28)</f>
        <v>84.018698242915818</v>
      </c>
      <c r="L26" s="66"/>
      <c r="M26" s="43">
        <f t="shared" si="5"/>
        <v>61.679617597288839</v>
      </c>
      <c r="N26" s="43">
        <f t="shared" si="6"/>
        <v>68.19200575250656</v>
      </c>
      <c r="O26" s="43">
        <f t="shared" si="7"/>
        <v>129.87162334979541</v>
      </c>
      <c r="P26" s="43">
        <f t="shared" si="8"/>
        <v>18.658722602354921</v>
      </c>
      <c r="Q26" s="43">
        <f t="shared" si="9"/>
        <v>86.913970564845243</v>
      </c>
      <c r="R26" s="43">
        <f t="shared" si="10"/>
        <v>18.721964812338683</v>
      </c>
      <c r="S26" s="43">
        <f t="shared" si="11"/>
        <v>18.690343707346802</v>
      </c>
      <c r="T26" s="43">
        <f t="shared" si="12"/>
        <v>148.53034595215033</v>
      </c>
      <c r="U26" s="43">
        <f t="shared" si="13"/>
        <v>148.5935881621341</v>
      </c>
      <c r="V26" s="94">
        <f t="shared" si="2"/>
        <v>148.56196705714223</v>
      </c>
      <c r="X26" s="43">
        <f>(O26*Controls!$G$12)+(P26*Controls!$H$12)</f>
        <v>128.09055512124937</v>
      </c>
      <c r="Y26" s="43">
        <f>(O26*Controls!$G$12)+(R26*Controls!$H$12)</f>
        <v>128.09055512124937</v>
      </c>
      <c r="Z26" s="43">
        <f t="shared" si="14"/>
        <v>128.09055512124937</v>
      </c>
      <c r="AA26" s="160">
        <f>-(INDEX(Controls!$G$14:$G$18,MATCH($B26,Controls!$C$14:$C$18,0),0))*$Z26</f>
        <v>-1.4089961063337428</v>
      </c>
      <c r="AB26" s="94">
        <f t="shared" si="3"/>
        <v>126.68155901491562</v>
      </c>
    </row>
    <row r="27" spans="1:33" ht="12.75" x14ac:dyDescent="0.2">
      <c r="A27" s="3" t="str">
        <f>'Forecast drivers'!B29</f>
        <v>SWB</v>
      </c>
      <c r="B27" s="3">
        <f>'Forecast drivers'!C29</f>
        <v>2022</v>
      </c>
      <c r="C27" s="32" t="str">
        <f>'Forecast drivers'!A29</f>
        <v>SWB22</v>
      </c>
      <c r="D27" s="46">
        <f>EXP('Model coeffs'!$D$16+'Model coeffs'!$D$6*'Forecast drivers'!E29+'Model coeffs'!$D$7*'Forecast drivers'!I29+'Model coeffs'!$D$8*'Forecast drivers'!H29)</f>
        <v>63.092483547013877</v>
      </c>
      <c r="E27" s="46">
        <f>EXP('Model coeffs'!$E$16+'Model coeffs'!$E$6*'Forecast drivers'!E29+'Model coeffs'!$E$7*'Forecast drivers'!I29+'Model coeffs'!$E$9*'Forecast drivers'!M29)</f>
        <v>60.8651266714729</v>
      </c>
      <c r="F27" s="46">
        <f>EXP('Model coeffs'!$F$16+'Model coeffs'!$F$10*'Forecast drivers'!F29+'Model coeffs'!$F$11*'Forecast drivers'!J29+'Model coeffs'!$F$12*'Forecast drivers'!K29)</f>
        <v>70.702307900440516</v>
      </c>
      <c r="G27" s="46">
        <f>EXP('Model coeffs'!$G$16+'Model coeffs'!$G$10*'Forecast drivers'!F29+'Model coeffs'!$G$12*'Forecast drivers'!K29+'Model coeffs'!$G$13*'Forecast drivers'!L29)</f>
        <v>66.399423499896315</v>
      </c>
      <c r="H27" s="47">
        <f>EXP('Model coeffs'!$H$16+'Model coeffs'!$H$9*'Forecast drivers'!M29+'Model coeffs'!$H$11*'Forecast drivers'!J29+'Model coeffs'!$H$14*'Forecast drivers'!G29)</f>
        <v>19.05654495267677</v>
      </c>
      <c r="I27" s="47">
        <f>EXP('Model coeffs'!$I$16+'Model coeffs'!$I$14*'Forecast drivers'!G29+'Model coeffs'!$I$15*'Forecast drivers'!N29)</f>
        <v>18.536035662847667</v>
      </c>
      <c r="J27" s="47">
        <f>EXP('Model coeffs'!$J$16+'Model coeffs'!$J$10*'Forecast drivers'!F29+'Model coeffs'!$J$11*'Forecast drivers'!J29+'Model coeffs'!$J$12*'Forecast drivers'!K29)</f>
        <v>90.275528676911591</v>
      </c>
      <c r="K27" s="47">
        <f>EXP('Model coeffs'!$K$16+'Model coeffs'!$K$10*'Forecast drivers'!F29+'Model coeffs'!$K$12*'Forecast drivers'!K29+'Model coeffs'!$K$13*'Forecast drivers'!L29)</f>
        <v>84.438676952398197</v>
      </c>
      <c r="L27" s="66"/>
      <c r="M27" s="43">
        <f t="shared" si="5"/>
        <v>61.978805109243389</v>
      </c>
      <c r="N27" s="43">
        <f t="shared" si="6"/>
        <v>68.550865700168416</v>
      </c>
      <c r="O27" s="43">
        <f t="shared" si="7"/>
        <v>130.52967080941181</v>
      </c>
      <c r="P27" s="43">
        <f t="shared" si="8"/>
        <v>18.79629030776222</v>
      </c>
      <c r="Q27" s="43">
        <f t="shared" si="9"/>
        <v>87.357102814654894</v>
      </c>
      <c r="R27" s="43">
        <f t="shared" si="10"/>
        <v>18.806237114486478</v>
      </c>
      <c r="S27" s="43">
        <f t="shared" si="11"/>
        <v>18.801263711124349</v>
      </c>
      <c r="T27" s="43">
        <f t="shared" si="12"/>
        <v>149.32596111717402</v>
      </c>
      <c r="U27" s="43">
        <f t="shared" si="13"/>
        <v>149.33590792389828</v>
      </c>
      <c r="V27" s="94">
        <f t="shared" si="2"/>
        <v>149.33093452053615</v>
      </c>
      <c r="X27" s="43">
        <f>(O27*Controls!$G$12)+(P27*Controls!$H$12)</f>
        <v>128.73957807348711</v>
      </c>
      <c r="Y27" s="43">
        <f>(O27*Controls!$G$12)+(R27*Controls!$H$12)</f>
        <v>128.73957807348711</v>
      </c>
      <c r="Z27" s="43">
        <f t="shared" si="14"/>
        <v>128.73957807348711</v>
      </c>
      <c r="AA27" s="160">
        <f>-(INDEX(Controls!$G$14:$G$18,MATCH($B27,Controls!$C$14:$C$18,0),0))*$Z27</f>
        <v>-2.860863777906812</v>
      </c>
      <c r="AB27" s="94">
        <f t="shared" si="3"/>
        <v>125.87871429558029</v>
      </c>
    </row>
    <row r="28" spans="1:33" ht="12.75" x14ac:dyDescent="0.2">
      <c r="A28" s="3" t="str">
        <f>'Forecast drivers'!B30</f>
        <v>SWB</v>
      </c>
      <c r="B28" s="3">
        <f>'Forecast drivers'!C30</f>
        <v>2023</v>
      </c>
      <c r="C28" s="32" t="str">
        <f>'Forecast drivers'!A30</f>
        <v>SWB23</v>
      </c>
      <c r="D28" s="46">
        <f>EXP('Model coeffs'!$D$16+'Model coeffs'!$D$6*'Forecast drivers'!E30+'Model coeffs'!$D$7*'Forecast drivers'!I30+'Model coeffs'!$D$8*'Forecast drivers'!H30)</f>
        <v>63.634431500878321</v>
      </c>
      <c r="E28" s="46">
        <f>EXP('Model coeffs'!$E$16+'Model coeffs'!$E$6*'Forecast drivers'!E30+'Model coeffs'!$E$7*'Forecast drivers'!I30+'Model coeffs'!$E$9*'Forecast drivers'!M30)</f>
        <v>61.028761286438915</v>
      </c>
      <c r="F28" s="46">
        <f>EXP('Model coeffs'!$F$16+'Model coeffs'!$F$10*'Forecast drivers'!F30+'Model coeffs'!$F$11*'Forecast drivers'!J30+'Model coeffs'!$F$12*'Forecast drivers'!K30)</f>
        <v>71.084616768007891</v>
      </c>
      <c r="G28" s="46">
        <f>EXP('Model coeffs'!$G$16+'Model coeffs'!$G$10*'Forecast drivers'!F30+'Model coeffs'!$G$12*'Forecast drivers'!K30+'Model coeffs'!$G$13*'Forecast drivers'!L30)</f>
        <v>66.754505808138077</v>
      </c>
      <c r="H28" s="47">
        <f>EXP('Model coeffs'!$H$16+'Model coeffs'!$H$9*'Forecast drivers'!M30+'Model coeffs'!$H$11*'Forecast drivers'!J30+'Model coeffs'!$H$14*'Forecast drivers'!G30)</f>
        <v>19.213052346669187</v>
      </c>
      <c r="I28" s="47">
        <f>EXP('Model coeffs'!$I$16+'Model coeffs'!$I$14*'Forecast drivers'!G30+'Model coeffs'!$I$15*'Forecast drivers'!N30)</f>
        <v>18.645963206855019</v>
      </c>
      <c r="J28" s="47">
        <f>EXP('Model coeffs'!$J$16+'Model coeffs'!$J$10*'Forecast drivers'!F30+'Model coeffs'!$J$11*'Forecast drivers'!J30+'Model coeffs'!$J$12*'Forecast drivers'!K30)</f>
        <v>90.754560374973337</v>
      </c>
      <c r="K28" s="47">
        <f>EXP('Model coeffs'!$K$16+'Model coeffs'!$K$10*'Forecast drivers'!F30+'Model coeffs'!$K$12*'Forecast drivers'!K30+'Model coeffs'!$K$13*'Forecast drivers'!L30)</f>
        <v>84.870051873683337</v>
      </c>
      <c r="L28" s="66"/>
      <c r="M28" s="43">
        <f t="shared" si="5"/>
        <v>62.331596393658614</v>
      </c>
      <c r="N28" s="43">
        <f t="shared" si="6"/>
        <v>68.919561288072984</v>
      </c>
      <c r="O28" s="43">
        <f t="shared" si="7"/>
        <v>131.2511576817316</v>
      </c>
      <c r="P28" s="43">
        <f t="shared" si="8"/>
        <v>18.929507776762101</v>
      </c>
      <c r="Q28" s="43">
        <f t="shared" si="9"/>
        <v>87.81230612432833</v>
      </c>
      <c r="R28" s="43">
        <f t="shared" si="10"/>
        <v>18.892744836255346</v>
      </c>
      <c r="S28" s="43">
        <f t="shared" si="11"/>
        <v>18.911126306508724</v>
      </c>
      <c r="T28" s="43">
        <f t="shared" si="12"/>
        <v>150.18066545849371</v>
      </c>
      <c r="U28" s="43">
        <f t="shared" si="13"/>
        <v>150.14390251798693</v>
      </c>
      <c r="V28" s="94">
        <f t="shared" si="2"/>
        <v>150.16228398824032</v>
      </c>
      <c r="X28" s="43">
        <f>(O28*Controls!$G$12)+(P28*Controls!$H$12)</f>
        <v>129.4511704260307</v>
      </c>
      <c r="Y28" s="43">
        <f>(O28*Controls!$G$12)+(R28*Controls!$H$12)</f>
        <v>129.4511704260307</v>
      </c>
      <c r="Z28" s="43">
        <f t="shared" si="14"/>
        <v>129.4511704260307</v>
      </c>
      <c r="AA28" s="160">
        <f>-(INDEX(Controls!$G$14:$G$18,MATCH($B28,Controls!$C$14:$C$18,0),0))*$Z28</f>
        <v>-4.3190503896801191</v>
      </c>
      <c r="AB28" s="94">
        <f t="shared" si="3"/>
        <v>125.13212003635059</v>
      </c>
    </row>
    <row r="29" spans="1:33" ht="12.75" x14ac:dyDescent="0.2">
      <c r="A29" s="3" t="str">
        <f>'Forecast drivers'!B31</f>
        <v>SWB</v>
      </c>
      <c r="B29" s="3">
        <f>'Forecast drivers'!C31</f>
        <v>2024</v>
      </c>
      <c r="C29" s="32" t="str">
        <f>'Forecast drivers'!A31</f>
        <v>SWB24</v>
      </c>
      <c r="D29" s="46">
        <f>EXP('Model coeffs'!$D$16+'Model coeffs'!$D$6*'Forecast drivers'!E31+'Model coeffs'!$D$7*'Forecast drivers'!I31+'Model coeffs'!$D$8*'Forecast drivers'!H31)</f>
        <v>64.173608240450093</v>
      </c>
      <c r="E29" s="46">
        <f>EXP('Model coeffs'!$E$16+'Model coeffs'!$E$6*'Forecast drivers'!E31+'Model coeffs'!$E$7*'Forecast drivers'!I31+'Model coeffs'!$E$9*'Forecast drivers'!M31)</f>
        <v>61.201276496995504</v>
      </c>
      <c r="F29" s="46">
        <f>EXP('Model coeffs'!$F$16+'Model coeffs'!$F$10*'Forecast drivers'!F31+'Model coeffs'!$F$11*'Forecast drivers'!J31+'Model coeffs'!$F$12*'Forecast drivers'!K31)</f>
        <v>71.434994259595186</v>
      </c>
      <c r="G29" s="46">
        <f>EXP('Model coeffs'!$G$16+'Model coeffs'!$G$10*'Forecast drivers'!F31+'Model coeffs'!$G$12*'Forecast drivers'!K31+'Model coeffs'!$G$13*'Forecast drivers'!L31)</f>
        <v>67.079912320995732</v>
      </c>
      <c r="H29" s="47">
        <f>EXP('Model coeffs'!$H$16+'Model coeffs'!$H$9*'Forecast drivers'!M31+'Model coeffs'!$H$11*'Forecast drivers'!J31+'Model coeffs'!$H$14*'Forecast drivers'!G31)</f>
        <v>19.366878538086539</v>
      </c>
      <c r="I29" s="47">
        <f>EXP('Model coeffs'!$I$16+'Model coeffs'!$I$14*'Forecast drivers'!G31+'Model coeffs'!$I$15*'Forecast drivers'!N31)</f>
        <v>18.756157338002019</v>
      </c>
      <c r="J29" s="47">
        <f>EXP('Model coeffs'!$J$16+'Model coeffs'!$J$10*'Forecast drivers'!F31+'Model coeffs'!$J$11*'Forecast drivers'!J31+'Model coeffs'!$J$12*'Forecast drivers'!K31)</f>
        <v>91.193540025437414</v>
      </c>
      <c r="K29" s="47">
        <f>EXP('Model coeffs'!$K$16+'Model coeffs'!$K$10*'Forecast drivers'!F31+'Model coeffs'!$K$12*'Forecast drivers'!K31+'Model coeffs'!$K$13*'Forecast drivers'!L31)</f>
        <v>85.265285086437117</v>
      </c>
      <c r="L29" s="66"/>
      <c r="M29" s="43">
        <f t="shared" si="5"/>
        <v>62.687442368722799</v>
      </c>
      <c r="N29" s="43">
        <f t="shared" si="6"/>
        <v>69.257453290295459</v>
      </c>
      <c r="O29" s="43">
        <f t="shared" si="7"/>
        <v>131.94489565901824</v>
      </c>
      <c r="P29" s="43">
        <f t="shared" si="8"/>
        <v>19.061517938044279</v>
      </c>
      <c r="Q29" s="43">
        <f t="shared" si="9"/>
        <v>88.229412555937273</v>
      </c>
      <c r="R29" s="43">
        <f t="shared" si="10"/>
        <v>18.971959265641814</v>
      </c>
      <c r="S29" s="43">
        <f t="shared" si="11"/>
        <v>19.016738601843045</v>
      </c>
      <c r="T29" s="43">
        <f t="shared" si="12"/>
        <v>151.00641359706253</v>
      </c>
      <c r="U29" s="43">
        <f t="shared" si="13"/>
        <v>150.91685492466007</v>
      </c>
      <c r="V29" s="94">
        <f t="shared" si="2"/>
        <v>150.9616342608613</v>
      </c>
      <c r="X29" s="43">
        <f>(O29*Controls!$G$12)+(P29*Controls!$H$12)</f>
        <v>130.13539443376484</v>
      </c>
      <c r="Y29" s="43">
        <f>(O29*Controls!$G$12)+(R29*Controls!$H$12)</f>
        <v>130.13539443376484</v>
      </c>
      <c r="Z29" s="43">
        <f t="shared" si="14"/>
        <v>130.13539443376484</v>
      </c>
      <c r="AA29" s="160">
        <f>-(INDEX(Controls!$G$14:$G$18,MATCH($B29,Controls!$C$14:$C$18,0),0))*$Z29</f>
        <v>-5.7538904307092054</v>
      </c>
      <c r="AB29" s="94">
        <f t="shared" si="3"/>
        <v>124.38150400305564</v>
      </c>
    </row>
    <row r="30" spans="1:33" ht="12.75" x14ac:dyDescent="0.2">
      <c r="A30" s="3" t="str">
        <f>'Forecast drivers'!B32</f>
        <v>SWB</v>
      </c>
      <c r="B30" s="3">
        <f>'Forecast drivers'!C32</f>
        <v>2025</v>
      </c>
      <c r="C30" s="32" t="str">
        <f>'Forecast drivers'!A32</f>
        <v>SWB25</v>
      </c>
      <c r="D30" s="46">
        <f>EXP('Model coeffs'!$D$16+'Model coeffs'!$D$6*'Forecast drivers'!E32+'Model coeffs'!$D$7*'Forecast drivers'!I32+'Model coeffs'!$D$8*'Forecast drivers'!H32)</f>
        <v>64.708590622338093</v>
      </c>
      <c r="E30" s="46">
        <f>EXP('Model coeffs'!$E$16+'Model coeffs'!$E$6*'Forecast drivers'!E32+'Model coeffs'!$E$7*'Forecast drivers'!I32+'Model coeffs'!$E$9*'Forecast drivers'!M32)</f>
        <v>61.383661212376893</v>
      </c>
      <c r="F30" s="46">
        <f>EXP('Model coeffs'!$F$16+'Model coeffs'!$F$10*'Forecast drivers'!F32+'Model coeffs'!$F$11*'Forecast drivers'!J32+'Model coeffs'!$F$12*'Forecast drivers'!K32)</f>
        <v>71.823287666212892</v>
      </c>
      <c r="G30" s="46">
        <f>EXP('Model coeffs'!$G$16+'Model coeffs'!$G$10*'Forecast drivers'!F32+'Model coeffs'!$G$12*'Forecast drivers'!K32+'Model coeffs'!$G$13*'Forecast drivers'!L32)</f>
        <v>67.44051202467169</v>
      </c>
      <c r="H30" s="47">
        <f>EXP('Model coeffs'!$H$16+'Model coeffs'!$H$9*'Forecast drivers'!M32+'Model coeffs'!$H$11*'Forecast drivers'!J32+'Model coeffs'!$H$14*'Forecast drivers'!G32)</f>
        <v>19.570047214766685</v>
      </c>
      <c r="I30" s="47">
        <f>EXP('Model coeffs'!$I$16+'Model coeffs'!$I$14*'Forecast drivers'!G32+'Model coeffs'!$I$15*'Forecast drivers'!N32)</f>
        <v>18.917947036946387</v>
      </c>
      <c r="J30" s="47">
        <f>EXP('Model coeffs'!$J$16+'Model coeffs'!$J$10*'Forecast drivers'!F32+'Model coeffs'!$J$11*'Forecast drivers'!J32+'Model coeffs'!$J$12*'Forecast drivers'!K32)</f>
        <v>91.679976792405142</v>
      </c>
      <c r="K30" s="47">
        <f>EXP('Model coeffs'!$K$16+'Model coeffs'!$K$10*'Forecast drivers'!F32+'Model coeffs'!$K$12*'Forecast drivers'!K32+'Model coeffs'!$K$13*'Forecast drivers'!L32)</f>
        <v>85.703163569825719</v>
      </c>
      <c r="L30" s="66"/>
      <c r="M30" s="43">
        <f t="shared" si="5"/>
        <v>63.046125917357493</v>
      </c>
      <c r="N30" s="43">
        <f t="shared" si="6"/>
        <v>69.631899845442291</v>
      </c>
      <c r="O30" s="43">
        <f t="shared" si="7"/>
        <v>132.67802576279979</v>
      </c>
      <c r="P30" s="43">
        <f t="shared" si="8"/>
        <v>19.243997125856538</v>
      </c>
      <c r="Q30" s="43">
        <f t="shared" si="9"/>
        <v>88.691570181115424</v>
      </c>
      <c r="R30" s="43">
        <f t="shared" si="10"/>
        <v>19.059670335673133</v>
      </c>
      <c r="S30" s="43">
        <f t="shared" si="11"/>
        <v>19.151833730764835</v>
      </c>
      <c r="T30" s="43">
        <f t="shared" si="12"/>
        <v>151.92202288865633</v>
      </c>
      <c r="U30" s="43">
        <f t="shared" si="13"/>
        <v>151.73769609847292</v>
      </c>
      <c r="V30" s="94">
        <f t="shared" si="2"/>
        <v>151.82985949356464</v>
      </c>
      <c r="X30" s="43">
        <f>(O30*Controls!$G$12)+(P30*Controls!$H$12)</f>
        <v>130.85847034170627</v>
      </c>
      <c r="Y30" s="43">
        <f>(O30*Controls!$G$12)+(R30*Controls!$H$12)</f>
        <v>130.85847034170627</v>
      </c>
      <c r="Z30" s="43">
        <f t="shared" si="14"/>
        <v>130.85847034170627</v>
      </c>
      <c r="AA30" s="160">
        <f>-(INDEX(Controls!$G$14:$G$18,MATCH($B30,Controls!$C$14:$C$18,0),0))*$Z30</f>
        <v>-7.1659687225083228</v>
      </c>
      <c r="AB30" s="94">
        <f t="shared" si="3"/>
        <v>123.69250161919794</v>
      </c>
    </row>
    <row r="31" spans="1:33" ht="12.75" x14ac:dyDescent="0.2">
      <c r="A31" s="3" t="str">
        <f>'Forecast drivers'!B33</f>
        <v>TMS</v>
      </c>
      <c r="B31" s="3">
        <f>'Forecast drivers'!C33</f>
        <v>2021</v>
      </c>
      <c r="C31" s="32" t="str">
        <f>'Forecast drivers'!A33</f>
        <v>TMS21</v>
      </c>
      <c r="D31" s="46">
        <f>EXP('Model coeffs'!$D$16+'Model coeffs'!$D$6*'Forecast drivers'!E33+'Model coeffs'!$D$7*'Forecast drivers'!I33+'Model coeffs'!$D$8*'Forecast drivers'!H33)</f>
        <v>307.8102380875452</v>
      </c>
      <c r="E31" s="46">
        <f>EXP('Model coeffs'!$E$16+'Model coeffs'!$E$6*'Forecast drivers'!E33+'Model coeffs'!$E$7*'Forecast drivers'!I33+'Model coeffs'!$E$9*'Forecast drivers'!M33)</f>
        <v>290.89514209818691</v>
      </c>
      <c r="F31" s="46">
        <f>EXP('Model coeffs'!$F$16+'Model coeffs'!$F$10*'Forecast drivers'!F33+'Model coeffs'!$F$11*'Forecast drivers'!J33+'Model coeffs'!$F$12*'Forecast drivers'!K33)</f>
        <v>363.61729827264679</v>
      </c>
      <c r="G31" s="46">
        <f>EXP('Model coeffs'!$G$16+'Model coeffs'!$G$10*'Forecast drivers'!F33+'Model coeffs'!$G$12*'Forecast drivers'!K33+'Model coeffs'!$G$13*'Forecast drivers'!L33)</f>
        <v>344.33727945416439</v>
      </c>
      <c r="H31" s="47">
        <f>EXP('Model coeffs'!$H$16+'Model coeffs'!$H$9*'Forecast drivers'!M33+'Model coeffs'!$H$11*'Forecast drivers'!J33+'Model coeffs'!$H$14*'Forecast drivers'!G33)</f>
        <v>116.61900229402119</v>
      </c>
      <c r="I31" s="47">
        <f>EXP('Model coeffs'!$I$16+'Model coeffs'!$I$14*'Forecast drivers'!G33+'Model coeffs'!$I$15*'Forecast drivers'!N33)</f>
        <v>111.24329789816497</v>
      </c>
      <c r="J31" s="47">
        <f>EXP('Model coeffs'!$J$16+'Model coeffs'!$J$10*'Forecast drivers'!F33+'Model coeffs'!$J$11*'Forecast drivers'!J33+'Model coeffs'!$J$12*'Forecast drivers'!K33)</f>
        <v>531.40936362008176</v>
      </c>
      <c r="K31" s="47">
        <f>EXP('Model coeffs'!$K$16+'Model coeffs'!$K$10*'Forecast drivers'!F33+'Model coeffs'!$K$12*'Forecast drivers'!K33+'Model coeffs'!$K$13*'Forecast drivers'!L33)</f>
        <v>509.4911545167119</v>
      </c>
      <c r="L31" s="66"/>
      <c r="M31" s="43">
        <f t="shared" si="5"/>
        <v>299.35269009286606</v>
      </c>
      <c r="N31" s="43">
        <f t="shared" si="6"/>
        <v>353.97728886340559</v>
      </c>
      <c r="O31" s="43">
        <f t="shared" si="7"/>
        <v>653.32997895627159</v>
      </c>
      <c r="P31" s="43">
        <f t="shared" si="8"/>
        <v>113.93115009609308</v>
      </c>
      <c r="Q31" s="43">
        <f t="shared" si="9"/>
        <v>520.4502590683968</v>
      </c>
      <c r="R31" s="43">
        <f t="shared" si="10"/>
        <v>166.47297020499121</v>
      </c>
      <c r="S31" s="43">
        <f t="shared" si="11"/>
        <v>140.20206015054214</v>
      </c>
      <c r="T31" s="43">
        <f t="shared" si="12"/>
        <v>767.26112905236471</v>
      </c>
      <c r="U31" s="43">
        <f t="shared" si="13"/>
        <v>819.80294916126286</v>
      </c>
      <c r="V31" s="94">
        <f t="shared" si="2"/>
        <v>793.53203910681373</v>
      </c>
      <c r="X31" s="43">
        <f>(O31*Controls!$G$12)+(P31*Controls!$H$12)</f>
        <v>644.37016742653066</v>
      </c>
      <c r="Y31" s="43">
        <f>(O31*Controls!$G$12)+(R31*Controls!$H$12)</f>
        <v>644.37016742653066</v>
      </c>
      <c r="Z31" s="43">
        <f t="shared" si="14"/>
        <v>644.37016742653066</v>
      </c>
      <c r="AA31" s="160">
        <f>-(INDEX(Controls!$G$14:$G$18,MATCH($B31,Controls!$C$14:$C$18,0),0))*$Z31</f>
        <v>-7.0880718416918365</v>
      </c>
      <c r="AB31" s="94">
        <f t="shared" si="3"/>
        <v>637.28209558483877</v>
      </c>
    </row>
    <row r="32" spans="1:33" ht="12.75" x14ac:dyDescent="0.2">
      <c r="A32" s="3" t="str">
        <f>'Forecast drivers'!B34</f>
        <v>TMS</v>
      </c>
      <c r="B32" s="3">
        <f>'Forecast drivers'!C34</f>
        <v>2022</v>
      </c>
      <c r="C32" s="32" t="str">
        <f>'Forecast drivers'!A34</f>
        <v>TMS22</v>
      </c>
      <c r="D32" s="46">
        <f>EXP('Model coeffs'!$D$16+'Model coeffs'!$D$6*'Forecast drivers'!E34+'Model coeffs'!$D$7*'Forecast drivers'!I34+'Model coeffs'!$D$8*'Forecast drivers'!H34)</f>
        <v>310.37263547383321</v>
      </c>
      <c r="E32" s="46">
        <f>EXP('Model coeffs'!$E$16+'Model coeffs'!$E$6*'Forecast drivers'!E34+'Model coeffs'!$E$7*'Forecast drivers'!I34+'Model coeffs'!$E$9*'Forecast drivers'!M34)</f>
        <v>291.55728870157571</v>
      </c>
      <c r="F32" s="46">
        <f>EXP('Model coeffs'!$F$16+'Model coeffs'!$F$10*'Forecast drivers'!F34+'Model coeffs'!$F$11*'Forecast drivers'!J34+'Model coeffs'!$F$12*'Forecast drivers'!K34)</f>
        <v>365.7213525648969</v>
      </c>
      <c r="G32" s="46">
        <f>EXP('Model coeffs'!$G$16+'Model coeffs'!$G$10*'Forecast drivers'!F34+'Model coeffs'!$G$12*'Forecast drivers'!K34+'Model coeffs'!$G$13*'Forecast drivers'!L34)</f>
        <v>346.30779330888834</v>
      </c>
      <c r="H32" s="47">
        <f>EXP('Model coeffs'!$H$16+'Model coeffs'!$H$9*'Forecast drivers'!M34+'Model coeffs'!$H$11*'Forecast drivers'!J34+'Model coeffs'!$H$14*'Forecast drivers'!G34)</f>
        <v>118.0463517498862</v>
      </c>
      <c r="I32" s="47">
        <f>EXP('Model coeffs'!$I$16+'Model coeffs'!$I$14*'Forecast drivers'!G34+'Model coeffs'!$I$15*'Forecast drivers'!N34)</f>
        <v>112.75039219580528</v>
      </c>
      <c r="J32" s="47">
        <f>EXP('Model coeffs'!$J$16+'Model coeffs'!$J$10*'Forecast drivers'!F34+'Model coeffs'!$J$11*'Forecast drivers'!J34+'Model coeffs'!$J$12*'Forecast drivers'!K34)</f>
        <v>534.42690692891722</v>
      </c>
      <c r="K32" s="47">
        <f>EXP('Model coeffs'!$K$16+'Model coeffs'!$K$10*'Forecast drivers'!F34+'Model coeffs'!$K$12*'Forecast drivers'!K34+'Model coeffs'!$K$13*'Forecast drivers'!L34)</f>
        <v>512.27648819068918</v>
      </c>
      <c r="L32" s="66"/>
      <c r="M32" s="43">
        <f t="shared" si="5"/>
        <v>300.96496208770446</v>
      </c>
      <c r="N32" s="43">
        <f t="shared" si="6"/>
        <v>356.01457293689259</v>
      </c>
      <c r="O32" s="43">
        <f t="shared" si="7"/>
        <v>656.979535024597</v>
      </c>
      <c r="P32" s="43">
        <f t="shared" si="8"/>
        <v>115.39837197284574</v>
      </c>
      <c r="Q32" s="43">
        <f t="shared" si="9"/>
        <v>523.35169755980314</v>
      </c>
      <c r="R32" s="43">
        <f t="shared" si="10"/>
        <v>167.33712462291055</v>
      </c>
      <c r="S32" s="43">
        <f t="shared" si="11"/>
        <v>141.36774829787814</v>
      </c>
      <c r="T32" s="43">
        <f t="shared" si="12"/>
        <v>772.37790699744278</v>
      </c>
      <c r="U32" s="43">
        <f t="shared" si="13"/>
        <v>824.31665964750755</v>
      </c>
      <c r="V32" s="94">
        <f t="shared" si="2"/>
        <v>798.34728332247516</v>
      </c>
      <c r="X32" s="43">
        <f>(O32*Controls!$G$12)+(P32*Controls!$H$12)</f>
        <v>647.9696732360394</v>
      </c>
      <c r="Y32" s="43">
        <f>(O32*Controls!$G$12)+(R32*Controls!$H$12)</f>
        <v>647.9696732360394</v>
      </c>
      <c r="Z32" s="43">
        <f t="shared" si="14"/>
        <v>647.9696732360394</v>
      </c>
      <c r="AA32" s="160">
        <f>-(INDEX(Controls!$G$14:$G$18,MATCH($B32,Controls!$C$14:$C$18,0),0))*$Z32</f>
        <v>-14.399246875618461</v>
      </c>
      <c r="AB32" s="94">
        <f t="shared" si="3"/>
        <v>633.57042636042092</v>
      </c>
    </row>
    <row r="33" spans="1:28" ht="12.75" x14ac:dyDescent="0.2">
      <c r="A33" s="3" t="str">
        <f>'Forecast drivers'!B35</f>
        <v>TMS</v>
      </c>
      <c r="B33" s="3">
        <f>'Forecast drivers'!C35</f>
        <v>2023</v>
      </c>
      <c r="C33" s="32" t="str">
        <f>'Forecast drivers'!A35</f>
        <v>TMS23</v>
      </c>
      <c r="D33" s="46">
        <f>EXP('Model coeffs'!$D$16+'Model coeffs'!$D$6*'Forecast drivers'!E35+'Model coeffs'!$D$7*'Forecast drivers'!I35+'Model coeffs'!$D$8*'Forecast drivers'!H35)</f>
        <v>313.96983511682129</v>
      </c>
      <c r="E33" s="46">
        <f>EXP('Model coeffs'!$E$16+'Model coeffs'!$E$6*'Forecast drivers'!E35+'Model coeffs'!$E$7*'Forecast drivers'!I35+'Model coeffs'!$E$9*'Forecast drivers'!M35)</f>
        <v>292.15874754312523</v>
      </c>
      <c r="F33" s="46">
        <f>EXP('Model coeffs'!$F$16+'Model coeffs'!$F$10*'Forecast drivers'!F35+'Model coeffs'!$F$11*'Forecast drivers'!J35+'Model coeffs'!$F$12*'Forecast drivers'!K35)</f>
        <v>367.64967866844489</v>
      </c>
      <c r="G33" s="46">
        <f>EXP('Model coeffs'!$G$16+'Model coeffs'!$G$10*'Forecast drivers'!F35+'Model coeffs'!$G$12*'Forecast drivers'!K35+'Model coeffs'!$G$13*'Forecast drivers'!L35)</f>
        <v>348.11362259997719</v>
      </c>
      <c r="H33" s="47">
        <f>EXP('Model coeffs'!$H$16+'Model coeffs'!$H$9*'Forecast drivers'!M35+'Model coeffs'!$H$11*'Forecast drivers'!J35+'Model coeffs'!$H$14*'Forecast drivers'!G35)</f>
        <v>118.58131728606291</v>
      </c>
      <c r="I33" s="47">
        <f>EXP('Model coeffs'!$I$16+'Model coeffs'!$I$14*'Forecast drivers'!G35+'Model coeffs'!$I$15*'Forecast drivers'!N35)</f>
        <v>113.30231316340064</v>
      </c>
      <c r="J33" s="47">
        <f>EXP('Model coeffs'!$J$16+'Model coeffs'!$J$10*'Forecast drivers'!F35+'Model coeffs'!$J$11*'Forecast drivers'!J35+'Model coeffs'!$J$12*'Forecast drivers'!K35)</f>
        <v>537.19214451799689</v>
      </c>
      <c r="K33" s="47">
        <f>EXP('Model coeffs'!$K$16+'Model coeffs'!$K$10*'Forecast drivers'!F35+'Model coeffs'!$K$12*'Forecast drivers'!K35+'Model coeffs'!$K$13*'Forecast drivers'!L35)</f>
        <v>514.82841893026182</v>
      </c>
      <c r="L33" s="66"/>
      <c r="M33" s="43">
        <f t="shared" si="5"/>
        <v>303.06429132997323</v>
      </c>
      <c r="N33" s="43">
        <f t="shared" si="6"/>
        <v>357.88165063421104</v>
      </c>
      <c r="O33" s="43">
        <f t="shared" si="7"/>
        <v>660.94594196418427</v>
      </c>
      <c r="P33" s="43">
        <f t="shared" si="8"/>
        <v>115.94181522473178</v>
      </c>
      <c r="Q33" s="43">
        <f t="shared" si="9"/>
        <v>526.0102817241293</v>
      </c>
      <c r="R33" s="43">
        <f t="shared" si="10"/>
        <v>168.12863108991826</v>
      </c>
      <c r="S33" s="43">
        <f t="shared" si="11"/>
        <v>142.03522315732502</v>
      </c>
      <c r="T33" s="43">
        <f t="shared" si="12"/>
        <v>776.88775718891611</v>
      </c>
      <c r="U33" s="43">
        <f t="shared" si="13"/>
        <v>829.07457305410253</v>
      </c>
      <c r="V33" s="94">
        <f t="shared" si="2"/>
        <v>802.98116512150932</v>
      </c>
      <c r="X33" s="43">
        <f>(O33*Controls!$G$12)+(P33*Controls!$H$12)</f>
        <v>651.88168460252632</v>
      </c>
      <c r="Y33" s="43">
        <f>(O33*Controls!$G$12)+(R33*Controls!$H$12)</f>
        <v>651.88168460252632</v>
      </c>
      <c r="Z33" s="43">
        <f t="shared" si="14"/>
        <v>651.88168460252632</v>
      </c>
      <c r="AA33" s="160">
        <f>-(INDEX(Controls!$G$14:$G$18,MATCH($B33,Controls!$C$14:$C$18,0),0))*$Z33</f>
        <v>-21.749589707392222</v>
      </c>
      <c r="AB33" s="94">
        <f t="shared" si="3"/>
        <v>630.13209489513406</v>
      </c>
    </row>
    <row r="34" spans="1:28" ht="12.75" x14ac:dyDescent="0.2">
      <c r="A34" s="3" t="str">
        <f>'Forecast drivers'!B36</f>
        <v>TMS</v>
      </c>
      <c r="B34" s="3">
        <f>'Forecast drivers'!C36</f>
        <v>2024</v>
      </c>
      <c r="C34" s="32" t="str">
        <f>'Forecast drivers'!A36</f>
        <v>TMS24</v>
      </c>
      <c r="D34" s="46">
        <f>EXP('Model coeffs'!$D$16+'Model coeffs'!$D$6*'Forecast drivers'!E36+'Model coeffs'!$D$7*'Forecast drivers'!I36+'Model coeffs'!$D$8*'Forecast drivers'!H36)</f>
        <v>317.44358219933639</v>
      </c>
      <c r="E34" s="46">
        <f>EXP('Model coeffs'!$E$16+'Model coeffs'!$E$6*'Forecast drivers'!E36+'Model coeffs'!$E$7*'Forecast drivers'!I36+'Model coeffs'!$E$9*'Forecast drivers'!M36)</f>
        <v>292.70686169281362</v>
      </c>
      <c r="F34" s="46">
        <f>EXP('Model coeffs'!$F$16+'Model coeffs'!$F$10*'Forecast drivers'!F36+'Model coeffs'!$F$11*'Forecast drivers'!J36+'Model coeffs'!$F$12*'Forecast drivers'!K36)</f>
        <v>369.4030683071079</v>
      </c>
      <c r="G34" s="46">
        <f>EXP('Model coeffs'!$G$16+'Model coeffs'!$G$10*'Forecast drivers'!F36+'Model coeffs'!$G$12*'Forecast drivers'!K36+'Model coeffs'!$G$13*'Forecast drivers'!L36)</f>
        <v>349.75553781515032</v>
      </c>
      <c r="H34" s="47">
        <f>EXP('Model coeffs'!$H$16+'Model coeffs'!$H$9*'Forecast drivers'!M36+'Model coeffs'!$H$11*'Forecast drivers'!J36+'Model coeffs'!$H$14*'Forecast drivers'!G36)</f>
        <v>119.14506970454771</v>
      </c>
      <c r="I34" s="47">
        <f>EXP('Model coeffs'!$I$16+'Model coeffs'!$I$14*'Forecast drivers'!G36+'Model coeffs'!$I$15*'Forecast drivers'!N36)</f>
        <v>113.87158801286584</v>
      </c>
      <c r="J34" s="47">
        <f>EXP('Model coeffs'!$J$16+'Model coeffs'!$J$10*'Forecast drivers'!F36+'Model coeffs'!$J$11*'Forecast drivers'!J36+'Model coeffs'!$J$12*'Forecast drivers'!K36)</f>
        <v>539.70628708390359</v>
      </c>
      <c r="K34" s="47">
        <f>EXP('Model coeffs'!$K$16+'Model coeffs'!$K$10*'Forecast drivers'!F36+'Model coeffs'!$K$12*'Forecast drivers'!K36+'Model coeffs'!$K$13*'Forecast drivers'!L36)</f>
        <v>517.14820029313216</v>
      </c>
      <c r="L34" s="66"/>
      <c r="M34" s="43">
        <f t="shared" si="5"/>
        <v>305.07522194607498</v>
      </c>
      <c r="N34" s="43">
        <f t="shared" si="6"/>
        <v>359.57930306112911</v>
      </c>
      <c r="O34" s="43">
        <f t="shared" si="7"/>
        <v>664.65452500720403</v>
      </c>
      <c r="P34" s="43">
        <f t="shared" si="8"/>
        <v>116.50832885870678</v>
      </c>
      <c r="Q34" s="43">
        <f t="shared" si="9"/>
        <v>528.42724368851782</v>
      </c>
      <c r="R34" s="43">
        <f t="shared" si="10"/>
        <v>168.84794062738871</v>
      </c>
      <c r="S34" s="43">
        <f t="shared" si="11"/>
        <v>142.67813474304774</v>
      </c>
      <c r="T34" s="43">
        <f t="shared" si="12"/>
        <v>781.16285386591085</v>
      </c>
      <c r="U34" s="43">
        <f t="shared" si="13"/>
        <v>833.5024656345928</v>
      </c>
      <c r="V34" s="94">
        <f t="shared" si="2"/>
        <v>807.33265975025188</v>
      </c>
      <c r="X34" s="43">
        <f>(O34*Controls!$G$12)+(P34*Controls!$H$12)</f>
        <v>655.53940788680529</v>
      </c>
      <c r="Y34" s="43">
        <f>(O34*Controls!$G$12)+(R34*Controls!$H$12)</f>
        <v>655.53940788680529</v>
      </c>
      <c r="Z34" s="43">
        <f t="shared" si="14"/>
        <v>655.53940788680529</v>
      </c>
      <c r="AA34" s="160">
        <f>-(INDEX(Controls!$G$14:$G$18,MATCH($B34,Controls!$C$14:$C$18,0),0))*$Z34</f>
        <v>-28.984443028775363</v>
      </c>
      <c r="AB34" s="94">
        <f t="shared" si="3"/>
        <v>626.55496485802996</v>
      </c>
    </row>
    <row r="35" spans="1:28" ht="12.75" x14ac:dyDescent="0.2">
      <c r="A35" s="3" t="str">
        <f>'Forecast drivers'!B37</f>
        <v>TMS</v>
      </c>
      <c r="B35" s="3">
        <f>'Forecast drivers'!C37</f>
        <v>2025</v>
      </c>
      <c r="C35" s="32" t="str">
        <f>'Forecast drivers'!A37</f>
        <v>TMS25</v>
      </c>
      <c r="D35" s="46">
        <f>EXP('Model coeffs'!$D$16+'Model coeffs'!$D$6*'Forecast drivers'!E37+'Model coeffs'!$D$7*'Forecast drivers'!I37+'Model coeffs'!$D$8*'Forecast drivers'!H37)</f>
        <v>320.85470125707496</v>
      </c>
      <c r="E35" s="46">
        <f>EXP('Model coeffs'!$E$16+'Model coeffs'!$E$6*'Forecast drivers'!E37+'Model coeffs'!$E$7*'Forecast drivers'!I37+'Model coeffs'!$E$9*'Forecast drivers'!M37)</f>
        <v>293.23681056180931</v>
      </c>
      <c r="F35" s="46">
        <f>EXP('Model coeffs'!$F$16+'Model coeffs'!$F$10*'Forecast drivers'!F37+'Model coeffs'!$F$11*'Forecast drivers'!J37+'Model coeffs'!$F$12*'Forecast drivers'!K37)</f>
        <v>371.09906410980375</v>
      </c>
      <c r="G35" s="46">
        <f>EXP('Model coeffs'!$G$16+'Model coeffs'!$G$10*'Forecast drivers'!F37+'Model coeffs'!$G$12*'Forecast drivers'!K37+'Model coeffs'!$G$13*'Forecast drivers'!L37)</f>
        <v>351.34362653740055</v>
      </c>
      <c r="H35" s="47">
        <f>EXP('Model coeffs'!$H$16+'Model coeffs'!$H$9*'Forecast drivers'!M37+'Model coeffs'!$H$11*'Forecast drivers'!J37+'Model coeffs'!$H$14*'Forecast drivers'!G37)</f>
        <v>119.71209103981244</v>
      </c>
      <c r="I35" s="47">
        <f>EXP('Model coeffs'!$I$16+'Model coeffs'!$I$14*'Forecast drivers'!G37+'Model coeffs'!$I$15*'Forecast drivers'!N37)</f>
        <v>114.44513571861521</v>
      </c>
      <c r="J35" s="47">
        <f>EXP('Model coeffs'!$J$16+'Model coeffs'!$J$10*'Forecast drivers'!F37+'Model coeffs'!$J$11*'Forecast drivers'!J37+'Model coeffs'!$J$12*'Forecast drivers'!K37)</f>
        <v>542.13792256736781</v>
      </c>
      <c r="K35" s="47">
        <f>EXP('Model coeffs'!$K$16+'Model coeffs'!$K$10*'Forecast drivers'!F37+'Model coeffs'!$K$12*'Forecast drivers'!K37+'Model coeffs'!$K$13*'Forecast drivers'!L37)</f>
        <v>519.39147113848446</v>
      </c>
      <c r="L35" s="66"/>
      <c r="M35" s="43">
        <f t="shared" si="5"/>
        <v>307.04575590944216</v>
      </c>
      <c r="N35" s="43">
        <f t="shared" si="6"/>
        <v>361.22134532360212</v>
      </c>
      <c r="O35" s="43">
        <f t="shared" si="7"/>
        <v>668.26710123304429</v>
      </c>
      <c r="P35" s="43">
        <f t="shared" si="8"/>
        <v>117.07861337921382</v>
      </c>
      <c r="Q35" s="43">
        <f t="shared" si="9"/>
        <v>530.76469685292614</v>
      </c>
      <c r="R35" s="43">
        <f t="shared" si="10"/>
        <v>169.54335152932401</v>
      </c>
      <c r="S35" s="43">
        <f t="shared" si="11"/>
        <v>143.31098245426892</v>
      </c>
      <c r="T35" s="43">
        <f t="shared" si="12"/>
        <v>785.34571461225812</v>
      </c>
      <c r="U35" s="43">
        <f t="shared" si="13"/>
        <v>837.8104527623683</v>
      </c>
      <c r="V35" s="94">
        <f t="shared" si="2"/>
        <v>811.57808368731321</v>
      </c>
      <c r="X35" s="43">
        <f>(O35*Controls!$G$12)+(P35*Controls!$H$12)</f>
        <v>659.10244099789054</v>
      </c>
      <c r="Y35" s="43">
        <f>(O35*Controls!$G$12)+(R35*Controls!$H$12)</f>
        <v>659.10244099789054</v>
      </c>
      <c r="Z35" s="43">
        <f t="shared" si="14"/>
        <v>659.10244099789054</v>
      </c>
      <c r="AA35" s="160">
        <f>-(INDEX(Controls!$G$14:$G$18,MATCH($B35,Controls!$C$14:$C$18,0),0))*$Z35</f>
        <v>-36.093249942372708</v>
      </c>
      <c r="AB35" s="94">
        <f t="shared" si="3"/>
        <v>623.00919105551782</v>
      </c>
    </row>
    <row r="36" spans="1:28" ht="12.75" x14ac:dyDescent="0.2">
      <c r="A36" s="3" t="str">
        <f>'Forecast drivers'!B38</f>
        <v>WSH</v>
      </c>
      <c r="B36" s="3">
        <f>'Forecast drivers'!C38</f>
        <v>2021</v>
      </c>
      <c r="C36" s="32" t="str">
        <f>'Forecast drivers'!A38</f>
        <v>WSH21</v>
      </c>
      <c r="D36" s="46">
        <f>EXP('Model coeffs'!$D$16+'Model coeffs'!$D$6*'Forecast drivers'!E38+'Model coeffs'!$D$7*'Forecast drivers'!I38+'Model coeffs'!$D$8*'Forecast drivers'!H38)</f>
        <v>94.421986771075524</v>
      </c>
      <c r="E36" s="46">
        <f>EXP('Model coeffs'!$E$16+'Model coeffs'!$E$6*'Forecast drivers'!E38+'Model coeffs'!$E$7*'Forecast drivers'!I38+'Model coeffs'!$E$9*'Forecast drivers'!M38)</f>
        <v>85.020278494596681</v>
      </c>
      <c r="F36" s="46">
        <f>EXP('Model coeffs'!$F$16+'Model coeffs'!$F$10*'Forecast drivers'!F38+'Model coeffs'!$F$11*'Forecast drivers'!J38+'Model coeffs'!$F$12*'Forecast drivers'!K38)</f>
        <v>113.28481627892299</v>
      </c>
      <c r="G36" s="46">
        <f>EXP('Model coeffs'!$G$16+'Model coeffs'!$G$10*'Forecast drivers'!F38+'Model coeffs'!$G$12*'Forecast drivers'!K38+'Model coeffs'!$G$13*'Forecast drivers'!L38)</f>
        <v>105.65991583639155</v>
      </c>
      <c r="H36" s="47">
        <f>EXP('Model coeffs'!$H$16+'Model coeffs'!$H$9*'Forecast drivers'!M38+'Model coeffs'!$H$11*'Forecast drivers'!J38+'Model coeffs'!$H$14*'Forecast drivers'!G38)</f>
        <v>33.423335613567851</v>
      </c>
      <c r="I36" s="47">
        <f>EXP('Model coeffs'!$I$16+'Model coeffs'!$I$14*'Forecast drivers'!G38+'Model coeffs'!$I$15*'Forecast drivers'!N38)</f>
        <v>31.131091406423774</v>
      </c>
      <c r="J36" s="47">
        <f>EXP('Model coeffs'!$J$16+'Model coeffs'!$J$10*'Forecast drivers'!F38+'Model coeffs'!$J$11*'Forecast drivers'!J38+'Model coeffs'!$J$12*'Forecast drivers'!K38)</f>
        <v>146.75346741445583</v>
      </c>
      <c r="K36" s="47">
        <f>EXP('Model coeffs'!$K$16+'Model coeffs'!$K$10*'Forecast drivers'!F38+'Model coeffs'!$K$12*'Forecast drivers'!K38+'Model coeffs'!$K$13*'Forecast drivers'!L38)</f>
        <v>137.62733774296217</v>
      </c>
      <c r="L36" s="66"/>
      <c r="M36" s="43">
        <f t="shared" si="5"/>
        <v>89.721132632836103</v>
      </c>
      <c r="N36" s="43">
        <f t="shared" si="6"/>
        <v>109.47236605765727</v>
      </c>
      <c r="O36" s="43">
        <f t="shared" si="7"/>
        <v>199.19349869049336</v>
      </c>
      <c r="P36" s="43">
        <f t="shared" si="8"/>
        <v>32.277213509995811</v>
      </c>
      <c r="Q36" s="43">
        <f t="shared" si="9"/>
        <v>142.19040257870898</v>
      </c>
      <c r="R36" s="43">
        <f t="shared" si="10"/>
        <v>32.718036521051715</v>
      </c>
      <c r="S36" s="43">
        <f t="shared" si="11"/>
        <v>32.497625015523766</v>
      </c>
      <c r="T36" s="43">
        <f t="shared" si="12"/>
        <v>231.47071220048917</v>
      </c>
      <c r="U36" s="43">
        <f t="shared" si="13"/>
        <v>231.91153521154507</v>
      </c>
      <c r="V36" s="94">
        <f t="shared" si="2"/>
        <v>231.69112370601712</v>
      </c>
      <c r="X36" s="43">
        <f>(O36*Controls!$G$12)+(P36*Controls!$H$12)</f>
        <v>196.46174557384052</v>
      </c>
      <c r="Y36" s="43">
        <f>(O36*Controls!$G$12)+(R36*Controls!$H$12)</f>
        <v>196.46174557384052</v>
      </c>
      <c r="Z36" s="43">
        <f t="shared" si="14"/>
        <v>196.46174557384052</v>
      </c>
      <c r="AA36" s="160">
        <f>-(INDEX(Controls!$G$14:$G$18,MATCH($B36,Controls!$C$14:$C$18,0),0))*$Z36</f>
        <v>-2.1610792013122455</v>
      </c>
      <c r="AB36" s="94">
        <f t="shared" si="3"/>
        <v>194.30066637252827</v>
      </c>
    </row>
    <row r="37" spans="1:28" ht="12.75" x14ac:dyDescent="0.2">
      <c r="A37" s="3" t="str">
        <f>'Forecast drivers'!B39</f>
        <v>WSH</v>
      </c>
      <c r="B37" s="3">
        <f>'Forecast drivers'!C39</f>
        <v>2022</v>
      </c>
      <c r="C37" s="32" t="str">
        <f>'Forecast drivers'!A39</f>
        <v>WSH22</v>
      </c>
      <c r="D37" s="46">
        <f>EXP('Model coeffs'!$D$16+'Model coeffs'!$D$6*'Forecast drivers'!E39+'Model coeffs'!$D$7*'Forecast drivers'!I39+'Model coeffs'!$D$8*'Forecast drivers'!H39)</f>
        <v>94.954397808614289</v>
      </c>
      <c r="E37" s="46">
        <f>EXP('Model coeffs'!$E$16+'Model coeffs'!$E$6*'Forecast drivers'!E39+'Model coeffs'!$E$7*'Forecast drivers'!I39+'Model coeffs'!$E$9*'Forecast drivers'!M39)</f>
        <v>85.330829486181983</v>
      </c>
      <c r="F37" s="46">
        <f>EXP('Model coeffs'!$F$16+'Model coeffs'!$F$10*'Forecast drivers'!F39+'Model coeffs'!$F$11*'Forecast drivers'!J39+'Model coeffs'!$F$12*'Forecast drivers'!K39)</f>
        <v>113.81373719622444</v>
      </c>
      <c r="G37" s="46">
        <f>EXP('Model coeffs'!$G$16+'Model coeffs'!$G$10*'Forecast drivers'!F39+'Model coeffs'!$G$12*'Forecast drivers'!K39+'Model coeffs'!$G$13*'Forecast drivers'!L39)</f>
        <v>106.14779806660427</v>
      </c>
      <c r="H37" s="47">
        <f>EXP('Model coeffs'!$H$16+'Model coeffs'!$H$9*'Forecast drivers'!M39+'Model coeffs'!$H$11*'Forecast drivers'!J39+'Model coeffs'!$H$14*'Forecast drivers'!G39)</f>
        <v>33.801859977171176</v>
      </c>
      <c r="I37" s="47">
        <f>EXP('Model coeffs'!$I$16+'Model coeffs'!$I$14*'Forecast drivers'!G39+'Model coeffs'!$I$15*'Forecast drivers'!N39)</f>
        <v>31.480053649542356</v>
      </c>
      <c r="J37" s="47">
        <f>EXP('Model coeffs'!$J$16+'Model coeffs'!$J$10*'Forecast drivers'!F39+'Model coeffs'!$J$11*'Forecast drivers'!J39+'Model coeffs'!$J$12*'Forecast drivers'!K39)</f>
        <v>147.42586139337968</v>
      </c>
      <c r="K37" s="47">
        <f>EXP('Model coeffs'!$K$16+'Model coeffs'!$K$10*'Forecast drivers'!F39+'Model coeffs'!$K$12*'Forecast drivers'!K39+'Model coeffs'!$K$13*'Forecast drivers'!L39)</f>
        <v>138.23444474152993</v>
      </c>
      <c r="L37" s="66"/>
      <c r="M37" s="43">
        <f t="shared" si="5"/>
        <v>90.142613647398136</v>
      </c>
      <c r="N37" s="43">
        <f t="shared" si="6"/>
        <v>109.98076763141435</v>
      </c>
      <c r="O37" s="43">
        <f t="shared" si="7"/>
        <v>200.12338127881247</v>
      </c>
      <c r="P37" s="43">
        <f t="shared" si="8"/>
        <v>32.640956813356766</v>
      </c>
      <c r="Q37" s="43">
        <f t="shared" si="9"/>
        <v>142.8301530674548</v>
      </c>
      <c r="R37" s="43">
        <f t="shared" si="10"/>
        <v>32.84938543604045</v>
      </c>
      <c r="S37" s="43">
        <f t="shared" si="11"/>
        <v>32.745171124698608</v>
      </c>
      <c r="T37" s="43">
        <f t="shared" si="12"/>
        <v>232.76433809216923</v>
      </c>
      <c r="U37" s="43">
        <f t="shared" si="13"/>
        <v>232.97276671485292</v>
      </c>
      <c r="V37" s="94">
        <f t="shared" si="2"/>
        <v>232.86855240351107</v>
      </c>
      <c r="X37" s="43">
        <f>(O37*Controls!$G$12)+(P37*Controls!$H$12)</f>
        <v>197.37887568943609</v>
      </c>
      <c r="Y37" s="43">
        <f>(O37*Controls!$G$12)+(R37*Controls!$H$12)</f>
        <v>197.37887568943609</v>
      </c>
      <c r="Z37" s="43">
        <f t="shared" si="14"/>
        <v>197.37887568943609</v>
      </c>
      <c r="AA37" s="160">
        <f>-(INDEX(Controls!$G$14:$G$18,MATCH($B37,Controls!$C$14:$C$18,0),0))*$Z37</f>
        <v>-4.3861731134581783</v>
      </c>
      <c r="AB37" s="94">
        <f t="shared" si="3"/>
        <v>192.99270257597792</v>
      </c>
    </row>
    <row r="38" spans="1:28" ht="12.75" x14ac:dyDescent="0.2">
      <c r="A38" s="3" t="str">
        <f>'Forecast drivers'!B40</f>
        <v>WSH</v>
      </c>
      <c r="B38" s="3">
        <f>'Forecast drivers'!C40</f>
        <v>2023</v>
      </c>
      <c r="C38" s="32" t="str">
        <f>'Forecast drivers'!A40</f>
        <v>WSH23</v>
      </c>
      <c r="D38" s="46">
        <f>EXP('Model coeffs'!$D$16+'Model coeffs'!$D$6*'Forecast drivers'!E40+'Model coeffs'!$D$7*'Forecast drivers'!I40+'Model coeffs'!$D$8*'Forecast drivers'!H40)</f>
        <v>95.523967747420471</v>
      </c>
      <c r="E38" s="46">
        <f>EXP('Model coeffs'!$E$16+'Model coeffs'!$E$6*'Forecast drivers'!E40+'Model coeffs'!$E$7*'Forecast drivers'!I40+'Model coeffs'!$E$9*'Forecast drivers'!M40)</f>
        <v>85.634345954882519</v>
      </c>
      <c r="F38" s="46">
        <f>EXP('Model coeffs'!$F$16+'Model coeffs'!$F$10*'Forecast drivers'!F40+'Model coeffs'!$F$11*'Forecast drivers'!J40+'Model coeffs'!$F$12*'Forecast drivers'!K40)</f>
        <v>114.53009376894224</v>
      </c>
      <c r="G38" s="46">
        <f>EXP('Model coeffs'!$G$16+'Model coeffs'!$G$10*'Forecast drivers'!F40+'Model coeffs'!$G$12*'Forecast drivers'!K40+'Model coeffs'!$G$13*'Forecast drivers'!L40)</f>
        <v>106.80853318496438</v>
      </c>
      <c r="H38" s="47">
        <f>EXP('Model coeffs'!$H$16+'Model coeffs'!$H$9*'Forecast drivers'!M40+'Model coeffs'!$H$11*'Forecast drivers'!J40+'Model coeffs'!$H$14*'Forecast drivers'!G40)</f>
        <v>34.233974962080332</v>
      </c>
      <c r="I38" s="47">
        <f>EXP('Model coeffs'!$I$16+'Model coeffs'!$I$14*'Forecast drivers'!G40+'Model coeffs'!$I$15*'Forecast drivers'!N40)</f>
        <v>31.799940644817568</v>
      </c>
      <c r="J38" s="47">
        <f>EXP('Model coeffs'!$J$16+'Model coeffs'!$J$10*'Forecast drivers'!F40+'Model coeffs'!$J$11*'Forecast drivers'!J40+'Model coeffs'!$J$12*'Forecast drivers'!K40)</f>
        <v>148.33644137416874</v>
      </c>
      <c r="K38" s="47">
        <f>EXP('Model coeffs'!$K$16+'Model coeffs'!$K$10*'Forecast drivers'!F40+'Model coeffs'!$K$12*'Forecast drivers'!K40+'Model coeffs'!$K$13*'Forecast drivers'!L40)</f>
        <v>139.05644691618701</v>
      </c>
      <c r="L38" s="66"/>
      <c r="M38" s="43">
        <f t="shared" si="5"/>
        <v>90.579156851151495</v>
      </c>
      <c r="N38" s="43">
        <f t="shared" si="6"/>
        <v>110.66931347695331</v>
      </c>
      <c r="O38" s="43">
        <f t="shared" si="7"/>
        <v>201.24847032810482</v>
      </c>
      <c r="P38" s="43">
        <f t="shared" si="8"/>
        <v>33.016957803448946</v>
      </c>
      <c r="Q38" s="43">
        <f t="shared" si="9"/>
        <v>143.69644414517788</v>
      </c>
      <c r="R38" s="43">
        <f t="shared" si="10"/>
        <v>33.027130668224572</v>
      </c>
      <c r="S38" s="43">
        <f t="shared" si="11"/>
        <v>33.022044235836759</v>
      </c>
      <c r="T38" s="43">
        <f t="shared" si="12"/>
        <v>234.26542813155376</v>
      </c>
      <c r="U38" s="43">
        <f t="shared" si="13"/>
        <v>234.27560099632939</v>
      </c>
      <c r="V38" s="94">
        <f t="shared" ref="V38:V65" si="16">T$4*T38+U$4*U38</f>
        <v>234.27051456394156</v>
      </c>
      <c r="X38" s="43">
        <f>(O38*Controls!$G$12)+(P38*Controls!$H$12)</f>
        <v>198.48853519139317</v>
      </c>
      <c r="Y38" s="43">
        <f>(O38*Controls!$G$12)+(R38*Controls!$H$12)</f>
        <v>198.48853519139317</v>
      </c>
      <c r="Z38" s="43">
        <f t="shared" si="14"/>
        <v>198.48853519139317</v>
      </c>
      <c r="AA38" s="160">
        <f>-(INDEX(Controls!$G$14:$G$18,MATCH($B38,Controls!$C$14:$C$18,0),0))*$Z38</f>
        <v>-6.6224351811116264</v>
      </c>
      <c r="AB38" s="94">
        <f t="shared" ref="AB38:AB65" si="17">Z38+AA38</f>
        <v>191.86610001028154</v>
      </c>
    </row>
    <row r="39" spans="1:28" ht="12.75" x14ac:dyDescent="0.2">
      <c r="A39" s="3" t="str">
        <f>'Forecast drivers'!B41</f>
        <v>WSH</v>
      </c>
      <c r="B39" s="3">
        <f>'Forecast drivers'!C41</f>
        <v>2024</v>
      </c>
      <c r="C39" s="32" t="str">
        <f>'Forecast drivers'!A41</f>
        <v>WSH24</v>
      </c>
      <c r="D39" s="46">
        <f>EXP('Model coeffs'!$D$16+'Model coeffs'!$D$6*'Forecast drivers'!E41+'Model coeffs'!$D$7*'Forecast drivers'!I41+'Model coeffs'!$D$8*'Forecast drivers'!H41)</f>
        <v>96.066965339686092</v>
      </c>
      <c r="E39" s="46">
        <f>EXP('Model coeffs'!$E$16+'Model coeffs'!$E$6*'Forecast drivers'!E41+'Model coeffs'!$E$7*'Forecast drivers'!I41+'Model coeffs'!$E$9*'Forecast drivers'!M41)</f>
        <v>85.943001567074518</v>
      </c>
      <c r="F39" s="46">
        <f>EXP('Model coeffs'!$F$16+'Model coeffs'!$F$10*'Forecast drivers'!F41+'Model coeffs'!$F$11*'Forecast drivers'!J41+'Model coeffs'!$F$12*'Forecast drivers'!K41)</f>
        <v>115.08059861215924</v>
      </c>
      <c r="G39" s="46">
        <f>EXP('Model coeffs'!$G$16+'Model coeffs'!$G$10*'Forecast drivers'!F41+'Model coeffs'!$G$12*'Forecast drivers'!K41+'Model coeffs'!$G$13*'Forecast drivers'!L41)</f>
        <v>107.31626321772357</v>
      </c>
      <c r="H39" s="47">
        <f>EXP('Model coeffs'!$H$16+'Model coeffs'!$H$9*'Forecast drivers'!M41+'Model coeffs'!$H$11*'Forecast drivers'!J41+'Model coeffs'!$H$14*'Forecast drivers'!G41)</f>
        <v>34.608920773993887</v>
      </c>
      <c r="I39" s="47">
        <f>EXP('Model coeffs'!$I$16+'Model coeffs'!$I$14*'Forecast drivers'!G41+'Model coeffs'!$I$15*'Forecast drivers'!N41)</f>
        <v>32.145923104753976</v>
      </c>
      <c r="J39" s="47">
        <f>EXP('Model coeffs'!$J$16+'Model coeffs'!$J$10*'Forecast drivers'!F41+'Model coeffs'!$J$11*'Forecast drivers'!J41+'Model coeffs'!$J$12*'Forecast drivers'!K41)</f>
        <v>149.03613067889381</v>
      </c>
      <c r="K39" s="47">
        <f>EXP('Model coeffs'!$K$16+'Model coeffs'!$K$10*'Forecast drivers'!F41+'Model coeffs'!$K$12*'Forecast drivers'!K41+'Model coeffs'!$K$13*'Forecast drivers'!L41)</f>
        <v>139.68794568377777</v>
      </c>
      <c r="L39" s="66"/>
      <c r="M39" s="43">
        <f t="shared" si="5"/>
        <v>91.004983453380305</v>
      </c>
      <c r="N39" s="43">
        <f t="shared" si="6"/>
        <v>111.19843091494141</v>
      </c>
      <c r="O39" s="43">
        <f t="shared" si="7"/>
        <v>202.20341436832172</v>
      </c>
      <c r="P39" s="43">
        <f t="shared" si="8"/>
        <v>33.377421939373932</v>
      </c>
      <c r="Q39" s="43">
        <f t="shared" si="9"/>
        <v>144.36203818133578</v>
      </c>
      <c r="R39" s="43">
        <f t="shared" si="10"/>
        <v>33.163607266394365</v>
      </c>
      <c r="S39" s="43">
        <f t="shared" si="11"/>
        <v>33.270514602884148</v>
      </c>
      <c r="T39" s="43">
        <f t="shared" si="12"/>
        <v>235.58083630769565</v>
      </c>
      <c r="U39" s="43">
        <f t="shared" si="13"/>
        <v>235.36702163471608</v>
      </c>
      <c r="V39" s="94">
        <f t="shared" si="16"/>
        <v>235.47392897120585</v>
      </c>
      <c r="X39" s="43">
        <f>(O39*Controls!$G$12)+(P39*Controls!$H$12)</f>
        <v>199.43038306443975</v>
      </c>
      <c r="Y39" s="43">
        <f>(O39*Controls!$G$12)+(R39*Controls!$H$12)</f>
        <v>199.43038306443975</v>
      </c>
      <c r="Z39" s="43">
        <f t="shared" si="14"/>
        <v>199.43038306443975</v>
      </c>
      <c r="AA39" s="160">
        <f>-(INDEX(Controls!$G$14:$G$18,MATCH($B39,Controls!$C$14:$C$18,0),0))*$Z39</f>
        <v>-8.8177438405598085</v>
      </c>
      <c r="AB39" s="94">
        <f t="shared" si="17"/>
        <v>190.61263922387994</v>
      </c>
    </row>
    <row r="40" spans="1:28" ht="12.75" x14ac:dyDescent="0.2">
      <c r="A40" s="3" t="str">
        <f>'Forecast drivers'!B42</f>
        <v>WSH</v>
      </c>
      <c r="B40" s="3">
        <f>'Forecast drivers'!C42</f>
        <v>2025</v>
      </c>
      <c r="C40" s="32" t="str">
        <f>'Forecast drivers'!A42</f>
        <v>WSH25</v>
      </c>
      <c r="D40" s="46">
        <f>EXP('Model coeffs'!$D$16+'Model coeffs'!$D$6*'Forecast drivers'!E42+'Model coeffs'!$D$7*'Forecast drivers'!I42+'Model coeffs'!$D$8*'Forecast drivers'!H42)</f>
        <v>96.593502326739426</v>
      </c>
      <c r="E40" s="46">
        <f>EXP('Model coeffs'!$E$16+'Model coeffs'!$E$6*'Forecast drivers'!E42+'Model coeffs'!$E$7*'Forecast drivers'!I42+'Model coeffs'!$E$9*'Forecast drivers'!M42)</f>
        <v>86.252216568417182</v>
      </c>
      <c r="F40" s="46">
        <f>EXP('Model coeffs'!$F$16+'Model coeffs'!$F$10*'Forecast drivers'!F42+'Model coeffs'!$F$11*'Forecast drivers'!J42+'Model coeffs'!$F$12*'Forecast drivers'!K42)</f>
        <v>115.63528044170796</v>
      </c>
      <c r="G40" s="46">
        <f>EXP('Model coeffs'!$G$16+'Model coeffs'!$G$10*'Forecast drivers'!F42+'Model coeffs'!$G$12*'Forecast drivers'!K42+'Model coeffs'!$G$13*'Forecast drivers'!L42)</f>
        <v>107.82781866287628</v>
      </c>
      <c r="H40" s="47">
        <f>EXP('Model coeffs'!$H$16+'Model coeffs'!$H$9*'Forecast drivers'!M42+'Model coeffs'!$H$11*'Forecast drivers'!J42+'Model coeffs'!$H$14*'Forecast drivers'!G42)</f>
        <v>35.0383244237197</v>
      </c>
      <c r="I40" s="47">
        <f>EXP('Model coeffs'!$I$16+'Model coeffs'!$I$14*'Forecast drivers'!G42+'Model coeffs'!$I$15*'Forecast drivers'!N42)</f>
        <v>32.51774334212007</v>
      </c>
      <c r="J40" s="47">
        <f>EXP('Model coeffs'!$J$16+'Model coeffs'!$J$10*'Forecast drivers'!F42+'Model coeffs'!$J$11*'Forecast drivers'!J42+'Model coeffs'!$J$12*'Forecast drivers'!K42)</f>
        <v>149.74106587040927</v>
      </c>
      <c r="K40" s="47">
        <f>EXP('Model coeffs'!$K$16+'Model coeffs'!$K$10*'Forecast drivers'!F42+'Model coeffs'!$K$12*'Forecast drivers'!K42+'Model coeffs'!$K$13*'Forecast drivers'!L42)</f>
        <v>140.32406773406848</v>
      </c>
      <c r="L40" s="66"/>
      <c r="M40" s="43">
        <f t="shared" si="5"/>
        <v>91.422859447578304</v>
      </c>
      <c r="N40" s="43">
        <f t="shared" si="6"/>
        <v>111.73154955229212</v>
      </c>
      <c r="O40" s="43">
        <f t="shared" si="7"/>
        <v>203.15440899987044</v>
      </c>
      <c r="P40" s="43">
        <f t="shared" si="8"/>
        <v>33.778033882919885</v>
      </c>
      <c r="Q40" s="43">
        <f t="shared" si="9"/>
        <v>145.03256680223888</v>
      </c>
      <c r="R40" s="43">
        <f t="shared" si="10"/>
        <v>33.301017249946753</v>
      </c>
      <c r="S40" s="43">
        <f t="shared" si="11"/>
        <v>33.539525566433319</v>
      </c>
      <c r="T40" s="43">
        <f t="shared" si="12"/>
        <v>236.93244288279033</v>
      </c>
      <c r="U40" s="43">
        <f t="shared" si="13"/>
        <v>236.45542624981718</v>
      </c>
      <c r="V40" s="94">
        <f t="shared" si="16"/>
        <v>236.69393456630377</v>
      </c>
      <c r="X40" s="43">
        <f>(O40*Controls!$G$12)+(P40*Controls!$H$12)</f>
        <v>200.36833569127583</v>
      </c>
      <c r="Y40" s="43">
        <f>(O40*Controls!$G$12)+(R40*Controls!$H$12)</f>
        <v>200.36833569127583</v>
      </c>
      <c r="Z40" s="43">
        <f t="shared" si="14"/>
        <v>200.36833569127583</v>
      </c>
      <c r="AA40" s="160">
        <f>-(INDEX(Controls!$G$14:$G$18,MATCH($B40,Controls!$C$14:$C$18,0),0))*$Z40</f>
        <v>-10.972413346995332</v>
      </c>
      <c r="AB40" s="94">
        <f t="shared" si="17"/>
        <v>189.39592234428051</v>
      </c>
    </row>
    <row r="41" spans="1:28" ht="12.75" x14ac:dyDescent="0.2">
      <c r="A41" s="3" t="str">
        <f>'Forecast drivers'!B43</f>
        <v>WSX</v>
      </c>
      <c r="B41" s="3">
        <f>'Forecast drivers'!C43</f>
        <v>2021</v>
      </c>
      <c r="C41" s="32" t="str">
        <f>'Forecast drivers'!A43</f>
        <v>WSX21</v>
      </c>
      <c r="D41" s="46">
        <f>EXP('Model coeffs'!$D$16+'Model coeffs'!$D$6*'Forecast drivers'!E43+'Model coeffs'!$D$7*'Forecast drivers'!I43+'Model coeffs'!$D$8*'Forecast drivers'!H43)</f>
        <v>76.455322401639293</v>
      </c>
      <c r="E41" s="46">
        <f>EXP('Model coeffs'!$E$16+'Model coeffs'!$E$6*'Forecast drivers'!E43+'Model coeffs'!$E$7*'Forecast drivers'!I43+'Model coeffs'!$E$9*'Forecast drivers'!M43)</f>
        <v>86.762222303555276</v>
      </c>
      <c r="F41" s="46">
        <f>EXP('Model coeffs'!$F$16+'Model coeffs'!$F$10*'Forecast drivers'!F43+'Model coeffs'!$F$11*'Forecast drivers'!J43+'Model coeffs'!$F$12*'Forecast drivers'!K43)</f>
        <v>81.444116721553158</v>
      </c>
      <c r="G41" s="46">
        <f>EXP('Model coeffs'!$G$16+'Model coeffs'!$G$10*'Forecast drivers'!F43+'Model coeffs'!$G$12*'Forecast drivers'!K43+'Model coeffs'!$G$13*'Forecast drivers'!L43)</f>
        <v>87.347168997741392</v>
      </c>
      <c r="H41" s="47">
        <f>EXP('Model coeffs'!$H$16+'Model coeffs'!$H$9*'Forecast drivers'!M43+'Model coeffs'!$H$11*'Forecast drivers'!J43+'Model coeffs'!$H$14*'Forecast drivers'!G43)</f>
        <v>25.621577733587852</v>
      </c>
      <c r="I41" s="47">
        <f>EXP('Model coeffs'!$I$16+'Model coeffs'!$I$14*'Forecast drivers'!G43+'Model coeffs'!$I$15*'Forecast drivers'!N43)</f>
        <v>26.16848314129426</v>
      </c>
      <c r="J41" s="47">
        <f>EXP('Model coeffs'!$J$16+'Model coeffs'!$J$10*'Forecast drivers'!F43+'Model coeffs'!$J$11*'Forecast drivers'!J43+'Model coeffs'!$J$12*'Forecast drivers'!K43)</f>
        <v>107.74964895366296</v>
      </c>
      <c r="K41" s="47">
        <f>EXP('Model coeffs'!$K$16+'Model coeffs'!$K$10*'Forecast drivers'!F43+'Model coeffs'!$K$12*'Forecast drivers'!K43+'Model coeffs'!$K$13*'Forecast drivers'!L43)</f>
        <v>114.5241781747708</v>
      </c>
      <c r="L41" s="66"/>
      <c r="M41" s="43">
        <f t="shared" si="5"/>
        <v>81.608772352597285</v>
      </c>
      <c r="N41" s="43">
        <f t="shared" si="6"/>
        <v>84.395642859647268</v>
      </c>
      <c r="O41" s="43">
        <f t="shared" si="7"/>
        <v>166.00441521224457</v>
      </c>
      <c r="P41" s="43">
        <f t="shared" si="8"/>
        <v>25.895030437441058</v>
      </c>
      <c r="Q41" s="43">
        <f t="shared" si="9"/>
        <v>111.13691356421688</v>
      </c>
      <c r="R41" s="43">
        <f t="shared" si="10"/>
        <v>26.741270704569615</v>
      </c>
      <c r="S41" s="43">
        <f t="shared" si="11"/>
        <v>26.318150571005337</v>
      </c>
      <c r="T41" s="43">
        <f t="shared" si="12"/>
        <v>191.89944564968562</v>
      </c>
      <c r="U41" s="43">
        <f t="shared" si="13"/>
        <v>192.74568591681418</v>
      </c>
      <c r="V41" s="94">
        <f t="shared" si="16"/>
        <v>192.3225657832499</v>
      </c>
      <c r="X41" s="43">
        <f>(O41*Controls!$G$12)+(P41*Controls!$H$12)</f>
        <v>163.72781943168246</v>
      </c>
      <c r="Y41" s="43">
        <f>(O41*Controls!$G$12)+(R41*Controls!$H$12)</f>
        <v>163.72781943168246</v>
      </c>
      <c r="Z41" s="43">
        <f t="shared" si="14"/>
        <v>163.72781943168246</v>
      </c>
      <c r="AA41" s="160">
        <f>-(INDEX(Controls!$G$14:$G$18,MATCH($B41,Controls!$C$14:$C$18,0),0))*$Z41</f>
        <v>-1.8010060137485069</v>
      </c>
      <c r="AB41" s="94">
        <f t="shared" si="17"/>
        <v>161.92681341793394</v>
      </c>
    </row>
    <row r="42" spans="1:28" ht="12.75" x14ac:dyDescent="0.2">
      <c r="A42" s="3" t="str">
        <f>'Forecast drivers'!B44</f>
        <v>WSX</v>
      </c>
      <c r="B42" s="3">
        <f>'Forecast drivers'!C44</f>
        <v>2022</v>
      </c>
      <c r="C42" s="32" t="str">
        <f>'Forecast drivers'!A44</f>
        <v>WSX22</v>
      </c>
      <c r="D42" s="46">
        <f>EXP('Model coeffs'!$D$16+'Model coeffs'!$D$6*'Forecast drivers'!E44+'Model coeffs'!$D$7*'Forecast drivers'!I44+'Model coeffs'!$D$8*'Forecast drivers'!H44)</f>
        <v>77.100570110088981</v>
      </c>
      <c r="E42" s="46">
        <f>EXP('Model coeffs'!$E$16+'Model coeffs'!$E$6*'Forecast drivers'!E44+'Model coeffs'!$E$7*'Forecast drivers'!I44+'Model coeffs'!$E$9*'Forecast drivers'!M44)</f>
        <v>87.176586039324235</v>
      </c>
      <c r="F42" s="46">
        <f>EXP('Model coeffs'!$F$16+'Model coeffs'!$F$10*'Forecast drivers'!F44+'Model coeffs'!$F$11*'Forecast drivers'!J44+'Model coeffs'!$F$12*'Forecast drivers'!K44)</f>
        <v>81.894377716667293</v>
      </c>
      <c r="G42" s="46">
        <f>EXP('Model coeffs'!$G$16+'Model coeffs'!$G$10*'Forecast drivers'!F44+'Model coeffs'!$G$12*'Forecast drivers'!K44+'Model coeffs'!$G$13*'Forecast drivers'!L44)</f>
        <v>87.824739065634915</v>
      </c>
      <c r="H42" s="47">
        <f>EXP('Model coeffs'!$H$16+'Model coeffs'!$H$9*'Forecast drivers'!M44+'Model coeffs'!$H$11*'Forecast drivers'!J44+'Model coeffs'!$H$14*'Forecast drivers'!G44)</f>
        <v>25.834080083462087</v>
      </c>
      <c r="I42" s="47">
        <f>EXP('Model coeffs'!$I$16+'Model coeffs'!$I$14*'Forecast drivers'!G44+'Model coeffs'!$I$15*'Forecast drivers'!N44)</f>
        <v>26.385263000421673</v>
      </c>
      <c r="J42" s="47">
        <f>EXP('Model coeffs'!$J$16+'Model coeffs'!$J$10*'Forecast drivers'!F44+'Model coeffs'!$J$11*'Forecast drivers'!J44+'Model coeffs'!$J$12*'Forecast drivers'!K44)</f>
        <v>108.33421477003441</v>
      </c>
      <c r="K42" s="47">
        <f>EXP('Model coeffs'!$K$16+'Model coeffs'!$K$10*'Forecast drivers'!F44+'Model coeffs'!$K$12*'Forecast drivers'!K44+'Model coeffs'!$K$13*'Forecast drivers'!L44)</f>
        <v>115.12235976322214</v>
      </c>
      <c r="L42" s="66"/>
      <c r="M42" s="43">
        <f t="shared" si="5"/>
        <v>82.138578074706601</v>
      </c>
      <c r="N42" s="43">
        <f t="shared" si="6"/>
        <v>84.859558391151097</v>
      </c>
      <c r="O42" s="43">
        <f t="shared" si="7"/>
        <v>166.9981364658577</v>
      </c>
      <c r="P42" s="43">
        <f t="shared" si="8"/>
        <v>26.109671541941879</v>
      </c>
      <c r="Q42" s="43">
        <f t="shared" si="9"/>
        <v>111.72828726662827</v>
      </c>
      <c r="R42" s="43">
        <f t="shared" si="10"/>
        <v>26.868728875477174</v>
      </c>
      <c r="S42" s="43">
        <f t="shared" si="11"/>
        <v>26.489200208709526</v>
      </c>
      <c r="T42" s="43">
        <f t="shared" si="12"/>
        <v>193.10780800779958</v>
      </c>
      <c r="U42" s="43">
        <f t="shared" si="13"/>
        <v>193.86686534133486</v>
      </c>
      <c r="V42" s="94">
        <f t="shared" si="16"/>
        <v>193.48733667456722</v>
      </c>
      <c r="X42" s="43">
        <f>(O42*Controls!$G$12)+(P42*Controls!$H$12)</f>
        <v>164.70791272479744</v>
      </c>
      <c r="Y42" s="43">
        <f>(O42*Controls!$G$12)+(R42*Controls!$H$12)</f>
        <v>164.70791272479744</v>
      </c>
      <c r="Z42" s="43">
        <f t="shared" si="14"/>
        <v>164.70791272479744</v>
      </c>
      <c r="AA42" s="160">
        <f>-(INDEX(Controls!$G$14:$G$18,MATCH($B42,Controls!$C$14:$C$18,0),0))*$Z42</f>
        <v>-3.6601557073616884</v>
      </c>
      <c r="AB42" s="94">
        <f t="shared" si="17"/>
        <v>161.04775701743574</v>
      </c>
    </row>
    <row r="43" spans="1:28" ht="12.75" x14ac:dyDescent="0.2">
      <c r="A43" s="3" t="str">
        <f>'Forecast drivers'!B45</f>
        <v>WSX</v>
      </c>
      <c r="B43" s="3">
        <f>'Forecast drivers'!C45</f>
        <v>2023</v>
      </c>
      <c r="C43" s="32" t="str">
        <f>'Forecast drivers'!A45</f>
        <v>WSX23</v>
      </c>
      <c r="D43" s="46">
        <f>EXP('Model coeffs'!$D$16+'Model coeffs'!$D$6*'Forecast drivers'!E45+'Model coeffs'!$D$7*'Forecast drivers'!I45+'Model coeffs'!$D$8*'Forecast drivers'!H45)</f>
        <v>77.844933245960377</v>
      </c>
      <c r="E43" s="46">
        <f>EXP('Model coeffs'!$E$16+'Model coeffs'!$E$6*'Forecast drivers'!E45+'Model coeffs'!$E$7*'Forecast drivers'!I45+'Model coeffs'!$E$9*'Forecast drivers'!M45)</f>
        <v>87.593437439494394</v>
      </c>
      <c r="F43" s="46">
        <f>EXP('Model coeffs'!$F$16+'Model coeffs'!$F$10*'Forecast drivers'!F45+'Model coeffs'!$F$11*'Forecast drivers'!J45+'Model coeffs'!$F$12*'Forecast drivers'!K45)</f>
        <v>82.27320070413748</v>
      </c>
      <c r="G43" s="46">
        <f>EXP('Model coeffs'!$G$16+'Model coeffs'!$G$10*'Forecast drivers'!F45+'Model coeffs'!$G$12*'Forecast drivers'!K45+'Model coeffs'!$G$13*'Forecast drivers'!L45)</f>
        <v>88.226515916704798</v>
      </c>
      <c r="H43" s="47">
        <f>EXP('Model coeffs'!$H$16+'Model coeffs'!$H$9*'Forecast drivers'!M45+'Model coeffs'!$H$11*'Forecast drivers'!J45+'Model coeffs'!$H$14*'Forecast drivers'!G45)</f>
        <v>25.99125171517132</v>
      </c>
      <c r="I43" s="47">
        <f>EXP('Model coeffs'!$I$16+'Model coeffs'!$I$14*'Forecast drivers'!G45+'Model coeffs'!$I$15*'Forecast drivers'!N45)</f>
        <v>26.516583697900732</v>
      </c>
      <c r="J43" s="47">
        <f>EXP('Model coeffs'!$J$16+'Model coeffs'!$J$10*'Forecast drivers'!F45+'Model coeffs'!$J$11*'Forecast drivers'!J45+'Model coeffs'!$J$12*'Forecast drivers'!K45)</f>
        <v>108.82598751787262</v>
      </c>
      <c r="K43" s="47">
        <f>EXP('Model coeffs'!$K$16+'Model coeffs'!$K$10*'Forecast drivers'!F45+'Model coeffs'!$K$12*'Forecast drivers'!K45+'Model coeffs'!$K$13*'Forecast drivers'!L45)</f>
        <v>115.62549406647574</v>
      </c>
      <c r="L43" s="66"/>
      <c r="M43" s="43">
        <f t="shared" si="5"/>
        <v>82.719185342727386</v>
      </c>
      <c r="N43" s="43">
        <f t="shared" si="6"/>
        <v>85.249858310421132</v>
      </c>
      <c r="O43" s="43">
        <f t="shared" si="7"/>
        <v>167.9690436531485</v>
      </c>
      <c r="P43" s="43">
        <f t="shared" si="8"/>
        <v>26.253917706536026</v>
      </c>
      <c r="Q43" s="43">
        <f t="shared" si="9"/>
        <v>112.22574079217418</v>
      </c>
      <c r="R43" s="43">
        <f t="shared" si="10"/>
        <v>26.975882481753047</v>
      </c>
      <c r="S43" s="43">
        <f t="shared" si="11"/>
        <v>26.614900094144538</v>
      </c>
      <c r="T43" s="43">
        <f t="shared" si="12"/>
        <v>194.22296135968452</v>
      </c>
      <c r="U43" s="43">
        <f t="shared" si="13"/>
        <v>194.94492613490155</v>
      </c>
      <c r="V43" s="94">
        <f t="shared" si="16"/>
        <v>194.58394374729303</v>
      </c>
      <c r="X43" s="43">
        <f>(O43*Controls!$G$12)+(P43*Controls!$H$12)</f>
        <v>165.66550482523903</v>
      </c>
      <c r="Y43" s="43">
        <f>(O43*Controls!$G$12)+(R43*Controls!$H$12)</f>
        <v>165.66550482523903</v>
      </c>
      <c r="Z43" s="43">
        <f t="shared" si="14"/>
        <v>165.66550482523903</v>
      </c>
      <c r="AA43" s="160">
        <f>-(INDEX(Controls!$G$14:$G$18,MATCH($B43,Controls!$C$14:$C$18,0),0))*$Z43</f>
        <v>-5.5273170633930571</v>
      </c>
      <c r="AB43" s="94">
        <f t="shared" si="17"/>
        <v>160.13818776184596</v>
      </c>
    </row>
    <row r="44" spans="1:28" ht="12.75" x14ac:dyDescent="0.2">
      <c r="A44" s="3" t="str">
        <f>'Forecast drivers'!B46</f>
        <v>WSX</v>
      </c>
      <c r="B44" s="3">
        <f>'Forecast drivers'!C46</f>
        <v>2024</v>
      </c>
      <c r="C44" s="32" t="str">
        <f>'Forecast drivers'!A46</f>
        <v>WSX24</v>
      </c>
      <c r="D44" s="46">
        <f>EXP('Model coeffs'!$D$16+'Model coeffs'!$D$6*'Forecast drivers'!E46+'Model coeffs'!$D$7*'Forecast drivers'!I46+'Model coeffs'!$D$8*'Forecast drivers'!H46)</f>
        <v>78.580898023814044</v>
      </c>
      <c r="E44" s="46">
        <f>EXP('Model coeffs'!$E$16+'Model coeffs'!$E$6*'Forecast drivers'!E46+'Model coeffs'!$E$7*'Forecast drivers'!I46+'Model coeffs'!$E$9*'Forecast drivers'!M46)</f>
        <v>88.009946687993562</v>
      </c>
      <c r="F44" s="46">
        <f>EXP('Model coeffs'!$F$16+'Model coeffs'!$F$10*'Forecast drivers'!F46+'Model coeffs'!$F$11*'Forecast drivers'!J46+'Model coeffs'!$F$12*'Forecast drivers'!K46)</f>
        <v>82.553778739044404</v>
      </c>
      <c r="G44" s="46">
        <f>EXP('Model coeffs'!$G$16+'Model coeffs'!$G$10*'Forecast drivers'!F46+'Model coeffs'!$G$12*'Forecast drivers'!K46+'Model coeffs'!$G$13*'Forecast drivers'!L46)</f>
        <v>88.524081778534892</v>
      </c>
      <c r="H44" s="47">
        <f>EXP('Model coeffs'!$H$16+'Model coeffs'!$H$9*'Forecast drivers'!M46+'Model coeffs'!$H$11*'Forecast drivers'!J46+'Model coeffs'!$H$14*'Forecast drivers'!G46)</f>
        <v>26.295866213122494</v>
      </c>
      <c r="I44" s="47">
        <f>EXP('Model coeffs'!$I$16+'Model coeffs'!$I$14*'Forecast drivers'!G46+'Model coeffs'!$I$15*'Forecast drivers'!N46)</f>
        <v>26.794374590107619</v>
      </c>
      <c r="J44" s="47">
        <f>EXP('Model coeffs'!$J$16+'Model coeffs'!$J$10*'Forecast drivers'!F46+'Model coeffs'!$J$11*'Forecast drivers'!J46+'Model coeffs'!$J$12*'Forecast drivers'!K46)</f>
        <v>109.1901954297639</v>
      </c>
      <c r="K44" s="47">
        <f>EXP('Model coeffs'!$K$16+'Model coeffs'!$K$10*'Forecast drivers'!F46+'Model coeffs'!$K$12*'Forecast drivers'!K46+'Model coeffs'!$K$13*'Forecast drivers'!L46)</f>
        <v>115.99806192162826</v>
      </c>
      <c r="L44" s="66"/>
      <c r="M44" s="43">
        <f t="shared" si="5"/>
        <v>83.29542235590381</v>
      </c>
      <c r="N44" s="43">
        <f t="shared" si="6"/>
        <v>85.538930258789648</v>
      </c>
      <c r="O44" s="43">
        <f t="shared" si="7"/>
        <v>168.83435261469344</v>
      </c>
      <c r="P44" s="43">
        <f t="shared" si="8"/>
        <v>26.545120401615058</v>
      </c>
      <c r="Q44" s="43">
        <f t="shared" si="9"/>
        <v>112.59412867569608</v>
      </c>
      <c r="R44" s="43">
        <f t="shared" si="10"/>
        <v>27.055198416906435</v>
      </c>
      <c r="S44" s="43">
        <f t="shared" si="11"/>
        <v>26.800159409260747</v>
      </c>
      <c r="T44" s="43">
        <f t="shared" si="12"/>
        <v>195.37947301630851</v>
      </c>
      <c r="U44" s="43">
        <f t="shared" si="13"/>
        <v>195.88955103159989</v>
      </c>
      <c r="V44" s="94">
        <f t="shared" si="16"/>
        <v>195.63451202395419</v>
      </c>
      <c r="X44" s="43">
        <f>(O44*Controls!$G$12)+(P44*Controls!$H$12)</f>
        <v>166.51894688114646</v>
      </c>
      <c r="Y44" s="43">
        <f>(O44*Controls!$G$12)+(R44*Controls!$H$12)</f>
        <v>166.51894688114646</v>
      </c>
      <c r="Z44" s="43">
        <f t="shared" si="14"/>
        <v>166.51894688114646</v>
      </c>
      <c r="AA44" s="160">
        <f>-(INDEX(Controls!$G$14:$G$18,MATCH($B44,Controls!$C$14:$C$18,0),0))*$Z44</f>
        <v>-7.3625763318284978</v>
      </c>
      <c r="AB44" s="94">
        <f t="shared" si="17"/>
        <v>159.15637054931796</v>
      </c>
    </row>
    <row r="45" spans="1:28" ht="12.75" x14ac:dyDescent="0.2">
      <c r="A45" s="3" t="str">
        <f>'Forecast drivers'!B47</f>
        <v>WSX</v>
      </c>
      <c r="B45" s="3">
        <f>'Forecast drivers'!C47</f>
        <v>2025</v>
      </c>
      <c r="C45" s="32" t="str">
        <f>'Forecast drivers'!A47</f>
        <v>WSX25</v>
      </c>
      <c r="D45" s="46">
        <f>EXP('Model coeffs'!$D$16+'Model coeffs'!$D$6*'Forecast drivers'!E47+'Model coeffs'!$D$7*'Forecast drivers'!I47+'Model coeffs'!$D$8*'Forecast drivers'!H47)</f>
        <v>79.326220910718675</v>
      </c>
      <c r="E45" s="46">
        <f>EXP('Model coeffs'!$E$16+'Model coeffs'!$E$6*'Forecast drivers'!E47+'Model coeffs'!$E$7*'Forecast drivers'!I47+'Model coeffs'!$E$9*'Forecast drivers'!M47)</f>
        <v>88.437126427836589</v>
      </c>
      <c r="F45" s="46">
        <f>EXP('Model coeffs'!$F$16+'Model coeffs'!$F$10*'Forecast drivers'!F47+'Model coeffs'!$F$11*'Forecast drivers'!J47+'Model coeffs'!$F$12*'Forecast drivers'!K47)</f>
        <v>82.834645742014388</v>
      </c>
      <c r="G45" s="46">
        <f>EXP('Model coeffs'!$G$16+'Model coeffs'!$G$10*'Forecast drivers'!F47+'Model coeffs'!$G$12*'Forecast drivers'!K47+'Model coeffs'!$G$13*'Forecast drivers'!L47)</f>
        <v>88.821942963691868</v>
      </c>
      <c r="H45" s="47">
        <f>EXP('Model coeffs'!$H$16+'Model coeffs'!$H$9*'Forecast drivers'!M47+'Model coeffs'!$H$11*'Forecast drivers'!J47+'Model coeffs'!$H$14*'Forecast drivers'!G47)</f>
        <v>26.863920029882532</v>
      </c>
      <c r="I45" s="47">
        <f>EXP('Model coeffs'!$I$16+'Model coeffs'!$I$14*'Forecast drivers'!G47+'Model coeffs'!$I$15*'Forecast drivers'!N47)</f>
        <v>27.335493877688503</v>
      </c>
      <c r="J45" s="47">
        <f>EXP('Model coeffs'!$J$16+'Model coeffs'!$J$10*'Forecast drivers'!F47+'Model coeffs'!$J$11*'Forecast drivers'!J47+'Model coeffs'!$J$12*'Forecast drivers'!K47)</f>
        <v>109.55475535133561</v>
      </c>
      <c r="K45" s="47">
        <f>EXP('Model coeffs'!$K$16+'Model coeffs'!$K$10*'Forecast drivers'!F47+'Model coeffs'!$K$12*'Forecast drivers'!K47+'Model coeffs'!$K$13*'Forecast drivers'!L47)</f>
        <v>116.37094364470566</v>
      </c>
      <c r="L45" s="66"/>
      <c r="M45" s="43">
        <f t="shared" si="5"/>
        <v>83.881673669277632</v>
      </c>
      <c r="N45" s="43">
        <f t="shared" si="6"/>
        <v>85.828294352853135</v>
      </c>
      <c r="O45" s="43">
        <f t="shared" si="7"/>
        <v>169.70996802213077</v>
      </c>
      <c r="P45" s="43">
        <f t="shared" si="8"/>
        <v>27.099706953785518</v>
      </c>
      <c r="Q45" s="43">
        <f t="shared" si="9"/>
        <v>112.96284949802063</v>
      </c>
      <c r="R45" s="43">
        <f t="shared" si="10"/>
        <v>27.134555145167496</v>
      </c>
      <c r="S45" s="43">
        <f t="shared" si="11"/>
        <v>27.117131049476505</v>
      </c>
      <c r="T45" s="43">
        <f t="shared" si="12"/>
        <v>196.80967497591629</v>
      </c>
      <c r="U45" s="43">
        <f t="shared" si="13"/>
        <v>196.84452316729826</v>
      </c>
      <c r="V45" s="94">
        <f t="shared" si="16"/>
        <v>196.82709907160728</v>
      </c>
      <c r="X45" s="43">
        <f>(O45*Controls!$G$12)+(P45*Controls!$H$12)</f>
        <v>167.38255403965005</v>
      </c>
      <c r="Y45" s="43">
        <f>(O45*Controls!$G$12)+(R45*Controls!$H$12)</f>
        <v>167.38255403965005</v>
      </c>
      <c r="Z45" s="43">
        <f t="shared" si="14"/>
        <v>167.38255403965005</v>
      </c>
      <c r="AA45" s="160">
        <f>-(INDEX(Controls!$G$14:$G$18,MATCH($B45,Controls!$C$14:$C$18,0),0))*$Z45</f>
        <v>-9.1660718928594154</v>
      </c>
      <c r="AB45" s="94">
        <f t="shared" si="17"/>
        <v>158.21648214679064</v>
      </c>
    </row>
    <row r="46" spans="1:28" ht="12.75" x14ac:dyDescent="0.2">
      <c r="A46" s="3" t="str">
        <f>'Forecast drivers'!B48</f>
        <v>YKY</v>
      </c>
      <c r="B46" s="3">
        <f>'Forecast drivers'!C48</f>
        <v>2021</v>
      </c>
      <c r="C46" s="32" t="str">
        <f>'Forecast drivers'!A48</f>
        <v>YKY21</v>
      </c>
      <c r="D46" s="46">
        <f>EXP('Model coeffs'!$D$16+'Model coeffs'!$D$6*'Forecast drivers'!E48+'Model coeffs'!$D$7*'Forecast drivers'!I48+'Model coeffs'!$D$8*'Forecast drivers'!H48)</f>
        <v>132.44270476205372</v>
      </c>
      <c r="E46" s="46">
        <f>EXP('Model coeffs'!$E$16+'Model coeffs'!$E$6*'Forecast drivers'!E48+'Model coeffs'!$E$7*'Forecast drivers'!I48+'Model coeffs'!$E$9*'Forecast drivers'!M48)</f>
        <v>114.56607777564261</v>
      </c>
      <c r="F46" s="46">
        <f>EXP('Model coeffs'!$F$16+'Model coeffs'!$F$10*'Forecast drivers'!F48+'Model coeffs'!$F$11*'Forecast drivers'!J48+'Model coeffs'!$F$12*'Forecast drivers'!K48)</f>
        <v>139.46531167070498</v>
      </c>
      <c r="G46" s="46">
        <f>EXP('Model coeffs'!$G$16+'Model coeffs'!$G$10*'Forecast drivers'!F48+'Model coeffs'!$G$12*'Forecast drivers'!K48+'Model coeffs'!$G$13*'Forecast drivers'!L48)</f>
        <v>147.53273932686574</v>
      </c>
      <c r="H46" s="47">
        <f>EXP('Model coeffs'!$H$16+'Model coeffs'!$H$9*'Forecast drivers'!M48+'Model coeffs'!$H$11*'Forecast drivers'!J48+'Model coeffs'!$H$14*'Forecast drivers'!G48)</f>
        <v>57.349667599668777</v>
      </c>
      <c r="I46" s="47">
        <f>EXP('Model coeffs'!$I$16+'Model coeffs'!$I$14*'Forecast drivers'!G48+'Model coeffs'!$I$15*'Forecast drivers'!N48)</f>
        <v>57.899532159166228</v>
      </c>
      <c r="J46" s="47">
        <f>EXP('Model coeffs'!$J$16+'Model coeffs'!$J$10*'Forecast drivers'!F48+'Model coeffs'!$J$11*'Forecast drivers'!J48+'Model coeffs'!$J$12*'Forecast drivers'!K48)</f>
        <v>193.79946274239887</v>
      </c>
      <c r="K46" s="47">
        <f>EXP('Model coeffs'!$K$16+'Model coeffs'!$K$10*'Forecast drivers'!F48+'Model coeffs'!$K$12*'Forecast drivers'!K48+'Model coeffs'!$K$13*'Forecast drivers'!L48)</f>
        <v>204.41871834470604</v>
      </c>
      <c r="L46" s="66"/>
      <c r="M46" s="43">
        <f t="shared" si="5"/>
        <v>123.50439126884817</v>
      </c>
      <c r="N46" s="43">
        <f t="shared" si="6"/>
        <v>143.49902549878536</v>
      </c>
      <c r="O46" s="43">
        <f t="shared" si="7"/>
        <v>267.00341676763355</v>
      </c>
      <c r="P46" s="43">
        <f t="shared" si="8"/>
        <v>57.624599879417502</v>
      </c>
      <c r="Q46" s="43">
        <f t="shared" si="9"/>
        <v>199.10909054355244</v>
      </c>
      <c r="R46" s="43">
        <f t="shared" si="10"/>
        <v>55.610065044767083</v>
      </c>
      <c r="S46" s="43">
        <f t="shared" si="11"/>
        <v>56.617332462092293</v>
      </c>
      <c r="T46" s="43">
        <f t="shared" si="12"/>
        <v>324.62801664705103</v>
      </c>
      <c r="U46" s="43">
        <f t="shared" si="13"/>
        <v>322.61348181240061</v>
      </c>
      <c r="V46" s="94">
        <f t="shared" si="16"/>
        <v>323.62074922972579</v>
      </c>
      <c r="X46" s="43">
        <f>(O46*Controls!$G$12)+(P46*Controls!$H$12)</f>
        <v>263.34171384707156</v>
      </c>
      <c r="Y46" s="43">
        <f>(O46*Controls!$G$12)+(R46*Controls!$H$12)</f>
        <v>263.34171384707156</v>
      </c>
      <c r="Z46" s="43">
        <f t="shared" si="14"/>
        <v>263.34171384707156</v>
      </c>
      <c r="AA46" s="160">
        <f>-(INDEX(Controls!$G$14:$G$18,MATCH($B46,Controls!$C$14:$C$18,0),0))*$Z46</f>
        <v>-2.8967588523177872</v>
      </c>
      <c r="AB46" s="94">
        <f t="shared" si="17"/>
        <v>260.4449549947538</v>
      </c>
    </row>
    <row r="47" spans="1:28" ht="12.75" x14ac:dyDescent="0.2">
      <c r="A47" s="3" t="str">
        <f>'Forecast drivers'!B49</f>
        <v>YKY</v>
      </c>
      <c r="B47" s="3">
        <f>'Forecast drivers'!C49</f>
        <v>2022</v>
      </c>
      <c r="C47" s="32" t="str">
        <f>'Forecast drivers'!A49</f>
        <v>YKY22</v>
      </c>
      <c r="D47" s="46">
        <f>EXP('Model coeffs'!$D$16+'Model coeffs'!$D$6*'Forecast drivers'!E49+'Model coeffs'!$D$7*'Forecast drivers'!I49+'Model coeffs'!$D$8*'Forecast drivers'!H49)</f>
        <v>133.07547479028102</v>
      </c>
      <c r="E47" s="46">
        <f>EXP('Model coeffs'!$E$16+'Model coeffs'!$E$6*'Forecast drivers'!E49+'Model coeffs'!$E$7*'Forecast drivers'!I49+'Model coeffs'!$E$9*'Forecast drivers'!M49)</f>
        <v>114.72548876655483</v>
      </c>
      <c r="F47" s="46">
        <f>EXP('Model coeffs'!$F$16+'Model coeffs'!$F$10*'Forecast drivers'!F49+'Model coeffs'!$F$11*'Forecast drivers'!J49+'Model coeffs'!$F$12*'Forecast drivers'!K49)</f>
        <v>140.28629770296914</v>
      </c>
      <c r="G47" s="46">
        <f>EXP('Model coeffs'!$G$16+'Model coeffs'!$G$10*'Forecast drivers'!F49+'Model coeffs'!$G$12*'Forecast drivers'!K49+'Model coeffs'!$G$13*'Forecast drivers'!L49)</f>
        <v>148.39163571619014</v>
      </c>
      <c r="H47" s="47">
        <f>EXP('Model coeffs'!$H$16+'Model coeffs'!$H$9*'Forecast drivers'!M49+'Model coeffs'!$H$11*'Forecast drivers'!J49+'Model coeffs'!$H$14*'Forecast drivers'!G49)</f>
        <v>57.716494741009249</v>
      </c>
      <c r="I47" s="47">
        <f>EXP('Model coeffs'!$I$16+'Model coeffs'!$I$14*'Forecast drivers'!G49+'Model coeffs'!$I$15*'Forecast drivers'!N49)</f>
        <v>58.223426672301137</v>
      </c>
      <c r="J47" s="47">
        <f>EXP('Model coeffs'!$J$16+'Model coeffs'!$J$10*'Forecast drivers'!F49+'Model coeffs'!$J$11*'Forecast drivers'!J49+'Model coeffs'!$J$12*'Forecast drivers'!K49)</f>
        <v>194.91898732608905</v>
      </c>
      <c r="K47" s="47">
        <f>EXP('Model coeffs'!$K$16+'Model coeffs'!$K$10*'Forecast drivers'!F49+'Model coeffs'!$K$12*'Forecast drivers'!K49+'Model coeffs'!$K$13*'Forecast drivers'!L49)</f>
        <v>205.55560510464321</v>
      </c>
      <c r="L47" s="66"/>
      <c r="M47" s="43">
        <f t="shared" si="5"/>
        <v>123.90048177841793</v>
      </c>
      <c r="N47" s="43">
        <f t="shared" si="6"/>
        <v>144.33896670957964</v>
      </c>
      <c r="O47" s="43">
        <f t="shared" si="7"/>
        <v>268.23944848799755</v>
      </c>
      <c r="P47" s="43">
        <f t="shared" si="8"/>
        <v>57.969960706655193</v>
      </c>
      <c r="Q47" s="43">
        <f t="shared" si="9"/>
        <v>200.23729621536614</v>
      </c>
      <c r="R47" s="43">
        <f t="shared" si="10"/>
        <v>55.898329505786506</v>
      </c>
      <c r="S47" s="43">
        <f t="shared" si="11"/>
        <v>56.934145106220853</v>
      </c>
      <c r="T47" s="43">
        <f t="shared" si="12"/>
        <v>326.20940919465272</v>
      </c>
      <c r="U47" s="43">
        <f t="shared" si="13"/>
        <v>324.13777799378408</v>
      </c>
      <c r="V47" s="94">
        <f t="shared" si="16"/>
        <v>325.1735935942184</v>
      </c>
      <c r="X47" s="43">
        <f>(O47*Controls!$G$12)+(P47*Controls!$H$12)</f>
        <v>264.56079454480391</v>
      </c>
      <c r="Y47" s="43">
        <f>(O47*Controls!$G$12)+(R47*Controls!$H$12)</f>
        <v>264.56079454480391</v>
      </c>
      <c r="Z47" s="43">
        <f t="shared" si="14"/>
        <v>264.56079454480391</v>
      </c>
      <c r="AA47" s="160">
        <f>-(INDEX(Controls!$G$14:$G$18,MATCH($B47,Controls!$C$14:$C$18,0),0))*$Z47</f>
        <v>-5.879096432454034</v>
      </c>
      <c r="AB47" s="94">
        <f t="shared" si="17"/>
        <v>258.68169811234986</v>
      </c>
    </row>
    <row r="48" spans="1:28" ht="12.75" x14ac:dyDescent="0.2">
      <c r="A48" s="3" t="str">
        <f>'Forecast drivers'!B50</f>
        <v>YKY</v>
      </c>
      <c r="B48" s="3">
        <f>'Forecast drivers'!C50</f>
        <v>2023</v>
      </c>
      <c r="C48" s="32" t="str">
        <f>'Forecast drivers'!A50</f>
        <v>YKY23</v>
      </c>
      <c r="D48" s="46">
        <f>EXP('Model coeffs'!$D$16+'Model coeffs'!$D$6*'Forecast drivers'!E50+'Model coeffs'!$D$7*'Forecast drivers'!I50+'Model coeffs'!$D$8*'Forecast drivers'!H50)</f>
        <v>133.83561094806055</v>
      </c>
      <c r="E48" s="46">
        <f>EXP('Model coeffs'!$E$16+'Model coeffs'!$E$6*'Forecast drivers'!E50+'Model coeffs'!$E$7*'Forecast drivers'!I50+'Model coeffs'!$E$9*'Forecast drivers'!M50)</f>
        <v>114.87955197099437</v>
      </c>
      <c r="F48" s="46">
        <f>EXP('Model coeffs'!$F$16+'Model coeffs'!$F$10*'Forecast drivers'!F50+'Model coeffs'!$F$11*'Forecast drivers'!J50+'Model coeffs'!$F$12*'Forecast drivers'!K50)</f>
        <v>141.12745377072278</v>
      </c>
      <c r="G48" s="46">
        <f>EXP('Model coeffs'!$G$16+'Model coeffs'!$G$10*'Forecast drivers'!F50+'Model coeffs'!$G$12*'Forecast drivers'!K50+'Model coeffs'!$G$13*'Forecast drivers'!L50)</f>
        <v>149.27157619052974</v>
      </c>
      <c r="H48" s="47">
        <f>EXP('Model coeffs'!$H$16+'Model coeffs'!$H$9*'Forecast drivers'!M50+'Model coeffs'!$H$11*'Forecast drivers'!J50+'Model coeffs'!$H$14*'Forecast drivers'!G50)</f>
        <v>58.085421278703393</v>
      </c>
      <c r="I48" s="47">
        <f>EXP('Model coeffs'!$I$16+'Model coeffs'!$I$14*'Forecast drivers'!G50+'Model coeffs'!$I$15*'Forecast drivers'!N50)</f>
        <v>58.53158735472887</v>
      </c>
      <c r="J48" s="47">
        <f>EXP('Model coeffs'!$J$16+'Model coeffs'!$J$10*'Forecast drivers'!F50+'Model coeffs'!$J$11*'Forecast drivers'!J50+'Model coeffs'!$J$12*'Forecast drivers'!K50)</f>
        <v>196.06588991610454</v>
      </c>
      <c r="K48" s="47">
        <f>EXP('Model coeffs'!$K$16+'Model coeffs'!$K$10*'Forecast drivers'!F50+'Model coeffs'!$K$12*'Forecast drivers'!K50+'Model coeffs'!$K$13*'Forecast drivers'!L50)</f>
        <v>206.72004299999716</v>
      </c>
      <c r="L48" s="66"/>
      <c r="M48" s="43">
        <f t="shared" si="5"/>
        <v>124.35758145952747</v>
      </c>
      <c r="N48" s="43">
        <f t="shared" si="6"/>
        <v>145.19951498062625</v>
      </c>
      <c r="O48" s="43">
        <f t="shared" si="7"/>
        <v>269.55709644015371</v>
      </c>
      <c r="P48" s="43">
        <f t="shared" si="8"/>
        <v>58.308504316716132</v>
      </c>
      <c r="Q48" s="43">
        <f t="shared" si="9"/>
        <v>201.39296645805086</v>
      </c>
      <c r="R48" s="43">
        <f t="shared" si="10"/>
        <v>56.193451477424617</v>
      </c>
      <c r="S48" s="43">
        <f t="shared" si="11"/>
        <v>57.250977897070371</v>
      </c>
      <c r="T48" s="43">
        <f t="shared" si="12"/>
        <v>327.86560075686987</v>
      </c>
      <c r="U48" s="43">
        <f t="shared" si="13"/>
        <v>325.75054791757833</v>
      </c>
      <c r="V48" s="94">
        <f t="shared" si="16"/>
        <v>326.80807433722407</v>
      </c>
      <c r="X48" s="43">
        <f>(O48*Controls!$G$12)+(P48*Controls!$H$12)</f>
        <v>265.86037218380415</v>
      </c>
      <c r="Y48" s="43">
        <f>(O48*Controls!$G$12)+(R48*Controls!$H$12)</f>
        <v>265.86037218380415</v>
      </c>
      <c r="Z48" s="43">
        <f t="shared" si="14"/>
        <v>265.86037218380415</v>
      </c>
      <c r="AA48" s="160">
        <f>-(INDEX(Controls!$G$14:$G$18,MATCH($B48,Controls!$C$14:$C$18,0),0))*$Z48</f>
        <v>-8.8702507694751738</v>
      </c>
      <c r="AB48" s="94">
        <f t="shared" si="17"/>
        <v>256.990121414329</v>
      </c>
    </row>
    <row r="49" spans="1:28" ht="12.75" x14ac:dyDescent="0.2">
      <c r="A49" s="3" t="str">
        <f>'Forecast drivers'!B51</f>
        <v>YKY</v>
      </c>
      <c r="B49" s="3">
        <f>'Forecast drivers'!C51</f>
        <v>2024</v>
      </c>
      <c r="C49" s="32" t="str">
        <f>'Forecast drivers'!A51</f>
        <v>YKY24</v>
      </c>
      <c r="D49" s="46">
        <f>EXP('Model coeffs'!$D$16+'Model coeffs'!$D$6*'Forecast drivers'!E51+'Model coeffs'!$D$7*'Forecast drivers'!I51+'Model coeffs'!$D$8*'Forecast drivers'!H51)</f>
        <v>134.5689764858748</v>
      </c>
      <c r="E49" s="46">
        <f>EXP('Model coeffs'!$E$16+'Model coeffs'!$E$6*'Forecast drivers'!E51+'Model coeffs'!$E$7*'Forecast drivers'!I51+'Model coeffs'!$E$9*'Forecast drivers'!M51)</f>
        <v>115.03822396106717</v>
      </c>
      <c r="F49" s="46">
        <f>EXP('Model coeffs'!$F$16+'Model coeffs'!$F$10*'Forecast drivers'!F51+'Model coeffs'!$F$11*'Forecast drivers'!J51+'Model coeffs'!$F$12*'Forecast drivers'!K51)</f>
        <v>141.9522209815716</v>
      </c>
      <c r="G49" s="46">
        <f>EXP('Model coeffs'!$G$16+'Model coeffs'!$G$10*'Forecast drivers'!F51+'Model coeffs'!$G$12*'Forecast drivers'!K51+'Model coeffs'!$G$13*'Forecast drivers'!L51)</f>
        <v>150.13431613244239</v>
      </c>
      <c r="H49" s="47">
        <f>EXP('Model coeffs'!$H$16+'Model coeffs'!$H$9*'Forecast drivers'!M51+'Model coeffs'!$H$11*'Forecast drivers'!J51+'Model coeffs'!$H$14*'Forecast drivers'!G51)</f>
        <v>58.453351013597747</v>
      </c>
      <c r="I49" s="47">
        <f>EXP('Model coeffs'!$I$16+'Model coeffs'!$I$14*'Forecast drivers'!G51+'Model coeffs'!$I$15*'Forecast drivers'!N51)</f>
        <v>58.843124536305211</v>
      </c>
      <c r="J49" s="47">
        <f>EXP('Model coeffs'!$J$16+'Model coeffs'!$J$10*'Forecast drivers'!F51+'Model coeffs'!$J$11*'Forecast drivers'!J51+'Model coeffs'!$J$12*'Forecast drivers'!K51)</f>
        <v>197.19032295144433</v>
      </c>
      <c r="K49" s="47">
        <f>EXP('Model coeffs'!$K$16+'Model coeffs'!$K$10*'Forecast drivers'!F51+'Model coeffs'!$K$12*'Forecast drivers'!K51+'Model coeffs'!$K$13*'Forecast drivers'!L51)</f>
        <v>207.86142220386404</v>
      </c>
      <c r="L49" s="66"/>
      <c r="M49" s="43">
        <f t="shared" si="5"/>
        <v>124.80360022347099</v>
      </c>
      <c r="N49" s="43">
        <f t="shared" si="6"/>
        <v>146.043268557007</v>
      </c>
      <c r="O49" s="43">
        <f t="shared" si="7"/>
        <v>270.84686878047796</v>
      </c>
      <c r="P49" s="43">
        <f t="shared" si="8"/>
        <v>58.648237774951482</v>
      </c>
      <c r="Q49" s="43">
        <f t="shared" si="9"/>
        <v>202.52587257765418</v>
      </c>
      <c r="R49" s="43">
        <f t="shared" si="10"/>
        <v>56.482604020647187</v>
      </c>
      <c r="S49" s="43">
        <f t="shared" si="11"/>
        <v>57.565420897799335</v>
      </c>
      <c r="T49" s="43">
        <f t="shared" si="12"/>
        <v>329.49510655542946</v>
      </c>
      <c r="U49" s="43">
        <f t="shared" si="13"/>
        <v>327.32947280112518</v>
      </c>
      <c r="V49" s="94">
        <f t="shared" si="16"/>
        <v>328.41228967827732</v>
      </c>
      <c r="X49" s="43">
        <f>(O49*Controls!$G$12)+(P49*Controls!$H$12)</f>
        <v>267.13245649899898</v>
      </c>
      <c r="Y49" s="43">
        <f>(O49*Controls!$G$12)+(R49*Controls!$H$12)</f>
        <v>267.13245649899898</v>
      </c>
      <c r="Z49" s="43">
        <f t="shared" si="14"/>
        <v>267.13245649899898</v>
      </c>
      <c r="AA49" s="160">
        <f>-(INDEX(Controls!$G$14:$G$18,MATCH($B49,Controls!$C$14:$C$18,0),0))*$Z49</f>
        <v>-11.81116706849302</v>
      </c>
      <c r="AB49" s="94">
        <f t="shared" si="17"/>
        <v>255.32128943050594</v>
      </c>
    </row>
    <row r="50" spans="1:28" ht="12.75" x14ac:dyDescent="0.2">
      <c r="A50" s="3" t="str">
        <f>'Forecast drivers'!B52</f>
        <v>YKY</v>
      </c>
      <c r="B50" s="3">
        <f>'Forecast drivers'!C52</f>
        <v>2025</v>
      </c>
      <c r="C50" s="32" t="str">
        <f>'Forecast drivers'!A52</f>
        <v>YKY25</v>
      </c>
      <c r="D50" s="46">
        <f>EXP('Model coeffs'!$D$16+'Model coeffs'!$D$6*'Forecast drivers'!E52+'Model coeffs'!$D$7*'Forecast drivers'!I52+'Model coeffs'!$D$8*'Forecast drivers'!H52)</f>
        <v>135.30123222473028</v>
      </c>
      <c r="E50" s="46">
        <f>EXP('Model coeffs'!$E$16+'Model coeffs'!$E$6*'Forecast drivers'!E52+'Model coeffs'!$E$7*'Forecast drivers'!I52+'Model coeffs'!$E$9*'Forecast drivers'!M52)</f>
        <v>115.19577884523852</v>
      </c>
      <c r="F50" s="46">
        <f>EXP('Model coeffs'!$F$16+'Model coeffs'!$F$10*'Forecast drivers'!F52+'Model coeffs'!$F$11*'Forecast drivers'!J52+'Model coeffs'!$F$12*'Forecast drivers'!K52)</f>
        <v>142.7994825103454</v>
      </c>
      <c r="G50" s="46">
        <f>EXP('Model coeffs'!$G$16+'Model coeffs'!$G$10*'Forecast drivers'!F52+'Model coeffs'!$G$12*'Forecast drivers'!K52+'Model coeffs'!$G$13*'Forecast drivers'!L52)</f>
        <v>151.02052863830707</v>
      </c>
      <c r="H50" s="47">
        <f>EXP('Model coeffs'!$H$16+'Model coeffs'!$H$9*'Forecast drivers'!M52+'Model coeffs'!$H$11*'Forecast drivers'!J52+'Model coeffs'!$H$14*'Forecast drivers'!G52)</f>
        <v>58.820774811023931</v>
      </c>
      <c r="I50" s="47">
        <f>EXP('Model coeffs'!$I$16+'Model coeffs'!$I$14*'Forecast drivers'!G52+'Model coeffs'!$I$15*'Forecast drivers'!N52)</f>
        <v>59.059409181036912</v>
      </c>
      <c r="J50" s="47">
        <f>EXP('Model coeffs'!$J$16+'Model coeffs'!$J$10*'Forecast drivers'!F52+'Model coeffs'!$J$11*'Forecast drivers'!J52+'Model coeffs'!$J$12*'Forecast drivers'!K52)</f>
        <v>198.34529656514158</v>
      </c>
      <c r="K50" s="47">
        <f>EXP('Model coeffs'!$K$16+'Model coeffs'!$K$10*'Forecast drivers'!F52+'Model coeffs'!$K$12*'Forecast drivers'!K52+'Model coeffs'!$K$13*'Forecast drivers'!L52)</f>
        <v>209.03355061862942</v>
      </c>
      <c r="L50" s="66"/>
      <c r="M50" s="43">
        <f t="shared" si="5"/>
        <v>125.2485055349844</v>
      </c>
      <c r="N50" s="43">
        <f t="shared" si="6"/>
        <v>146.91000557432625</v>
      </c>
      <c r="O50" s="43">
        <f t="shared" si="7"/>
        <v>272.15851110931067</v>
      </c>
      <c r="P50" s="43">
        <f t="shared" si="8"/>
        <v>58.940091996030418</v>
      </c>
      <c r="Q50" s="43">
        <f t="shared" si="9"/>
        <v>203.68942359188549</v>
      </c>
      <c r="R50" s="43">
        <f t="shared" si="10"/>
        <v>56.779418017559237</v>
      </c>
      <c r="S50" s="43">
        <f t="shared" si="11"/>
        <v>57.859755006794828</v>
      </c>
      <c r="T50" s="43">
        <f t="shared" si="12"/>
        <v>331.09860310534111</v>
      </c>
      <c r="U50" s="43">
        <f t="shared" si="13"/>
        <v>328.9379291268699</v>
      </c>
      <c r="V50" s="94">
        <f t="shared" si="16"/>
        <v>330.01826611610551</v>
      </c>
      <c r="X50" s="43">
        <f>(O50*Controls!$G$12)+(P50*Controls!$H$12)</f>
        <v>268.42611087620037</v>
      </c>
      <c r="Y50" s="43">
        <f>(O50*Controls!$G$12)+(R50*Controls!$H$12)</f>
        <v>268.42611087620037</v>
      </c>
      <c r="Z50" s="43">
        <f t="shared" si="14"/>
        <v>268.42611087620037</v>
      </c>
      <c r="AA50" s="160">
        <f>-(INDEX(Controls!$G$14:$G$18,MATCH($B50,Controls!$C$14:$C$18,0),0))*$Z50</f>
        <v>-14.699339750958012</v>
      </c>
      <c r="AB50" s="94">
        <f t="shared" si="17"/>
        <v>253.72677112524235</v>
      </c>
    </row>
    <row r="51" spans="1:28" ht="12.75" x14ac:dyDescent="0.2">
      <c r="A51" s="33" t="str">
        <f>'Forecast drivers'!B53</f>
        <v>SVH</v>
      </c>
      <c r="B51" s="33">
        <f>'Forecast drivers'!C53</f>
        <v>2021</v>
      </c>
      <c r="C51" s="14" t="str">
        <f>'Forecast drivers'!A53</f>
        <v>SVH21</v>
      </c>
      <c r="D51" s="48">
        <f>EXP('Model coeffs'!$D$16+'Model coeffs'!$D$6*'Forecast drivers'!E53+'Model coeffs'!$D$7*'Forecast drivers'!I53+'Model coeffs'!$D$8*'Forecast drivers'!H53)</f>
        <v>211.42168765077761</v>
      </c>
      <c r="E51" s="48">
        <f>EXP('Model coeffs'!$E$16+'Model coeffs'!$E$6*'Forecast drivers'!E53+'Model coeffs'!$E$7*'Forecast drivers'!I53+'Model coeffs'!$E$9*'Forecast drivers'!M53)</f>
        <v>208.90034669686469</v>
      </c>
      <c r="F51" s="48">
        <f>EXP('Model coeffs'!$F$16+'Model coeffs'!$F$10*'Forecast drivers'!F53+'Model coeffs'!$F$11*'Forecast drivers'!J53+'Model coeffs'!$F$12*'Forecast drivers'!K53)</f>
        <v>234.4128646533631</v>
      </c>
      <c r="G51" s="48">
        <f>EXP('Model coeffs'!$G$16+'Model coeffs'!$G$10*'Forecast drivers'!F53+'Model coeffs'!$G$12*'Forecast drivers'!K53+'Model coeffs'!$G$13*'Forecast drivers'!L53)</f>
        <v>237.38197313792179</v>
      </c>
      <c r="H51" s="41">
        <f>EXP('Model coeffs'!$H$16+'Model coeffs'!$H$9*'Forecast drivers'!M53+'Model coeffs'!$H$11*'Forecast drivers'!J53+'Model coeffs'!$H$14*'Forecast drivers'!G53)</f>
        <v>86.129468890875074</v>
      </c>
      <c r="I51" s="41">
        <f>EXP('Model coeffs'!$I$16+'Model coeffs'!$I$14*'Forecast drivers'!G53+'Model coeffs'!$I$15*'Forecast drivers'!N53)</f>
        <v>94.993044298097402</v>
      </c>
      <c r="J51" s="41">
        <f>EXP('Model coeffs'!$J$16+'Model coeffs'!$J$10*'Forecast drivers'!F53+'Model coeffs'!$J$11*'Forecast drivers'!J53+'Model coeffs'!$J$12*'Forecast drivers'!K53)</f>
        <v>324.41658235295324</v>
      </c>
      <c r="K51" s="41">
        <f>EXP('Model coeffs'!$K$16+'Model coeffs'!$K$10*'Forecast drivers'!F53+'Model coeffs'!$K$12*'Forecast drivers'!K53+'Model coeffs'!$K$13*'Forecast drivers'!L53)</f>
        <v>326.05656564776575</v>
      </c>
      <c r="L51" s="66"/>
      <c r="M51" s="41">
        <f t="shared" si="5"/>
        <v>210.16101717382116</v>
      </c>
      <c r="N51" s="41">
        <f t="shared" si="6"/>
        <v>235.89741889564243</v>
      </c>
      <c r="O51" s="41">
        <f t="shared" si="7"/>
        <v>446.0584360694636</v>
      </c>
      <c r="P51" s="41">
        <f t="shared" si="8"/>
        <v>90.561256594486238</v>
      </c>
      <c r="Q51" s="41">
        <f t="shared" si="9"/>
        <v>325.2365740003595</v>
      </c>
      <c r="R51" s="41">
        <f t="shared" si="10"/>
        <v>89.339155104717065</v>
      </c>
      <c r="S51" s="41">
        <f t="shared" si="11"/>
        <v>89.950205849601645</v>
      </c>
      <c r="T51" s="41">
        <f t="shared" si="12"/>
        <v>536.61969266394988</v>
      </c>
      <c r="U51" s="41">
        <f t="shared" si="13"/>
        <v>535.39759117418066</v>
      </c>
      <c r="V51" s="95">
        <f t="shared" si="16"/>
        <v>536.00864191906521</v>
      </c>
      <c r="X51" s="43">
        <f>(O51*Controls!$G$12)+(P51*Controls!$H$12)</f>
        <v>439.94116050097034</v>
      </c>
      <c r="Y51" s="43">
        <f>(O51*Controls!$G$12)+(R51*Controls!$H$12)</f>
        <v>439.94116050097034</v>
      </c>
      <c r="Z51" s="43">
        <f t="shared" si="14"/>
        <v>439.94116050097034</v>
      </c>
      <c r="AA51" s="160">
        <f>-(INDEX(Controls!$G$14:$G$18,MATCH($B51,Controls!$C$14:$C$18,0),0))*$Z51</f>
        <v>-4.8393527655106734</v>
      </c>
      <c r="AB51" s="94">
        <f t="shared" si="17"/>
        <v>435.10180773545966</v>
      </c>
    </row>
    <row r="52" spans="1:28" ht="12.75" x14ac:dyDescent="0.2">
      <c r="A52" s="33" t="str">
        <f>'Forecast drivers'!B54</f>
        <v>SVH</v>
      </c>
      <c r="B52" s="33">
        <f>'Forecast drivers'!C54</f>
        <v>2022</v>
      </c>
      <c r="C52" s="14" t="str">
        <f>'Forecast drivers'!A54</f>
        <v>SVH22</v>
      </c>
      <c r="D52" s="48">
        <f>EXP('Model coeffs'!$D$16+'Model coeffs'!$D$6*'Forecast drivers'!E54+'Model coeffs'!$D$7*'Forecast drivers'!I54+'Model coeffs'!$D$8*'Forecast drivers'!H54)</f>
        <v>212.67810316239596</v>
      </c>
      <c r="E52" s="48">
        <f>EXP('Model coeffs'!$E$16+'Model coeffs'!$E$6*'Forecast drivers'!E54+'Model coeffs'!$E$7*'Forecast drivers'!I54+'Model coeffs'!$E$9*'Forecast drivers'!M54)</f>
        <v>209.69316927176425</v>
      </c>
      <c r="F52" s="48">
        <f>EXP('Model coeffs'!$F$16+'Model coeffs'!$F$10*'Forecast drivers'!F54+'Model coeffs'!$F$11*'Forecast drivers'!J54+'Model coeffs'!$F$12*'Forecast drivers'!K54)</f>
        <v>235.26607352214208</v>
      </c>
      <c r="G52" s="48">
        <f>EXP('Model coeffs'!$G$16+'Model coeffs'!$G$10*'Forecast drivers'!F54+'Model coeffs'!$G$12*'Forecast drivers'!K54+'Model coeffs'!$G$13*'Forecast drivers'!L54)</f>
        <v>238.2364686926181</v>
      </c>
      <c r="H52" s="41">
        <f>EXP('Model coeffs'!$H$16+'Model coeffs'!$H$9*'Forecast drivers'!M54+'Model coeffs'!$H$11*'Forecast drivers'!J54+'Model coeffs'!$H$14*'Forecast drivers'!G54)</f>
        <v>86.341602447185537</v>
      </c>
      <c r="I52" s="41">
        <f>EXP('Model coeffs'!$I$16+'Model coeffs'!$I$14*'Forecast drivers'!G54+'Model coeffs'!$I$15*'Forecast drivers'!N54)</f>
        <v>95.182271155648991</v>
      </c>
      <c r="J52" s="41">
        <f>EXP('Model coeffs'!$J$16+'Model coeffs'!$J$10*'Forecast drivers'!F54+'Model coeffs'!$J$11*'Forecast drivers'!J54+'Model coeffs'!$J$12*'Forecast drivers'!K54)</f>
        <v>325.57535309497842</v>
      </c>
      <c r="K52" s="41">
        <f>EXP('Model coeffs'!$K$16+'Model coeffs'!$K$10*'Forecast drivers'!F54+'Model coeffs'!$K$12*'Forecast drivers'!K54+'Model coeffs'!$K$13*'Forecast drivers'!L54)</f>
        <v>327.17786258324077</v>
      </c>
      <c r="L52" s="66"/>
      <c r="M52" s="41">
        <f t="shared" si="5"/>
        <v>211.18563621708012</v>
      </c>
      <c r="N52" s="41">
        <f t="shared" si="6"/>
        <v>236.75127110738009</v>
      </c>
      <c r="O52" s="41">
        <f t="shared" si="7"/>
        <v>447.93690732446021</v>
      </c>
      <c r="P52" s="41">
        <f t="shared" si="8"/>
        <v>90.761936801417264</v>
      </c>
      <c r="Q52" s="41">
        <f t="shared" si="9"/>
        <v>326.37660783910962</v>
      </c>
      <c r="R52" s="41">
        <f t="shared" si="10"/>
        <v>89.625336731729533</v>
      </c>
      <c r="S52" s="41">
        <f t="shared" si="11"/>
        <v>90.193636766573405</v>
      </c>
      <c r="T52" s="41">
        <f t="shared" si="12"/>
        <v>538.69884412587749</v>
      </c>
      <c r="U52" s="41">
        <f t="shared" si="13"/>
        <v>537.56224405618968</v>
      </c>
      <c r="V52" s="95">
        <f t="shared" si="16"/>
        <v>538.13054409103358</v>
      </c>
      <c r="X52" s="43">
        <f>(O52*Controls!$G$12)+(P52*Controls!$H$12)</f>
        <v>441.79387027409575</v>
      </c>
      <c r="Y52" s="43">
        <f>(O52*Controls!$G$12)+(R52*Controls!$H$12)</f>
        <v>441.79387027409575</v>
      </c>
      <c r="Z52" s="43">
        <f t="shared" si="14"/>
        <v>441.79387027409575</v>
      </c>
      <c r="AA52" s="160">
        <f>-(INDEX(Controls!$G$14:$G$18,MATCH($B52,Controls!$C$14:$C$18,0),0))*$Z52</f>
        <v>-9.8175875646178952</v>
      </c>
      <c r="AB52" s="94">
        <f t="shared" si="17"/>
        <v>431.97628270947786</v>
      </c>
    </row>
    <row r="53" spans="1:28" ht="12.75" x14ac:dyDescent="0.2">
      <c r="A53" s="33" t="str">
        <f>'Forecast drivers'!B55</f>
        <v>SVH</v>
      </c>
      <c r="B53" s="33">
        <f>'Forecast drivers'!C55</f>
        <v>2023</v>
      </c>
      <c r="C53" s="14" t="str">
        <f>'Forecast drivers'!A55</f>
        <v>SVH23</v>
      </c>
      <c r="D53" s="48">
        <f>EXP('Model coeffs'!$D$16+'Model coeffs'!$D$6*'Forecast drivers'!E55+'Model coeffs'!$D$7*'Forecast drivers'!I55+'Model coeffs'!$D$8*'Forecast drivers'!H55)</f>
        <v>214.25662834581163</v>
      </c>
      <c r="E53" s="48">
        <f>EXP('Model coeffs'!$E$16+'Model coeffs'!$E$6*'Forecast drivers'!E55+'Model coeffs'!$E$7*'Forecast drivers'!I55+'Model coeffs'!$E$9*'Forecast drivers'!M55)</f>
        <v>210.48202148471717</v>
      </c>
      <c r="F53" s="48">
        <f>EXP('Model coeffs'!$F$16+'Model coeffs'!$F$10*'Forecast drivers'!F55+'Model coeffs'!$F$11*'Forecast drivers'!J55+'Model coeffs'!$F$12*'Forecast drivers'!K55)</f>
        <v>236.14169665024389</v>
      </c>
      <c r="G53" s="48">
        <f>EXP('Model coeffs'!$G$16+'Model coeffs'!$G$10*'Forecast drivers'!F55+'Model coeffs'!$G$12*'Forecast drivers'!K55+'Model coeffs'!$G$13*'Forecast drivers'!L55)</f>
        <v>239.11337687154679</v>
      </c>
      <c r="H53" s="41">
        <f>EXP('Model coeffs'!$H$16+'Model coeffs'!$H$9*'Forecast drivers'!M55+'Model coeffs'!$H$11*'Forecast drivers'!J55+'Model coeffs'!$H$14*'Forecast drivers'!G55)</f>
        <v>86.674890185565715</v>
      </c>
      <c r="I53" s="41">
        <f>EXP('Model coeffs'!$I$16+'Model coeffs'!$I$14*'Forecast drivers'!G55+'Model coeffs'!$I$15*'Forecast drivers'!N55)</f>
        <v>95.398266462410874</v>
      </c>
      <c r="J53" s="41">
        <f>EXP('Model coeffs'!$J$16+'Model coeffs'!$J$10*'Forecast drivers'!F55+'Model coeffs'!$J$11*'Forecast drivers'!J55+'Model coeffs'!$J$12*'Forecast drivers'!K55)</f>
        <v>326.76448399989334</v>
      </c>
      <c r="K53" s="41">
        <f>EXP('Model coeffs'!$K$16+'Model coeffs'!$K$10*'Forecast drivers'!F55+'Model coeffs'!$K$12*'Forecast drivers'!K55+'Model coeffs'!$K$13*'Forecast drivers'!L55)</f>
        <v>328.32838376344642</v>
      </c>
      <c r="L53" s="66"/>
      <c r="M53" s="41">
        <f t="shared" si="5"/>
        <v>212.3693249152644</v>
      </c>
      <c r="N53" s="41">
        <f t="shared" si="6"/>
        <v>237.62753676089534</v>
      </c>
      <c r="O53" s="41">
        <f t="shared" si="7"/>
        <v>449.99686167615971</v>
      </c>
      <c r="P53" s="41">
        <f t="shared" si="8"/>
        <v>91.036578323988294</v>
      </c>
      <c r="Q53" s="41">
        <f t="shared" si="9"/>
        <v>327.54643388166988</v>
      </c>
      <c r="R53" s="41">
        <f t="shared" si="10"/>
        <v>89.918897120774545</v>
      </c>
      <c r="S53" s="41">
        <f t="shared" si="11"/>
        <v>90.47773772238142</v>
      </c>
      <c r="T53" s="41">
        <f t="shared" si="12"/>
        <v>541.03344000014795</v>
      </c>
      <c r="U53" s="41">
        <f t="shared" si="13"/>
        <v>539.91575879693426</v>
      </c>
      <c r="V53" s="95">
        <f t="shared" si="16"/>
        <v>540.47459939854116</v>
      </c>
      <c r="X53" s="43">
        <f>(O53*Controls!$G$12)+(P53*Controls!$H$12)</f>
        <v>443.82557427245837</v>
      </c>
      <c r="Y53" s="43">
        <f>(O53*Controls!$G$12)+(R53*Controls!$H$12)</f>
        <v>443.82557427245837</v>
      </c>
      <c r="Z53" s="43">
        <f t="shared" si="14"/>
        <v>443.82557427245837</v>
      </c>
      <c r="AA53" s="160">
        <f>-(INDEX(Controls!$G$14:$G$18,MATCH($B53,Controls!$C$14:$C$18,0),0))*$Z53</f>
        <v>-14.807938879214666</v>
      </c>
      <c r="AB53" s="94">
        <f t="shared" si="17"/>
        <v>429.01763539324372</v>
      </c>
    </row>
    <row r="54" spans="1:28" ht="12.75" x14ac:dyDescent="0.2">
      <c r="A54" s="33" t="str">
        <f>'Forecast drivers'!B56</f>
        <v>SVH</v>
      </c>
      <c r="B54" s="33">
        <f>'Forecast drivers'!C56</f>
        <v>2024</v>
      </c>
      <c r="C54" s="14" t="str">
        <f>'Forecast drivers'!A56</f>
        <v>SVH24</v>
      </c>
      <c r="D54" s="48">
        <f>EXP('Model coeffs'!$D$16+'Model coeffs'!$D$6*'Forecast drivers'!E56+'Model coeffs'!$D$7*'Forecast drivers'!I56+'Model coeffs'!$D$8*'Forecast drivers'!H56)</f>
        <v>215.78372876215212</v>
      </c>
      <c r="E54" s="48">
        <f>EXP('Model coeffs'!$E$16+'Model coeffs'!$E$6*'Forecast drivers'!E56+'Model coeffs'!$E$7*'Forecast drivers'!I56+'Model coeffs'!$E$9*'Forecast drivers'!M56)</f>
        <v>211.26725973445107</v>
      </c>
      <c r="F54" s="48">
        <f>EXP('Model coeffs'!$F$16+'Model coeffs'!$F$10*'Forecast drivers'!F56+'Model coeffs'!$F$11*'Forecast drivers'!J56+'Model coeffs'!$F$12*'Forecast drivers'!K56)</f>
        <v>237.01677470769232</v>
      </c>
      <c r="G54" s="48">
        <f>EXP('Model coeffs'!$G$16+'Model coeffs'!$G$10*'Forecast drivers'!F56+'Model coeffs'!$G$12*'Forecast drivers'!K56+'Model coeffs'!$G$13*'Forecast drivers'!L56)</f>
        <v>239.9897034501935</v>
      </c>
      <c r="H54" s="41">
        <f>EXP('Model coeffs'!$H$16+'Model coeffs'!$H$9*'Forecast drivers'!M56+'Model coeffs'!$H$11*'Forecast drivers'!J56+'Model coeffs'!$H$14*'Forecast drivers'!G56)</f>
        <v>86.842193314303898</v>
      </c>
      <c r="I54" s="41">
        <f>EXP('Model coeffs'!$I$16+'Model coeffs'!$I$14*'Forecast drivers'!G56+'Model coeffs'!$I$15*'Forecast drivers'!N56)</f>
        <v>95.502420382386788</v>
      </c>
      <c r="J54" s="41">
        <f>EXP('Model coeffs'!$J$16+'Model coeffs'!$J$10*'Forecast drivers'!F56+'Model coeffs'!$J$11*'Forecast drivers'!J56+'Model coeffs'!$J$12*'Forecast drivers'!K56)</f>
        <v>327.95279263511316</v>
      </c>
      <c r="K54" s="41">
        <f>EXP('Model coeffs'!$K$16+'Model coeffs'!$K$10*'Forecast drivers'!F56+'Model coeffs'!$K$12*'Forecast drivers'!K56+'Model coeffs'!$K$13*'Forecast drivers'!L56)</f>
        <v>329.47795403226849</v>
      </c>
      <c r="L54" s="66"/>
      <c r="M54" s="41">
        <f t="shared" si="5"/>
        <v>213.52549424830158</v>
      </c>
      <c r="N54" s="41">
        <f t="shared" si="6"/>
        <v>238.5032390789429</v>
      </c>
      <c r="O54" s="41">
        <f t="shared" si="7"/>
        <v>452.02873332724448</v>
      </c>
      <c r="P54" s="41">
        <f t="shared" si="8"/>
        <v>91.172306848345343</v>
      </c>
      <c r="Q54" s="41">
        <f t="shared" si="9"/>
        <v>328.71537333369082</v>
      </c>
      <c r="R54" s="41">
        <f t="shared" si="10"/>
        <v>90.212134254747923</v>
      </c>
      <c r="S54" s="41">
        <f t="shared" si="11"/>
        <v>90.692220551546626</v>
      </c>
      <c r="T54" s="41">
        <f t="shared" si="12"/>
        <v>543.20104017558981</v>
      </c>
      <c r="U54" s="41">
        <f t="shared" si="13"/>
        <v>542.24086758199246</v>
      </c>
      <c r="V54" s="95">
        <f t="shared" si="16"/>
        <v>542.72095387879108</v>
      </c>
      <c r="X54" s="43">
        <f>(O54*Controls!$G$12)+(P54*Controls!$H$12)</f>
        <v>445.8295806982623</v>
      </c>
      <c r="Y54" s="43">
        <f>(O54*Controls!$G$12)+(R54*Controls!$H$12)</f>
        <v>445.8295806982623</v>
      </c>
      <c r="Z54" s="43">
        <f t="shared" si="14"/>
        <v>445.8295806982623</v>
      </c>
      <c r="AA54" s="160">
        <f>-(INDEX(Controls!$G$14:$G$18,MATCH($B54,Controls!$C$14:$C$18,0),0))*$Z54</f>
        <v>-19.71219720252563</v>
      </c>
      <c r="AB54" s="94">
        <f t="shared" si="17"/>
        <v>426.1173834957367</v>
      </c>
    </row>
    <row r="55" spans="1:28" ht="12.75" x14ac:dyDescent="0.2">
      <c r="A55" s="33" t="str">
        <f>'Forecast drivers'!B57</f>
        <v>SVH</v>
      </c>
      <c r="B55" s="33">
        <f>'Forecast drivers'!C57</f>
        <v>2025</v>
      </c>
      <c r="C55" s="14" t="str">
        <f>'Forecast drivers'!A57</f>
        <v>SVH25</v>
      </c>
      <c r="D55" s="48">
        <f>EXP('Model coeffs'!$D$16+'Model coeffs'!$D$6*'Forecast drivers'!E57+'Model coeffs'!$D$7*'Forecast drivers'!I57+'Model coeffs'!$D$8*'Forecast drivers'!H57)</f>
        <v>217.33049906196953</v>
      </c>
      <c r="E55" s="48">
        <f>EXP('Model coeffs'!$E$16+'Model coeffs'!$E$6*'Forecast drivers'!E57+'Model coeffs'!$E$7*'Forecast drivers'!I57+'Model coeffs'!$E$9*'Forecast drivers'!M57)</f>
        <v>212.0586368821925</v>
      </c>
      <c r="F55" s="48">
        <f>EXP('Model coeffs'!$F$16+'Model coeffs'!$F$10*'Forecast drivers'!F57+'Model coeffs'!$F$11*'Forecast drivers'!J57+'Model coeffs'!$F$12*'Forecast drivers'!K57)</f>
        <v>237.89001995218615</v>
      </c>
      <c r="G55" s="48">
        <f>EXP('Model coeffs'!$G$16+'Model coeffs'!$G$10*'Forecast drivers'!F57+'Model coeffs'!$G$12*'Forecast drivers'!K57+'Model coeffs'!$G$13*'Forecast drivers'!L57)</f>
        <v>240.86415912732292</v>
      </c>
      <c r="H55" s="41">
        <f>EXP('Model coeffs'!$H$16+'Model coeffs'!$H$9*'Forecast drivers'!M57+'Model coeffs'!$H$11*'Forecast drivers'!J57+'Model coeffs'!$H$14*'Forecast drivers'!G57)</f>
        <v>87.183323642934766</v>
      </c>
      <c r="I55" s="41">
        <f>EXP('Model coeffs'!$I$16+'Model coeffs'!$I$14*'Forecast drivers'!G57+'Model coeffs'!$I$15*'Forecast drivers'!N57)</f>
        <v>95.576117637993335</v>
      </c>
      <c r="J55" s="41">
        <f>EXP('Model coeffs'!$J$16+'Model coeffs'!$J$10*'Forecast drivers'!F57+'Model coeffs'!$J$11*'Forecast drivers'!J57+'Model coeffs'!$J$12*'Forecast drivers'!K57)</f>
        <v>329.13853095775374</v>
      </c>
      <c r="K55" s="41">
        <f>EXP('Model coeffs'!$K$16+'Model coeffs'!$K$10*'Forecast drivers'!F57+'Model coeffs'!$K$12*'Forecast drivers'!K57+'Model coeffs'!$K$13*'Forecast drivers'!L57)</f>
        <v>330.62488357832632</v>
      </c>
      <c r="L55" s="66"/>
      <c r="M55" s="41">
        <f t="shared" si="5"/>
        <v>214.69456797208102</v>
      </c>
      <c r="N55" s="41">
        <f t="shared" si="6"/>
        <v>239.37708953975454</v>
      </c>
      <c r="O55" s="41">
        <f t="shared" si="7"/>
        <v>454.07165751183555</v>
      </c>
      <c r="P55" s="41">
        <f t="shared" si="8"/>
        <v>91.379720640464058</v>
      </c>
      <c r="Q55" s="41">
        <f t="shared" si="9"/>
        <v>329.88170726804003</v>
      </c>
      <c r="R55" s="41">
        <f t="shared" si="10"/>
        <v>90.504617728285496</v>
      </c>
      <c r="S55" s="41">
        <f t="shared" si="11"/>
        <v>90.942169184374777</v>
      </c>
      <c r="T55" s="41">
        <f t="shared" si="12"/>
        <v>545.45137815229964</v>
      </c>
      <c r="U55" s="41">
        <f t="shared" si="13"/>
        <v>544.57627524012105</v>
      </c>
      <c r="V55" s="95">
        <f t="shared" si="16"/>
        <v>545.01382669621034</v>
      </c>
      <c r="X55" s="43">
        <f>(O55*Controls!$G$12)+(P55*Controls!$H$12)</f>
        <v>447.84448808238028</v>
      </c>
      <c r="Y55" s="43">
        <f>(O55*Controls!$G$12)+(R55*Controls!$H$12)</f>
        <v>447.84448808238028</v>
      </c>
      <c r="Z55" s="43">
        <f t="shared" si="14"/>
        <v>447.84448808238028</v>
      </c>
      <c r="AA55" s="160">
        <f>-(INDEX(Controls!$G$14:$G$18,MATCH($B55,Controls!$C$14:$C$18,0),0))*$Z55</f>
        <v>-24.52450793415138</v>
      </c>
      <c r="AB55" s="94">
        <f t="shared" si="17"/>
        <v>423.31998014822892</v>
      </c>
    </row>
    <row r="56" spans="1:28" ht="12.75" x14ac:dyDescent="0.2">
      <c r="A56" s="34" t="s">
        <v>116</v>
      </c>
      <c r="B56" s="34">
        <v>2021</v>
      </c>
      <c r="C56" s="15" t="str">
        <f>A56&amp;RIGHT(B56,2)</f>
        <v>SVE21</v>
      </c>
      <c r="D56" s="45"/>
      <c r="E56" s="45"/>
      <c r="F56" s="45"/>
      <c r="G56" s="45"/>
      <c r="H56" s="42"/>
      <c r="I56" s="42"/>
      <c r="J56" s="42"/>
      <c r="K56" s="42"/>
      <c r="L56" s="66"/>
      <c r="M56" s="44">
        <f>M51*('BP costs'!$AN$12/('BP costs'!$AN$12+'BP costs'!$AN$8))</f>
        <v>208.85967567332145</v>
      </c>
      <c r="N56" s="44">
        <f>N51*('BP costs'!$AM$12/('BP costs'!$AM$12+'BP costs'!$AM$8))</f>
        <v>233.16882046146983</v>
      </c>
      <c r="O56" s="44">
        <f>O51*('BP costs'!$AP$12/('BP costs'!$AP$12+'BP costs'!$AP$8))</f>
        <v>442.02808451958197</v>
      </c>
      <c r="P56" s="44">
        <f>P51*('BP costs'!$AL$12/('BP costs'!$AL$12+'BP costs'!$AL$8))</f>
        <v>89.580709408449565</v>
      </c>
      <c r="Q56" s="44">
        <f>Q51*('BP costs'!$AO$12/('BP costs'!$AO$12+'BP costs'!$AO$8))</f>
        <v>321.52126730058069</v>
      </c>
      <c r="R56" s="44">
        <f t="shared" si="10"/>
        <v>88.352446839110854</v>
      </c>
      <c r="S56" s="44">
        <f t="shared" si="11"/>
        <v>88.966578123780209</v>
      </c>
      <c r="T56" s="44">
        <f t="shared" ref="T56:T64" si="18">M56+N56+P56</f>
        <v>531.60920554324082</v>
      </c>
      <c r="U56" s="44">
        <f t="shared" ref="U56:U65" si="19">M56+Q56</f>
        <v>530.38094297390217</v>
      </c>
      <c r="V56" s="96">
        <f t="shared" si="16"/>
        <v>530.99507425857155</v>
      </c>
      <c r="X56" s="43">
        <f>(O56*Controls!$G$12)+(P56*Controls!$H$12)</f>
        <v>435.96608146490053</v>
      </c>
      <c r="Y56" s="43">
        <f>(O56*Controls!$G$12)+(R56*Controls!$H$12)</f>
        <v>435.96608146490053</v>
      </c>
      <c r="Z56" s="43">
        <f t="shared" si="14"/>
        <v>435.96608146490053</v>
      </c>
      <c r="AA56" s="160">
        <f>-(INDEX(Controls!$G$14:$G$18,MATCH($B56,Controls!$C$14:$C$18,0),0))*$Z56</f>
        <v>-4.7956268961139052</v>
      </c>
      <c r="AB56" s="94">
        <f t="shared" si="17"/>
        <v>431.17045456878662</v>
      </c>
    </row>
    <row r="57" spans="1:28" ht="12.75" x14ac:dyDescent="0.2">
      <c r="A57" s="34" t="s">
        <v>116</v>
      </c>
      <c r="B57" s="34">
        <v>2022</v>
      </c>
      <c r="C57" s="15" t="str">
        <f t="shared" ref="C57:C65" si="20">A57&amp;RIGHT(B57,2)</f>
        <v>SVE22</v>
      </c>
      <c r="D57" s="45"/>
      <c r="E57" s="45"/>
      <c r="F57" s="45"/>
      <c r="G57" s="45"/>
      <c r="H57" s="42"/>
      <c r="I57" s="42"/>
      <c r="J57" s="42"/>
      <c r="K57" s="42"/>
      <c r="L57" s="66"/>
      <c r="M57" s="44">
        <f>M52*('BP costs'!$AN$12/('BP costs'!$AN$12+'BP costs'!$AN$8))</f>
        <v>209.87795015610422</v>
      </c>
      <c r="N57" s="44">
        <f>N52*('BP costs'!$AM$12/('BP costs'!$AM$12+'BP costs'!$AM$8))</f>
        <v>234.01279626244019</v>
      </c>
      <c r="O57" s="44">
        <f>O52*('BP costs'!$AP$12/('BP costs'!$AP$12+'BP costs'!$AP$8))</f>
        <v>443.88958288734727</v>
      </c>
      <c r="P57" s="44">
        <f>P52*('BP costs'!$AL$12/('BP costs'!$AL$12+'BP costs'!$AL$8))</f>
        <v>89.779216761120409</v>
      </c>
      <c r="Q57" s="44">
        <f>Q52*('BP costs'!$AO$12/('BP costs'!$AO$12+'BP costs'!$AO$8))</f>
        <v>322.64827807951013</v>
      </c>
      <c r="R57" s="44">
        <f t="shared" si="10"/>
        <v>88.635481817069945</v>
      </c>
      <c r="S57" s="44">
        <f t="shared" si="11"/>
        <v>89.207349289095177</v>
      </c>
      <c r="T57" s="44">
        <f t="shared" si="18"/>
        <v>533.66996317966482</v>
      </c>
      <c r="U57" s="44">
        <f t="shared" si="19"/>
        <v>532.52622823561433</v>
      </c>
      <c r="V57" s="96">
        <f t="shared" si="16"/>
        <v>533.09809570763957</v>
      </c>
      <c r="X57" s="43">
        <f>(O57*Controls!$G$12)+(P57*Controls!$H$12)</f>
        <v>437.80205111811836</v>
      </c>
      <c r="Y57" s="43">
        <f>(O57*Controls!$G$12)+(R57*Controls!$H$12)</f>
        <v>437.80205111811836</v>
      </c>
      <c r="Z57" s="43">
        <f t="shared" si="14"/>
        <v>437.80205111811836</v>
      </c>
      <c r="AA57" s="160">
        <f>-(INDEX(Controls!$G$14:$G$18,MATCH($B57,Controls!$C$14:$C$18,0),0))*$Z57</f>
        <v>-9.7288809601518498</v>
      </c>
      <c r="AB57" s="94">
        <f t="shared" si="17"/>
        <v>428.0731701579665</v>
      </c>
    </row>
    <row r="58" spans="1:28" ht="12.75" x14ac:dyDescent="0.2">
      <c r="A58" s="34" t="s">
        <v>116</v>
      </c>
      <c r="B58" s="34">
        <v>2023</v>
      </c>
      <c r="C58" s="15" t="str">
        <f t="shared" si="20"/>
        <v>SVE23</v>
      </c>
      <c r="D58" s="45"/>
      <c r="E58" s="45"/>
      <c r="F58" s="45"/>
      <c r="G58" s="45"/>
      <c r="H58" s="42"/>
      <c r="I58" s="42"/>
      <c r="J58" s="42"/>
      <c r="K58" s="42"/>
      <c r="L58" s="66"/>
      <c r="M58" s="44">
        <f>M53*('BP costs'!$AN$12/('BP costs'!$AN$12+'BP costs'!$AN$8))</f>
        <v>211.05430931597863</v>
      </c>
      <c r="N58" s="44">
        <f>N53*('BP costs'!$AM$12/('BP costs'!$AM$12+'BP costs'!$AM$8))</f>
        <v>234.87892625147342</v>
      </c>
      <c r="O58" s="44">
        <f>O53*('BP costs'!$AP$12/('BP costs'!$AP$12+'BP costs'!$AP$8))</f>
        <v>445.93092456513972</v>
      </c>
      <c r="P58" s="44">
        <f>P53*('BP costs'!$AL$12/('BP costs'!$AL$12+'BP costs'!$AL$8))</f>
        <v>90.050884617222437</v>
      </c>
      <c r="Q58" s="44">
        <f>Q53*('BP costs'!$AO$12/('BP costs'!$AO$12+'BP costs'!$AO$8))</f>
        <v>323.80474073406009</v>
      </c>
      <c r="R58" s="44">
        <f t="shared" si="10"/>
        <v>88.925814482586674</v>
      </c>
      <c r="S58" s="44">
        <f t="shared" si="11"/>
        <v>89.488349549904555</v>
      </c>
      <c r="T58" s="44">
        <f t="shared" si="18"/>
        <v>535.98412018467445</v>
      </c>
      <c r="U58" s="44">
        <f t="shared" si="19"/>
        <v>534.85905005003872</v>
      </c>
      <c r="V58" s="96">
        <f t="shared" si="16"/>
        <v>535.42158511735659</v>
      </c>
      <c r="X58" s="43">
        <f>(O58*Controls!$G$12)+(P58*Controls!$H$12)</f>
        <v>439.81539769804306</v>
      </c>
      <c r="Y58" s="43">
        <f>(O58*Controls!$G$12)+(R58*Controls!$H$12)</f>
        <v>439.81539769804306</v>
      </c>
      <c r="Z58" s="43">
        <f t="shared" si="14"/>
        <v>439.81539769804306</v>
      </c>
      <c r="AA58" s="160">
        <f>-(INDEX(Controls!$G$14:$G$18,MATCH($B58,Controls!$C$14:$C$18,0),0))*$Z58</f>
        <v>-14.674142061160314</v>
      </c>
      <c r="AB58" s="94">
        <f t="shared" si="17"/>
        <v>425.14125563688276</v>
      </c>
    </row>
    <row r="59" spans="1:28" ht="12.75" x14ac:dyDescent="0.2">
      <c r="A59" s="34" t="s">
        <v>116</v>
      </c>
      <c r="B59" s="34">
        <v>2024</v>
      </c>
      <c r="C59" s="15" t="str">
        <f t="shared" si="20"/>
        <v>SVE24</v>
      </c>
      <c r="D59" s="45"/>
      <c r="E59" s="45"/>
      <c r="F59" s="45"/>
      <c r="G59" s="45"/>
      <c r="H59" s="42"/>
      <c r="I59" s="42"/>
      <c r="J59" s="42"/>
      <c r="K59" s="42"/>
      <c r="L59" s="66"/>
      <c r="M59" s="44">
        <f>M54*('BP costs'!$AN$12/('BP costs'!$AN$12+'BP costs'!$AN$8))</f>
        <v>212.2033195138207</v>
      </c>
      <c r="N59" s="44">
        <f>N54*('BP costs'!$AM$12/('BP costs'!$AM$12+'BP costs'!$AM$8))</f>
        <v>235.7444994210758</v>
      </c>
      <c r="O59" s="44">
        <f>O54*('BP costs'!$AP$12/('BP costs'!$AP$12+'BP costs'!$AP$8))</f>
        <v>447.94443728296392</v>
      </c>
      <c r="P59" s="44">
        <f>P54*('BP costs'!$AL$12/('BP costs'!$AL$12+'BP costs'!$AL$8))</f>
        <v>90.185143548205588</v>
      </c>
      <c r="Q59" s="44">
        <f>Q54*('BP costs'!$AO$12/('BP costs'!$AO$12+'BP costs'!$AO$8))</f>
        <v>324.96032692594702</v>
      </c>
      <c r="R59" s="44">
        <f t="shared" si="10"/>
        <v>89.215827504871214</v>
      </c>
      <c r="S59" s="44">
        <f t="shared" si="11"/>
        <v>89.700485526538401</v>
      </c>
      <c r="T59" s="44">
        <f t="shared" si="18"/>
        <v>538.13296248310212</v>
      </c>
      <c r="U59" s="44">
        <f t="shared" si="19"/>
        <v>537.16364643976772</v>
      </c>
      <c r="V59" s="96">
        <f t="shared" si="16"/>
        <v>537.64830446143492</v>
      </c>
      <c r="X59" s="43">
        <f>(O59*Controls!$G$12)+(P59*Controls!$H$12)</f>
        <v>441.80129696623914</v>
      </c>
      <c r="Y59" s="43">
        <f>(O59*Controls!$G$12)+(R59*Controls!$H$12)</f>
        <v>441.80129696623914</v>
      </c>
      <c r="Z59" s="43">
        <f t="shared" si="14"/>
        <v>441.80129696623914</v>
      </c>
      <c r="AA59" s="160">
        <f>-(INDEX(Controls!$G$14:$G$18,MATCH($B59,Controls!$C$14:$C$18,0),0))*$Z59</f>
        <v>-19.534088062281953</v>
      </c>
      <c r="AB59" s="94">
        <f t="shared" si="17"/>
        <v>422.26720890395717</v>
      </c>
    </row>
    <row r="60" spans="1:28" ht="12.75" x14ac:dyDescent="0.2">
      <c r="A60" s="34" t="s">
        <v>116</v>
      </c>
      <c r="B60" s="34">
        <v>2025</v>
      </c>
      <c r="C60" s="15" t="str">
        <f t="shared" si="20"/>
        <v>SVE25</v>
      </c>
      <c r="D60" s="45"/>
      <c r="E60" s="45"/>
      <c r="F60" s="45"/>
      <c r="G60" s="45"/>
      <c r="H60" s="42"/>
      <c r="I60" s="42"/>
      <c r="J60" s="42"/>
      <c r="K60" s="42"/>
      <c r="L60" s="66"/>
      <c r="M60" s="44">
        <f>M55*('BP costs'!$AN$12/('BP costs'!$AN$12+'BP costs'!$AN$8))</f>
        <v>213.36515419691429</v>
      </c>
      <c r="N60" s="44">
        <f>N55*('BP costs'!$AM$12/('BP costs'!$AM$12+'BP costs'!$AM$8))</f>
        <v>236.60824215366287</v>
      </c>
      <c r="O60" s="44">
        <f>O55*('BP costs'!$AP$12/('BP costs'!$AP$12+'BP costs'!$AP$8))</f>
        <v>449.96890266936208</v>
      </c>
      <c r="P60" s="44">
        <f>P55*('BP costs'!$AL$12/('BP costs'!$AL$12+'BP costs'!$AL$8))</f>
        <v>90.390311578528852</v>
      </c>
      <c r="Q60" s="44">
        <f>Q55*('BP costs'!$AO$12/('BP costs'!$AO$12+'BP costs'!$AO$8))</f>
        <v>326.11333736402651</v>
      </c>
      <c r="R60" s="44">
        <f t="shared" si="10"/>
        <v>89.505095210363635</v>
      </c>
      <c r="S60" s="44">
        <f t="shared" si="11"/>
        <v>89.947703394446251</v>
      </c>
      <c r="T60" s="44">
        <f t="shared" si="18"/>
        <v>540.363707929106</v>
      </c>
      <c r="U60" s="44">
        <f t="shared" si="19"/>
        <v>539.47849156094082</v>
      </c>
      <c r="V60" s="96">
        <f t="shared" si="16"/>
        <v>539.92109974502341</v>
      </c>
      <c r="X60" s="43">
        <f>(O60*Controls!$G$12)+(P60*Controls!$H$12)</f>
        <v>443.79799869737138</v>
      </c>
      <c r="Y60" s="43">
        <f>(O60*Controls!$G$12)+(R60*Controls!$H$12)</f>
        <v>443.79799869737138</v>
      </c>
      <c r="Z60" s="43">
        <f t="shared" si="14"/>
        <v>443.79799869737138</v>
      </c>
      <c r="AA60" s="160">
        <f>-(INDEX(Controls!$G$14:$G$18,MATCH($B60,Controls!$C$14:$C$18,0),0))*$Z60</f>
        <v>-24.302917262235251</v>
      </c>
      <c r="AB60" s="94">
        <f t="shared" si="17"/>
        <v>419.49508143513611</v>
      </c>
    </row>
    <row r="61" spans="1:28" ht="12.75" x14ac:dyDescent="0.2">
      <c r="A61" s="34" t="s">
        <v>87</v>
      </c>
      <c r="B61" s="34">
        <v>2021</v>
      </c>
      <c r="C61" s="15" t="str">
        <f t="shared" si="20"/>
        <v>HDD21</v>
      </c>
      <c r="D61" s="45"/>
      <c r="E61" s="45"/>
      <c r="F61" s="45"/>
      <c r="G61" s="45"/>
      <c r="H61" s="42"/>
      <c r="I61" s="42"/>
      <c r="J61" s="42"/>
      <c r="K61" s="42"/>
      <c r="L61" s="66"/>
      <c r="M61" s="42">
        <f>M51*('BP costs'!$AN$8/('BP costs'!$AN$12+'BP costs'!$AN$8))</f>
        <v>1.3013415004996993</v>
      </c>
      <c r="N61" s="42">
        <f>N51*('BP costs'!$AM$8/('BP costs'!$AM$12+'BP costs'!$AM$8))</f>
        <v>2.728598434172596</v>
      </c>
      <c r="O61" s="42">
        <f>O51*('BP costs'!$AP$8/('BP costs'!$AP$12+'BP costs'!$AP$8))</f>
        <v>4.0303515498816269</v>
      </c>
      <c r="P61" s="42">
        <f>P51*('BP costs'!$AL$8/('BP costs'!$AL$12+'BP costs'!$AL$8))</f>
        <v>0.98054718603666302</v>
      </c>
      <c r="Q61" s="42">
        <f>Q51*('BP costs'!$AO$8/('BP costs'!$AO$12+'BP costs'!$AO$8))</f>
        <v>3.7153066997787954</v>
      </c>
      <c r="R61" s="42">
        <f t="shared" si="10"/>
        <v>0.9867082656061994</v>
      </c>
      <c r="S61" s="42">
        <f t="shared" si="11"/>
        <v>0.98362772582143121</v>
      </c>
      <c r="T61" s="42">
        <f t="shared" si="18"/>
        <v>5.0104871207089587</v>
      </c>
      <c r="U61" s="42">
        <f t="shared" si="19"/>
        <v>5.0166482002784942</v>
      </c>
      <c r="V61" s="97">
        <f t="shared" si="16"/>
        <v>5.0135676604937265</v>
      </c>
      <c r="W61" s="157"/>
      <c r="X61" s="43">
        <f>(O61*Controls!$G$12)+(P61*Controls!$H$12)</f>
        <v>3.9750790360698036</v>
      </c>
      <c r="Y61" s="43">
        <f>(O61*Controls!$G$12)+(R61*Controls!$H$12)</f>
        <v>3.9750790360698036</v>
      </c>
      <c r="Z61" s="43">
        <f t="shared" si="14"/>
        <v>3.9750790360698036</v>
      </c>
      <c r="AA61" s="158">
        <f>-(INDEX(Controls!$G$14:$G$18,MATCH($B61,Controls!$C$14:$C$18,0),0))*$Z61</f>
        <v>-4.3725869396767834E-2</v>
      </c>
      <c r="AB61" s="159">
        <f t="shared" si="17"/>
        <v>3.9313531666730359</v>
      </c>
    </row>
    <row r="62" spans="1:28" ht="12.75" x14ac:dyDescent="0.2">
      <c r="A62" s="34" t="s">
        <v>87</v>
      </c>
      <c r="B62" s="34">
        <v>2022</v>
      </c>
      <c r="C62" s="15" t="str">
        <f t="shared" si="20"/>
        <v>HDD22</v>
      </c>
      <c r="D62" s="45"/>
      <c r="E62" s="45"/>
      <c r="F62" s="45"/>
      <c r="G62" s="45"/>
      <c r="H62" s="42"/>
      <c r="I62" s="42"/>
      <c r="J62" s="42"/>
      <c r="K62" s="42"/>
      <c r="L62" s="66"/>
      <c r="M62" s="42">
        <f>M52*('BP costs'!$AN$8/('BP costs'!$AN$12+'BP costs'!$AN$8))</f>
        <v>1.3076860609758809</v>
      </c>
      <c r="N62" s="42">
        <f>N52*('BP costs'!$AM$8/('BP costs'!$AM$12+'BP costs'!$AM$8))</f>
        <v>2.7384748449399088</v>
      </c>
      <c r="O62" s="42">
        <f>O52*('BP costs'!$AP$8/('BP costs'!$AP$12+'BP costs'!$AP$8))</f>
        <v>4.047324437112942</v>
      </c>
      <c r="P62" s="42">
        <f>P52*('BP costs'!$AL$8/('BP costs'!$AL$12+'BP costs'!$AL$8))</f>
        <v>0.98272004029685289</v>
      </c>
      <c r="Q62" s="42">
        <f>Q52*('BP costs'!$AO$8/('BP costs'!$AO$12+'BP costs'!$AO$8))</f>
        <v>3.7283297595994851</v>
      </c>
      <c r="R62" s="42">
        <f t="shared" si="10"/>
        <v>0.98985491465957631</v>
      </c>
      <c r="S62" s="42">
        <f t="shared" si="11"/>
        <v>0.98628747747821466</v>
      </c>
      <c r="T62" s="42">
        <f t="shared" si="18"/>
        <v>5.0288809462126425</v>
      </c>
      <c r="U62" s="42">
        <f t="shared" si="19"/>
        <v>5.0360158205753658</v>
      </c>
      <c r="V62" s="97">
        <f t="shared" si="16"/>
        <v>5.0324483833940041</v>
      </c>
      <c r="W62" s="157"/>
      <c r="X62" s="43">
        <f>(O62*Controls!$G$12)+(P62*Controls!$H$12)</f>
        <v>3.9918191559773981</v>
      </c>
      <c r="Y62" s="43">
        <f>(O62*Controls!$G$12)+(R62*Controls!$H$12)</f>
        <v>3.9918191559773981</v>
      </c>
      <c r="Z62" s="43">
        <f t="shared" si="14"/>
        <v>3.9918191559773981</v>
      </c>
      <c r="AA62" s="158">
        <f>-(INDEX(Controls!$G$14:$G$18,MATCH($B62,Controls!$C$14:$C$18,0),0))*$Z62</f>
        <v>-8.8706604466044545E-2</v>
      </c>
      <c r="AB62" s="159">
        <f t="shared" si="17"/>
        <v>3.9031125515113536</v>
      </c>
    </row>
    <row r="63" spans="1:28" ht="12.75" x14ac:dyDescent="0.2">
      <c r="A63" s="34" t="s">
        <v>87</v>
      </c>
      <c r="B63" s="34">
        <v>2023</v>
      </c>
      <c r="C63" s="15" t="str">
        <f t="shared" si="20"/>
        <v>HDD23</v>
      </c>
      <c r="D63" s="45"/>
      <c r="E63" s="45"/>
      <c r="F63" s="45"/>
      <c r="G63" s="45"/>
      <c r="H63" s="42"/>
      <c r="I63" s="42"/>
      <c r="J63" s="42"/>
      <c r="K63" s="42"/>
      <c r="L63" s="66"/>
      <c r="M63" s="42">
        <f>M53*('BP costs'!$AN$8/('BP costs'!$AN$12+'BP costs'!$AN$8))</f>
        <v>1.3150155992857648</v>
      </c>
      <c r="N63" s="42">
        <f>N53*('BP costs'!$AM$8/('BP costs'!$AM$12+'BP costs'!$AM$8))</f>
        <v>2.7486105094219297</v>
      </c>
      <c r="O63" s="42">
        <f>O53*('BP costs'!$AP$8/('BP costs'!$AP$12+'BP costs'!$AP$8))</f>
        <v>4.06593711102001</v>
      </c>
      <c r="P63" s="42">
        <f>P53*('BP costs'!$AL$8/('BP costs'!$AL$12+'BP costs'!$AL$8))</f>
        <v>0.98569370676585644</v>
      </c>
      <c r="Q63" s="42">
        <f>Q53*('BP costs'!$AO$8/('BP costs'!$AO$12+'BP costs'!$AO$8))</f>
        <v>3.7416931476097619</v>
      </c>
      <c r="R63" s="42">
        <f t="shared" si="10"/>
        <v>0.99308263818783216</v>
      </c>
      <c r="S63" s="42">
        <f t="shared" si="11"/>
        <v>0.9893881724768443</v>
      </c>
      <c r="T63" s="42">
        <f t="shared" si="18"/>
        <v>5.0493198154735506</v>
      </c>
      <c r="U63" s="42">
        <f t="shared" si="19"/>
        <v>5.0567087468955272</v>
      </c>
      <c r="V63" s="97">
        <f t="shared" si="16"/>
        <v>5.0530142811845389</v>
      </c>
      <c r="W63" s="157"/>
      <c r="X63" s="43">
        <f>(O63*Controls!$G$12)+(P63*Controls!$H$12)</f>
        <v>4.0101765744153406</v>
      </c>
      <c r="Y63" s="43">
        <f>(O63*Controls!$G$12)+(R63*Controls!$H$12)</f>
        <v>4.0101765744153406</v>
      </c>
      <c r="Z63" s="43">
        <f t="shared" si="14"/>
        <v>4.0101765744153406</v>
      </c>
      <c r="AA63" s="158">
        <f>-(INDEX(Controls!$G$14:$G$18,MATCH($B63,Controls!$C$14:$C$18,0),0))*$Z63</f>
        <v>-0.13379681805435292</v>
      </c>
      <c r="AB63" s="159">
        <f t="shared" si="17"/>
        <v>3.8763797563609876</v>
      </c>
    </row>
    <row r="64" spans="1:28" ht="12.75" x14ac:dyDescent="0.2">
      <c r="A64" s="34" t="s">
        <v>87</v>
      </c>
      <c r="B64" s="34">
        <v>2024</v>
      </c>
      <c r="C64" s="15" t="str">
        <f t="shared" si="20"/>
        <v>HDD24</v>
      </c>
      <c r="D64" s="45"/>
      <c r="E64" s="45"/>
      <c r="F64" s="45"/>
      <c r="G64" s="45"/>
      <c r="H64" s="42"/>
      <c r="I64" s="42"/>
      <c r="J64" s="42"/>
      <c r="K64" s="42"/>
      <c r="L64" s="66"/>
      <c r="M64" s="42">
        <f>M54*('BP costs'!$AN$8/('BP costs'!$AN$12+'BP costs'!$AN$8))</f>
        <v>1.3221747344808612</v>
      </c>
      <c r="N64" s="42">
        <f>N54*('BP costs'!$AM$8/('BP costs'!$AM$12+'BP costs'!$AM$8))</f>
        <v>2.7587396578670971</v>
      </c>
      <c r="O64" s="42">
        <f>O54*('BP costs'!$AP$8/('BP costs'!$AP$12+'BP costs'!$AP$8))</f>
        <v>4.0842960442805722</v>
      </c>
      <c r="P64" s="42">
        <f>P54*('BP costs'!$AL$8/('BP costs'!$AL$12+'BP costs'!$AL$8))</f>
        <v>0.98716330013975528</v>
      </c>
      <c r="Q64" s="42">
        <f>Q54*('BP costs'!$AO$8/('BP costs'!$AO$12+'BP costs'!$AO$8))</f>
        <v>3.7550464077437971</v>
      </c>
      <c r="R64" s="42">
        <f t="shared" si="10"/>
        <v>0.99630674987669998</v>
      </c>
      <c r="S64" s="42">
        <f t="shared" si="11"/>
        <v>0.99173502500822763</v>
      </c>
      <c r="T64" s="42">
        <f t="shared" si="18"/>
        <v>5.068077692487714</v>
      </c>
      <c r="U64" s="42">
        <f t="shared" si="19"/>
        <v>5.0772211422246585</v>
      </c>
      <c r="V64" s="97">
        <f t="shared" si="16"/>
        <v>5.0726494173561862</v>
      </c>
      <c r="W64" s="157"/>
      <c r="X64" s="43">
        <f>(O64*Controls!$G$12)+(P64*Controls!$H$12)</f>
        <v>4.0282837320231701</v>
      </c>
      <c r="Y64" s="43">
        <f>(O64*Controls!$G$12)+(R64*Controls!$H$12)</f>
        <v>4.0282837320231701</v>
      </c>
      <c r="Z64" s="43">
        <f t="shared" si="14"/>
        <v>4.0282837320231701</v>
      </c>
      <c r="AA64" s="158">
        <f>-(INDEX(Controls!$G$14:$G$18,MATCH($B64,Controls!$C$14:$C$18,0),0))*$Z64</f>
        <v>-0.1781091402436773</v>
      </c>
      <c r="AB64" s="159">
        <f t="shared" si="17"/>
        <v>3.8501745917794929</v>
      </c>
    </row>
    <row r="65" spans="1:28" ht="12.75" x14ac:dyDescent="0.2">
      <c r="A65" s="34" t="s">
        <v>87</v>
      </c>
      <c r="B65" s="34">
        <v>2025</v>
      </c>
      <c r="C65" s="15" t="str">
        <f t="shared" si="20"/>
        <v>HDD25</v>
      </c>
      <c r="D65" s="45"/>
      <c r="E65" s="45"/>
      <c r="F65" s="45"/>
      <c r="G65" s="45"/>
      <c r="H65" s="42"/>
      <c r="I65" s="42"/>
      <c r="J65" s="42"/>
      <c r="K65" s="42"/>
      <c r="L65" s="66"/>
      <c r="M65" s="42">
        <f>M55*('BP costs'!$AN$8/('BP costs'!$AN$12+'BP costs'!$AN$8))</f>
        <v>1.3294137751666968</v>
      </c>
      <c r="N65" s="42">
        <f>N55*('BP costs'!$AM$8/('BP costs'!$AM$12+'BP costs'!$AM$8))</f>
        <v>2.7688473860916543</v>
      </c>
      <c r="O65" s="42">
        <f>O55*('BP costs'!$AP$8/('BP costs'!$AP$12+'BP costs'!$AP$8))</f>
        <v>4.1027548424734954</v>
      </c>
      <c r="P65" s="42">
        <f>P55*('BP costs'!$AL$8/('BP costs'!$AL$12+'BP costs'!$AL$8))</f>
        <v>0.98940906193519818</v>
      </c>
      <c r="Q65" s="42">
        <f>Q55*('BP costs'!$AO$8/('BP costs'!$AO$12+'BP costs'!$AO$8))</f>
        <v>3.7683699040135066</v>
      </c>
      <c r="R65" s="42">
        <f t="shared" si="10"/>
        <v>0.99952251792185232</v>
      </c>
      <c r="S65" s="42">
        <f t="shared" si="11"/>
        <v>0.99446578992852519</v>
      </c>
      <c r="T65" s="42">
        <f>M65+N65+P65</f>
        <v>5.08767022319355</v>
      </c>
      <c r="U65" s="42">
        <f t="shared" si="19"/>
        <v>5.0977836791802034</v>
      </c>
      <c r="V65" s="97">
        <f t="shared" si="16"/>
        <v>5.0927269511868767</v>
      </c>
      <c r="W65" s="157"/>
      <c r="X65" s="43">
        <f>(O65*Controls!$G$12)+(P65*Controls!$H$12)</f>
        <v>4.0464893850089219</v>
      </c>
      <c r="Y65" s="43">
        <f>(O65*Controls!$G$12)+(R65*Controls!$H$12)</f>
        <v>4.0464893850089219</v>
      </c>
      <c r="Z65" s="43">
        <f t="shared" si="14"/>
        <v>4.0464893850089219</v>
      </c>
      <c r="AA65" s="158">
        <f>-(INDEX(Controls!$G$14:$G$18,MATCH($B65,Controls!$C$14:$C$18,0),0))*$Z65</f>
        <v>-0.2215906719161316</v>
      </c>
      <c r="AB65" s="159">
        <f t="shared" si="17"/>
        <v>3.8248987130927903</v>
      </c>
    </row>
    <row r="66" spans="1:28" ht="12.75" x14ac:dyDescent="0.2">
      <c r="C66" s="13"/>
      <c r="L66" s="66"/>
    </row>
    <row r="67" spans="1:28" ht="12.75" x14ac:dyDescent="0.2">
      <c r="C67" s="13"/>
      <c r="L67" s="66"/>
    </row>
    <row r="68" spans="1:28" x14ac:dyDescent="0.25">
      <c r="L68" s="66"/>
    </row>
    <row r="69" spans="1:28" x14ac:dyDescent="0.25">
      <c r="L69" s="66"/>
    </row>
    <row r="70" spans="1:28" x14ac:dyDescent="0.25">
      <c r="L70" s="66"/>
    </row>
    <row r="71" spans="1:28" x14ac:dyDescent="0.25">
      <c r="L71" s="66"/>
    </row>
    <row r="72" spans="1:28" x14ac:dyDescent="0.25">
      <c r="L72" s="66"/>
    </row>
    <row r="73" spans="1:28" x14ac:dyDescent="0.25">
      <c r="L73" s="66"/>
    </row>
    <row r="74" spans="1:28" x14ac:dyDescent="0.25">
      <c r="L74" s="66"/>
    </row>
    <row r="75" spans="1:28" x14ac:dyDescent="0.25">
      <c r="L75" s="66"/>
    </row>
    <row r="76" spans="1:28" x14ac:dyDescent="0.25">
      <c r="L76" s="66"/>
    </row>
    <row r="77" spans="1:28" x14ac:dyDescent="0.25">
      <c r="L77" s="66"/>
    </row>
    <row r="78" spans="1:28" x14ac:dyDescent="0.25">
      <c r="L78" s="66"/>
    </row>
    <row r="79" spans="1:28" x14ac:dyDescent="0.25">
      <c r="L79" s="66"/>
    </row>
    <row r="80" spans="1:28" x14ac:dyDescent="0.25">
      <c r="L80" s="66"/>
    </row>
    <row r="81" spans="12:23" x14ac:dyDescent="0.25">
      <c r="L81" s="66"/>
    </row>
    <row r="82" spans="12:23" x14ac:dyDescent="0.25">
      <c r="L82" s="66"/>
    </row>
    <row r="83" spans="12:23" x14ac:dyDescent="0.25">
      <c r="L83" s="66"/>
    </row>
    <row r="84" spans="12:23" x14ac:dyDescent="0.25">
      <c r="L84" s="66"/>
    </row>
    <row r="85" spans="12:23" x14ac:dyDescent="0.25">
      <c r="L85" s="66"/>
    </row>
    <row r="86" spans="12:23" x14ac:dyDescent="0.25">
      <c r="L86" s="67"/>
      <c r="W86" s="72"/>
    </row>
    <row r="87" spans="12:23" x14ac:dyDescent="0.25">
      <c r="L87" s="67"/>
      <c r="W87" s="72"/>
    </row>
    <row r="88" spans="12:23" x14ac:dyDescent="0.25">
      <c r="L88" s="67"/>
      <c r="W88" s="72"/>
    </row>
    <row r="89" spans="12:23" x14ac:dyDescent="0.25">
      <c r="L89" s="67"/>
      <c r="W89" s="72"/>
    </row>
    <row r="90" spans="12:23" x14ac:dyDescent="0.25">
      <c r="L90" s="67"/>
      <c r="W90" s="72"/>
    </row>
    <row r="91" spans="12:23" x14ac:dyDescent="0.25">
      <c r="L91" s="67"/>
      <c r="W91" s="72"/>
    </row>
    <row r="92" spans="12:23" x14ac:dyDescent="0.25">
      <c r="L92" s="67"/>
      <c r="W92" s="72"/>
    </row>
    <row r="93" spans="12:23" x14ac:dyDescent="0.25">
      <c r="L93" s="67"/>
      <c r="W93" s="72"/>
    </row>
    <row r="94" spans="12:23" x14ac:dyDescent="0.25">
      <c r="L94" s="67"/>
      <c r="W94" s="72"/>
    </row>
    <row r="95" spans="12:23" x14ac:dyDescent="0.25">
      <c r="L95" s="67"/>
      <c r="W95" s="72"/>
    </row>
    <row r="96" spans="12:23" x14ac:dyDescent="0.25">
      <c r="L96" s="67"/>
      <c r="W96" s="72"/>
    </row>
    <row r="97" spans="12:23" x14ac:dyDescent="0.25">
      <c r="L97" s="67"/>
      <c r="W97" s="72"/>
    </row>
    <row r="98" spans="12:23" x14ac:dyDescent="0.25">
      <c r="L98" s="67"/>
      <c r="W98" s="72"/>
    </row>
    <row r="99" spans="12:23" x14ac:dyDescent="0.25">
      <c r="L99" s="67"/>
      <c r="W99" s="72"/>
    </row>
    <row r="100" spans="12:23" x14ac:dyDescent="0.25">
      <c r="L100" s="67"/>
      <c r="W100" s="72"/>
    </row>
  </sheetData>
  <conditionalFormatting sqref="AG6:AG15 AG20:AG21">
    <cfRule type="colorScale" priority="2">
      <colorScale>
        <cfvo type="min"/>
        <cfvo type="percentile" val="50"/>
        <cfvo type="max"/>
        <color theme="7"/>
        <color rgb="FFFFC000"/>
        <color theme="9"/>
      </colorScale>
    </cfRule>
  </conditionalFormatting>
  <pageMargins left="0.7" right="0.7" top="0.75" bottom="0.75" header="0.3" footer="0.3"/>
  <pageSetup paperSize="9" orientation="portrait" r:id="rId1"/>
  <ignoredErrors>
    <ignoredError sqref="O20:O55 O6:O1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24"/>
  <sheetViews>
    <sheetView showGridLines="0" zoomScale="80" zoomScaleNormal="80" workbookViewId="0"/>
  </sheetViews>
  <sheetFormatPr defaultColWidth="9" defaultRowHeight="12.75" x14ac:dyDescent="0.2"/>
  <cols>
    <col min="1" max="4" width="9" style="11"/>
    <col min="5" max="5" width="10.875" style="11" customWidth="1"/>
    <col min="6" max="6" width="11.625" style="11" customWidth="1"/>
    <col min="7" max="7" width="3.375" style="11" customWidth="1"/>
    <col min="8" max="8" width="11" style="11" customWidth="1"/>
    <col min="9" max="9" width="9" style="11"/>
    <col min="10" max="10" width="10.875" style="11" customWidth="1"/>
    <col min="11" max="16384" width="9" style="11"/>
  </cols>
  <sheetData>
    <row r="1" spans="1:14" ht="18.75" x14ac:dyDescent="0.3">
      <c r="A1" s="146" t="s">
        <v>283</v>
      </c>
    </row>
    <row r="2" spans="1:14" ht="15.75" x14ac:dyDescent="0.25">
      <c r="A2" s="145" t="s">
        <v>276</v>
      </c>
    </row>
    <row r="5" spans="1:14" x14ac:dyDescent="0.2">
      <c r="A5" s="73" t="s">
        <v>158</v>
      </c>
    </row>
    <row r="7" spans="1:14" ht="25.5" x14ac:dyDescent="0.2">
      <c r="A7" s="31" t="s">
        <v>13</v>
      </c>
      <c r="B7" s="31" t="s">
        <v>285</v>
      </c>
      <c r="C7" s="31" t="s">
        <v>356</v>
      </c>
      <c r="D7" s="31" t="s">
        <v>122</v>
      </c>
      <c r="E7" s="31" t="s">
        <v>35</v>
      </c>
      <c r="F7" s="31" t="s">
        <v>287</v>
      </c>
      <c r="H7" s="31" t="s">
        <v>35</v>
      </c>
      <c r="I7" s="31" t="s">
        <v>157</v>
      </c>
      <c r="J7" s="31" t="s">
        <v>147</v>
      </c>
    </row>
    <row r="8" spans="1:14" x14ac:dyDescent="0.2">
      <c r="A8" s="62" t="s">
        <v>4</v>
      </c>
      <c r="B8" s="60">
        <f>SUMIF('Modelled costs'!$A$6:$A$65,$A8,'Modelled costs'!M$6:M$65)</f>
        <v>813.64262653004062</v>
      </c>
      <c r="C8" s="60">
        <f>SUMIF('Modelled costs'!$A$6:$A$65,$A8,'Modelled costs'!N$6:N$65)</f>
        <v>980.88517240194233</v>
      </c>
      <c r="D8" s="60">
        <f>SUMIF('Modelled costs'!$A$6:$A$65,$A8,'Modelled costs'!O$6:O$65)</f>
        <v>1794.5277989319832</v>
      </c>
      <c r="E8" s="60">
        <f>SUMIF('Modelled costs'!$A$6:$A$65,$A8,'Modelled costs'!P$6:P$65)</f>
        <v>366.12818650583347</v>
      </c>
      <c r="F8" s="60">
        <f>SUMIF('Modelled costs'!$A$6:$A$65,$A8,'Modelled costs'!Q$6:Q$65)</f>
        <v>1266.9652194944397</v>
      </c>
      <c r="H8" s="60">
        <f t="shared" ref="H8:H18" si="0">AVERAGE(E8,F8-C8)</f>
        <v>326.10411679916541</v>
      </c>
      <c r="I8" s="60">
        <f t="shared" ref="I8:I18" si="1">AVERAGE(D8+E8,B8+F8)</f>
        <v>2120.6319157311482</v>
      </c>
      <c r="J8" s="83">
        <f t="shared" ref="J8:J18" si="2">H8/I8</f>
        <v>0.1537768598030044</v>
      </c>
      <c r="L8" s="161"/>
      <c r="M8" s="161"/>
      <c r="N8" s="161"/>
    </row>
    <row r="9" spans="1:14" x14ac:dyDescent="0.2">
      <c r="A9" s="62" t="s">
        <v>87</v>
      </c>
      <c r="B9" s="60">
        <f>SUMIF('Modelled costs'!$A$6:$A$65,$A9,'Modelled costs'!M$6:M$65)</f>
        <v>6.5756316704089031</v>
      </c>
      <c r="C9" s="60">
        <f>SUMIF('Modelled costs'!$A$6:$A$65,$A9,'Modelled costs'!N$6:N$65)</f>
        <v>13.743270832493184</v>
      </c>
      <c r="D9" s="60">
        <f>SUMIF('Modelled costs'!$A$6:$A$65,$A9,'Modelled costs'!O$6:O$65)</f>
        <v>20.330663984768648</v>
      </c>
      <c r="E9" s="60">
        <f>SUMIF('Modelled costs'!$A$6:$A$65,$A9,'Modelled costs'!P$6:P$65)</f>
        <v>4.9255332951743265</v>
      </c>
      <c r="F9" s="60">
        <f>SUMIF('Modelled costs'!$A$6:$A$65,$A9,'Modelled costs'!Q$6:Q$65)</f>
        <v>18.708745918745347</v>
      </c>
      <c r="H9" s="60">
        <f t="shared" si="0"/>
        <v>4.945504190713244</v>
      </c>
      <c r="I9" s="60">
        <f t="shared" si="1"/>
        <v>25.270287434548614</v>
      </c>
      <c r="J9" s="83">
        <f t="shared" si="2"/>
        <v>0.19570431098270499</v>
      </c>
      <c r="L9" s="161"/>
      <c r="M9" s="161"/>
      <c r="N9" s="161"/>
    </row>
    <row r="10" spans="1:14" x14ac:dyDescent="0.2">
      <c r="A10" s="62" t="s">
        <v>5</v>
      </c>
      <c r="B10" s="60">
        <f>SUMIF('Modelled costs'!$A$6:$A$65,$A10,'Modelled costs'!M$6:M$65)</f>
        <v>402.95997855402135</v>
      </c>
      <c r="C10" s="60">
        <f>SUMIF('Modelled costs'!$A$6:$A$65,$A10,'Modelled costs'!N$6:N$65)</f>
        <v>346.15529191001195</v>
      </c>
      <c r="D10" s="60">
        <f>SUMIF('Modelled costs'!$A$6:$A$65,$A10,'Modelled costs'!O$6:O$65)</f>
        <v>749.1152704640333</v>
      </c>
      <c r="E10" s="60">
        <f>SUMIF('Modelled costs'!$A$6:$A$65,$A10,'Modelled costs'!P$6:P$65)</f>
        <v>123.98073749790157</v>
      </c>
      <c r="F10" s="60">
        <f>SUMIF('Modelled costs'!$A$6:$A$65,$A10,'Modelled costs'!Q$6:Q$65)</f>
        <v>469.1146170991579</v>
      </c>
      <c r="H10" s="60">
        <f t="shared" si="0"/>
        <v>123.47003134352376</v>
      </c>
      <c r="I10" s="60">
        <f t="shared" si="1"/>
        <v>872.58530180755702</v>
      </c>
      <c r="J10" s="83">
        <f t="shared" si="2"/>
        <v>0.141499095948277</v>
      </c>
      <c r="L10" s="161"/>
      <c r="M10" s="161"/>
      <c r="N10" s="161"/>
    </row>
    <row r="11" spans="1:14" x14ac:dyDescent="0.2">
      <c r="A11" s="62" t="s">
        <v>6</v>
      </c>
      <c r="B11" s="60">
        <f>SUMIF('Modelled costs'!$A$6:$A$65,$A11,'Modelled costs'!M$6:M$65)</f>
        <v>832.63545066479048</v>
      </c>
      <c r="C11" s="60">
        <f>SUMIF('Modelled costs'!$A$6:$A$65,$A11,'Modelled costs'!N$6:N$65)</f>
        <v>982.45282930399401</v>
      </c>
      <c r="D11" s="60">
        <f>SUMIF('Modelled costs'!$A$6:$A$65,$A11,'Modelled costs'!O$6:O$65)</f>
        <v>1815.0882799687843</v>
      </c>
      <c r="E11" s="60">
        <f>SUMIF('Modelled costs'!$A$6:$A$65,$A11,'Modelled costs'!P$6:P$65)</f>
        <v>339.53120771421806</v>
      </c>
      <c r="F11" s="60">
        <f>SUMIF('Modelled costs'!$A$6:$A$65,$A11,'Modelled costs'!Q$6:Q$65)</f>
        <v>1379.1298517387404</v>
      </c>
      <c r="H11" s="60">
        <f t="shared" si="0"/>
        <v>368.10411507448225</v>
      </c>
      <c r="I11" s="60">
        <f t="shared" si="1"/>
        <v>2183.1923950432665</v>
      </c>
      <c r="J11" s="83">
        <f t="shared" si="2"/>
        <v>0.16860818859127033</v>
      </c>
      <c r="L11" s="161"/>
      <c r="M11" s="161"/>
      <c r="N11" s="161"/>
    </row>
    <row r="12" spans="1:14" x14ac:dyDescent="0.2">
      <c r="A12" s="62" t="s">
        <v>7</v>
      </c>
      <c r="B12" s="60">
        <f>SUMIF('Modelled costs'!$A$6:$A$65,$A12,'Modelled costs'!M$6:M$65)</f>
        <v>804.27941486219993</v>
      </c>
      <c r="C12" s="60">
        <f>SUMIF('Modelled costs'!$A$6:$A$65,$A12,'Modelled costs'!N$6:N$65)</f>
        <v>586.99918574612809</v>
      </c>
      <c r="D12" s="60">
        <f>SUMIF('Modelled costs'!$A$6:$A$65,$A12,'Modelled costs'!O$6:O$65)</f>
        <v>1391.2786006083279</v>
      </c>
      <c r="E12" s="60">
        <f>SUMIF('Modelled costs'!$A$6:$A$65,$A12,'Modelled costs'!P$6:P$65)</f>
        <v>214.16520945509382</v>
      </c>
      <c r="F12" s="60">
        <f>SUMIF('Modelled costs'!$A$6:$A$65,$A12,'Modelled costs'!Q$6:Q$65)</f>
        <v>792.05075384490772</v>
      </c>
      <c r="H12" s="60">
        <f t="shared" si="0"/>
        <v>209.60838877693672</v>
      </c>
      <c r="I12" s="60">
        <f t="shared" si="1"/>
        <v>1600.8869893852648</v>
      </c>
      <c r="J12" s="83">
        <f t="shared" si="2"/>
        <v>0.13093265806190707</v>
      </c>
      <c r="L12" s="161"/>
      <c r="M12" s="161"/>
      <c r="N12" s="161"/>
    </row>
    <row r="13" spans="1:14" x14ac:dyDescent="0.2">
      <c r="A13" s="62" t="s">
        <v>116</v>
      </c>
      <c r="B13" s="60">
        <f>SUMIF('Modelled costs'!$A$6:$A$65,$A13,'Modelled costs'!M$6:M$65)</f>
        <v>1055.3604088561392</v>
      </c>
      <c r="C13" s="60">
        <f>SUMIF('Modelled costs'!$A$6:$A$65,$A13,'Modelled costs'!N$6:N$65)</f>
        <v>1174.4132845501222</v>
      </c>
      <c r="D13" s="60">
        <f>SUMIF('Modelled costs'!$A$6:$A$65,$A13,'Modelled costs'!O$6:O$65)</f>
        <v>2229.761931924395</v>
      </c>
      <c r="E13" s="60">
        <f>SUMIF('Modelled costs'!$A$6:$A$65,$A13,'Modelled costs'!P$6:P$65)</f>
        <v>449.98626591352684</v>
      </c>
      <c r="F13" s="60">
        <f>SUMIF('Modelled costs'!$A$6:$A$65,$A13,'Modelled costs'!Q$6:Q$65)</f>
        <v>1619.0479504041241</v>
      </c>
      <c r="H13" s="60">
        <f t="shared" si="0"/>
        <v>447.31046588376438</v>
      </c>
      <c r="I13" s="60">
        <f t="shared" si="1"/>
        <v>2677.0782785490928</v>
      </c>
      <c r="J13" s="83">
        <f t="shared" si="2"/>
        <v>0.16708904983017348</v>
      </c>
      <c r="L13" s="161"/>
      <c r="M13" s="161"/>
      <c r="N13" s="161"/>
    </row>
    <row r="14" spans="1:14" x14ac:dyDescent="0.2">
      <c r="A14" s="62" t="s">
        <v>12</v>
      </c>
      <c r="B14" s="60">
        <f>SUMIF('Modelled costs'!$A$6:$A$65,$A14,'Modelled costs'!M$6:M$65)</f>
        <v>311.72358738627116</v>
      </c>
      <c r="C14" s="60">
        <f>SUMIF('Modelled costs'!$A$6:$A$65,$A14,'Modelled costs'!N$6:N$65)</f>
        <v>344.55178587648572</v>
      </c>
      <c r="D14" s="60">
        <f>SUMIF('Modelled costs'!$A$6:$A$65,$A14,'Modelled costs'!O$6:O$65)</f>
        <v>656.27537326275683</v>
      </c>
      <c r="E14" s="60">
        <f>SUMIF('Modelled costs'!$A$6:$A$65,$A14,'Modelled costs'!P$6:P$65)</f>
        <v>94.690035750780055</v>
      </c>
      <c r="F14" s="60">
        <f>SUMIF('Modelled costs'!$A$6:$A$65,$A14,'Modelled costs'!Q$6:Q$65)</f>
        <v>439.00436224088122</v>
      </c>
      <c r="H14" s="60">
        <f t="shared" si="0"/>
        <v>94.571306057587776</v>
      </c>
      <c r="I14" s="60">
        <f t="shared" si="1"/>
        <v>750.84667932034461</v>
      </c>
      <c r="J14" s="83">
        <f t="shared" si="2"/>
        <v>0.12595288580511849</v>
      </c>
      <c r="L14" s="161"/>
      <c r="M14" s="161"/>
      <c r="N14" s="161"/>
    </row>
    <row r="15" spans="1:14" x14ac:dyDescent="0.2">
      <c r="A15" s="62" t="s">
        <v>9</v>
      </c>
      <c r="B15" s="60">
        <f>SUMIF('Modelled costs'!$A$6:$A$65,$A15,'Modelled costs'!M$6:M$65)</f>
        <v>1515.5029213660609</v>
      </c>
      <c r="C15" s="60">
        <f>SUMIF('Modelled costs'!$A$6:$A$65,$A15,'Modelled costs'!N$6:N$65)</f>
        <v>1788.6741608192406</v>
      </c>
      <c r="D15" s="60">
        <f>SUMIF('Modelled costs'!$A$6:$A$65,$A15,'Modelled costs'!O$6:O$65)</f>
        <v>3304.1770821853011</v>
      </c>
      <c r="E15" s="60">
        <f>SUMIF('Modelled costs'!$A$6:$A$65,$A15,'Modelled costs'!P$6:P$65)</f>
        <v>578.85827953159117</v>
      </c>
      <c r="F15" s="60">
        <f>SUMIF('Modelled costs'!$A$6:$A$65,$A15,'Modelled costs'!Q$6:Q$65)</f>
        <v>2629.0041788937733</v>
      </c>
      <c r="H15" s="60">
        <f t="shared" si="0"/>
        <v>709.5941488030619</v>
      </c>
      <c r="I15" s="60">
        <f t="shared" si="1"/>
        <v>4013.7712309883632</v>
      </c>
      <c r="J15" s="83">
        <f t="shared" si="2"/>
        <v>0.17678988361983183</v>
      </c>
      <c r="L15" s="161"/>
      <c r="M15" s="161"/>
      <c r="N15" s="161"/>
    </row>
    <row r="16" spans="1:14" x14ac:dyDescent="0.2">
      <c r="A16" s="62" t="s">
        <v>15</v>
      </c>
      <c r="B16" s="60">
        <f>SUMIF('Modelled costs'!$A$6:$A$65,$A16,'Modelled costs'!M$6:M$65)</f>
        <v>452.8707460323443</v>
      </c>
      <c r="C16" s="60">
        <f>SUMIF('Modelled costs'!$A$6:$A$65,$A16,'Modelled costs'!N$6:N$65)</f>
        <v>553.0524276332585</v>
      </c>
      <c r="D16" s="60">
        <f>SUMIF('Modelled costs'!$A$6:$A$65,$A16,'Modelled costs'!O$6:O$65)</f>
        <v>1005.9231736656027</v>
      </c>
      <c r="E16" s="60">
        <f>SUMIF('Modelled costs'!$A$6:$A$65,$A16,'Modelled costs'!P$6:P$65)</f>
        <v>165.09058394909533</v>
      </c>
      <c r="F16" s="60">
        <f>SUMIF('Modelled costs'!$A$6:$A$65,$A16,'Modelled costs'!Q$6:Q$65)</f>
        <v>718.11160477491637</v>
      </c>
      <c r="H16" s="60">
        <f t="shared" si="0"/>
        <v>165.0748805453766</v>
      </c>
      <c r="I16" s="60">
        <f t="shared" si="1"/>
        <v>1170.9980542109793</v>
      </c>
      <c r="J16" s="83">
        <f t="shared" si="2"/>
        <v>0.14096938927588942</v>
      </c>
      <c r="L16" s="161"/>
      <c r="M16" s="161"/>
      <c r="N16" s="161"/>
    </row>
    <row r="17" spans="1:14" x14ac:dyDescent="0.2">
      <c r="A17" s="62" t="s">
        <v>10</v>
      </c>
      <c r="B17" s="60">
        <f>SUMIF('Modelled costs'!$A$6:$A$65,$A17,'Modelled costs'!M$6:M$65)</f>
        <v>413.64363179521268</v>
      </c>
      <c r="C17" s="60">
        <f>SUMIF('Modelled costs'!$A$6:$A$65,$A17,'Modelled costs'!N$6:N$65)</f>
        <v>425.87228417286224</v>
      </c>
      <c r="D17" s="60">
        <f>SUMIF('Modelled costs'!$A$6:$A$65,$A17,'Modelled costs'!O$6:O$65)</f>
        <v>839.51591596807486</v>
      </c>
      <c r="E17" s="60">
        <f>SUMIF('Modelled costs'!$A$6:$A$65,$A17,'Modelled costs'!P$6:P$65)</f>
        <v>131.90344704131954</v>
      </c>
      <c r="F17" s="60">
        <f>SUMIF('Modelled costs'!$A$6:$A$65,$A17,'Modelled costs'!Q$6:Q$65)</f>
        <v>560.64791979673601</v>
      </c>
      <c r="H17" s="60">
        <f t="shared" si="0"/>
        <v>133.33954133259664</v>
      </c>
      <c r="I17" s="60">
        <f t="shared" si="1"/>
        <v>972.85545730067156</v>
      </c>
      <c r="J17" s="83">
        <f t="shared" si="2"/>
        <v>0.13705997158361688</v>
      </c>
      <c r="L17" s="161"/>
      <c r="M17" s="161"/>
      <c r="N17" s="161"/>
    </row>
    <row r="18" spans="1:14" x14ac:dyDescent="0.2">
      <c r="A18" s="62" t="s">
        <v>11</v>
      </c>
      <c r="B18" s="60">
        <f>SUMIF('Modelled costs'!$A$6:$A$65,$A18,'Modelled costs'!M$6:M$65)</f>
        <v>621.81456026524893</v>
      </c>
      <c r="C18" s="60">
        <f>SUMIF('Modelled costs'!$A$6:$A$65,$A18,'Modelled costs'!N$6:N$65)</f>
        <v>725.99078132032446</v>
      </c>
      <c r="D18" s="60">
        <f>SUMIF('Modelled costs'!$A$6:$A$65,$A18,'Modelled costs'!O$6:O$65)</f>
        <v>1347.8053415855736</v>
      </c>
      <c r="E18" s="60">
        <f>SUMIF('Modelled costs'!$A$6:$A$65,$A18,'Modelled costs'!P$6:P$65)</f>
        <v>291.49139467377074</v>
      </c>
      <c r="F18" s="60">
        <f>SUMIF('Modelled costs'!$A$6:$A$65,$A18,'Modelled costs'!Q$6:Q$65)</f>
        <v>1006.9546493865091</v>
      </c>
      <c r="H18" s="60">
        <f t="shared" si="0"/>
        <v>286.2276313699777</v>
      </c>
      <c r="I18" s="60">
        <f t="shared" si="1"/>
        <v>1634.0329729555513</v>
      </c>
      <c r="J18" s="83">
        <f t="shared" si="2"/>
        <v>0.17516637430655055</v>
      </c>
      <c r="L18" s="161"/>
      <c r="M18" s="161"/>
      <c r="N18" s="161"/>
    </row>
    <row r="21" spans="1:14" x14ac:dyDescent="0.2">
      <c r="H21" s="161"/>
    </row>
    <row r="22" spans="1:14" x14ac:dyDescent="0.2">
      <c r="H22" s="161"/>
    </row>
    <row r="23" spans="1:14" x14ac:dyDescent="0.2">
      <c r="H23" s="161"/>
    </row>
    <row r="24" spans="1:14" x14ac:dyDescent="0.2">
      <c r="H24" s="16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Controls</vt:lpstr>
      <vt:lpstr>Inputs&gt;&gt;</vt:lpstr>
      <vt:lpstr>BP costs</vt:lpstr>
      <vt:lpstr>Forecast drivers</vt:lpstr>
      <vt:lpstr>Model coeffs</vt:lpstr>
      <vt:lpstr>Outputs&gt;&gt;</vt:lpstr>
      <vt:lpstr>Modelled costs</vt:lpstr>
      <vt:lpstr>Apportion</vt:lpstr>
      <vt:lpstr>Final allowances</vt:lpstr>
      <vt:lpstr>Financial model inputs </vt:lpstr>
      <vt:lpstr>F_Interface</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Van.Dang@ofwat.gsi.gov.uk</dc:creator>
  <cp:lastModifiedBy>Milton Salas</cp:lastModifiedBy>
  <dcterms:created xsi:type="dcterms:W3CDTF">2015-10-14T16:49:04Z</dcterms:created>
  <dcterms:modified xsi:type="dcterms:W3CDTF">2019-07-12T09:04:13Z</dcterms:modified>
</cp:coreProperties>
</file>