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7" windowHeight="7693"/>
  </bookViews>
  <sheets>
    <sheet name="F_Inputs" sheetId="17" r:id="rId1"/>
    <sheet name="InpOverride" sheetId="18" r:id="rId2"/>
    <sheet name="InpActive" sheetId="14" r:id="rId3"/>
    <sheet name="F_Outputs" sheetId="15" r:id="rId4"/>
    <sheet name="Inputs" sheetId="4" r:id="rId5"/>
    <sheet name="Calcs" sheetId="5" r:id="rId6"/>
    <sheet name="Totex menu adjustments" sheetId="8" r:id="rId7"/>
    <sheet name="RPI" sheetId="7" r:id="rId8"/>
    <sheet name="Timeline" sheetId="6" r:id="rId9"/>
  </sheets>
  <externalReferences>
    <externalReference r:id="rId10"/>
    <externalReference r:id="rId11"/>
    <externalReference r:id="rId12"/>
    <externalReference r:id="rId13"/>
  </externalReferences>
  <definedNames>
    <definedName name="__123Graph_X" localSheetId="0" hidden="1">[1]Aln!#REF!</definedName>
    <definedName name="__123Graph_X" localSheetId="1" hidden="1">[1]Aln!#REF!</definedName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localSheetId="0" hidden="1">#REF!</definedName>
    <definedName name="_Dist_Values" localSheetId="1" hidden="1">#REF!</definedName>
    <definedName name="_Dist_Values" hidden="1">#REF!</definedName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dditional.Analysis">[3]Data!$G$22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aseline.Adj.Sewerage" localSheetId="0">Inputs!#REF!</definedName>
    <definedName name="Baseline.Adj.Sewerage" localSheetId="1">Inputs!#REF!</definedName>
    <definedName name="Baseline.Adj.Sewerage">Inputs!#REF!</definedName>
    <definedName name="Baseline.Adj.Water" localSheetId="0">Inputs!#REF!</definedName>
    <definedName name="Baseline.Adj.Water" localSheetId="1">Inputs!#REF!</definedName>
    <definedName name="Baseline.Adj.Water">Inputs!#REF!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lindYear.1415.Adj.Waste">[3]Data!$K$46</definedName>
    <definedName name="BlindYear.1415.Adj.Water">[3]Data!$K$45</definedName>
    <definedName name="BlindYear.Delay">[3]Data!#REF!</definedName>
    <definedName name="BR.IDoK.Water">Inputs!$L$140:$P$140</definedName>
    <definedName name="Calendar.Years">Timeline!$I$5:$U$5</definedName>
    <definedName name="Choice.BP">Inputs!$H$100</definedName>
    <definedName name="CIS.FD.RCV.Waste">'[4]Inputs - waste'!$I$11:$S$11</definedName>
    <definedName name="CIS.FD.RCV.Water">'[4]Inputs - water'!$I$11:$S$11</definedName>
    <definedName name="CIS.FD.Revenue.Waste">'[4]Inputs - waste'!$I$12:$S$12</definedName>
    <definedName name="CIS.FD.Revenue.Water">'[4]Inputs - water'!$I$12:$S$12</definedName>
    <definedName name="CIS.Outturn.RCV.Waste">'[4]Inputs - waste'!$I$16:$S$16</definedName>
    <definedName name="CIS.Outturn.RCV.Water">'[4]Inputs - water'!$I$16:$S$16</definedName>
    <definedName name="CIS.Outturn.Revenue.Waste">'[4]Inputs - waste'!$I$17:$S$17</definedName>
    <definedName name="CIS.Outturn.Revenue.Water">'[4]Inputs - water'!$I$17:$S$17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Discount.Rate">[3]Data!$G$20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 localSheetId="0">Inputs!#REF!</definedName>
    <definedName name="FD.AddInc.Sewerage" localSheetId="1">Inputs!#REF!</definedName>
    <definedName name="FD.AddInc.Sewerage">Inputs!#REF!</definedName>
    <definedName name="FD.AddInc.Water" localSheetId="0">Inputs!#REF!</definedName>
    <definedName name="FD.AddInc.Water" localSheetId="1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Financing.Rate">'[4]Inputs - general'!$H$10</definedName>
    <definedName name="IDoK.Sewerage" localSheetId="0">Inputs!#REF!</definedName>
    <definedName name="IDoK.Sewerage" localSheetId="1">Inputs!#REF!</definedName>
    <definedName name="IDoK.Sewerage">Inputs!#REF!</definedName>
    <definedName name="IDoK.Water" localSheetId="0">Inputs!#REF!</definedName>
    <definedName name="IDoK.Water" localSheetId="1">Inputs!#REF!</definedName>
    <definedName name="IDoK.Water">Inputs!#REF!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ateriality.Threshold">'[4]Inputs - general'!$H$14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5">Calcs!$A$1:$AM$333</definedName>
    <definedName name="_xlnm.Print_Area" localSheetId="0">F_Inputs!$A$1:$P$45</definedName>
    <definedName name="_xlnm.Print_Area" localSheetId="3">F_Outputs!$A$1:$G$11</definedName>
    <definedName name="_xlnm.Print_Area" localSheetId="2">InpActive!$A$1:$P$45</definedName>
    <definedName name="_xlnm.Print_Area" localSheetId="1">InpOverride!$A$1:$P$45</definedName>
    <definedName name="_xlnm.Print_Area" localSheetId="4">Inputs!$A$1:$AA$165</definedName>
    <definedName name="_xlnm.Print_Area" localSheetId="7">RPI!$A$1:$IY$59</definedName>
    <definedName name="_xlnm.Print_Area" localSheetId="8">Timeline!$A$1:$V$11</definedName>
    <definedName name="_xlnm.Print_Area" localSheetId="6">'Totex menu adjustments'!$A$1:$X$51</definedName>
    <definedName name="RCM.BlindYear.Adj.Waste">'[3]WRFIM - Waste'!$I$31:$U$31</definedName>
    <definedName name="RCM.BlindYear.Adj.Water">'[3]WRFIM - Water'!$I$31:$U$31</definedName>
    <definedName name="RCM.FD.BillingAdj.Waste">'[4]Inputs - waste'!$I$25:$S$25</definedName>
    <definedName name="RCM.FD.BillingAdj.Water">'[4]Inputs - water'!$I$25:$S$25</definedName>
    <definedName name="RCM.FD.RevCorrection.Waste">'[4]Inputs - waste'!$I$24:$S$24</definedName>
    <definedName name="RCM.FD.RevCorrection.Water">'[4]Inputs - water'!$I$24:$S$24</definedName>
    <definedName name="RCM.Outturn.BillingAdj.Waste">'[4]Inputs - waste'!$I$29:$S$29</definedName>
    <definedName name="RCM.Outturn.BillingAdj.Water">'[4]Inputs - water'!$I$29:$S$29</definedName>
    <definedName name="RCM.Outturn.RevCorrection.Waste">'[4]Inputs - waste'!$I$28:$S$28</definedName>
    <definedName name="RCM.Outturn.RevCorrection.Water">'[4]Inputs - water'!$I$28:$S$28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Serviceability.FD.RCVShortfall.Waste">'[4]Inputs - waste'!$I$35:$S$35</definedName>
    <definedName name="Serviceability.FD.RCVShortfall.Water">'[4]Inputs - water'!$I$35:$S$35</definedName>
    <definedName name="Serviceability.Outturn.RCVShortfall.Waste">'[4]Inputs - waste'!$I$38:$S$38</definedName>
    <definedName name="Serviceability.Outturn.RCVShortfall.Water">'[4]Inputs - water'!$I$38:$S$38</definedName>
    <definedName name="Threshold.Max">[3]Data!$G$17</definedName>
    <definedName name="Threshold.Min">[3]Data!$G$16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 iterate="1" iterateCount="10"/>
</workbook>
</file>

<file path=xl/calcChain.xml><?xml version="1.0" encoding="utf-8"?>
<calcChain xmlns="http://schemas.openxmlformats.org/spreadsheetml/2006/main">
  <c r="A5" i="18" l="1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" i="18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M38" i="8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41" i="8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<sst xmlns="http://schemas.openxmlformats.org/spreadsheetml/2006/main" count="1342" uniqueCount="475">
  <si>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</si>
  <si>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</si>
  <si>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</si>
  <si>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</si>
  <si>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</si>
  <si>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</si>
  <si>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</si>
  <si>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</si>
  <si>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</si>
  <si>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</si>
  <si>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</si>
  <si>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</si>
  <si>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</si>
  <si>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</si>
  <si>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</si>
  <si>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</si>
  <si>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</si>
  <si>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</si>
  <si>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</si>
  <si>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</si>
  <si>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</si>
  <si>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</si>
  <si>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</si>
  <si>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</si>
  <si>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</si>
  <si>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</si>
  <si>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</si>
  <si>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</si>
  <si>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</si>
  <si>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</si>
  <si>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</si>
  <si>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</si>
  <si>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</si>
  <si>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</si>
  <si>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</si>
  <si>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</si>
  <si>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</si>
  <si>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</si>
  <si>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</si>
  <si>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</si>
  <si>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</si>
  <si>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</si>
  <si>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</si>
  <si>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</si>
  <si>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</si>
  <si>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</si>
  <si>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</si>
  <si>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</si>
  <si>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</si>
  <si>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</si>
  <si>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</si>
  <si>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</si>
  <si>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</si>
  <si>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</si>
  <si>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</si>
  <si>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</si>
  <si>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</si>
  <si>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</si>
  <si>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</si>
  <si>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</si>
  <si>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</si>
  <si>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</si>
  <si>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</si>
  <si>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</si>
  <si>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</si>
  <si>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</si>
  <si>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</si>
  <si>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</si>
  <si>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</si>
  <si>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</si>
  <si>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</si>
  <si>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</si>
  <si>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</si>
  <si>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</si>
  <si>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</si>
  <si>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</si>
  <si>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</si>
  <si>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</si>
  <si>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</si>
  <si>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</si>
  <si>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</si>
  <si>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</si>
  <si>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</si>
  <si>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</si>
  <si>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</si>
  <si>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</si>
  <si>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</si>
  <si>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</si>
  <si>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</si>
  <si>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</si>
  <si>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</si>
  <si>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</si>
  <si>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</si>
  <si>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</si>
  <si>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</si>
  <si>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</si>
  <si>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</si>
  <si>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</si>
  <si>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</si>
  <si>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</si>
  <si>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</si>
  <si>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</si>
  <si>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</si>
  <si>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</si>
  <si>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</si>
  <si>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</si>
  <si>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</si>
  <si>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</si>
  <si>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</si>
  <si>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</si>
  <si>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</si>
  <si>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</si>
  <si>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</si>
  <si>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</si>
  <si>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</si>
  <si>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</si>
  <si>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</si>
  <si>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</si>
  <si>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</si>
  <si>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</si>
  <si>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</si>
  <si>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</si>
  <si>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</si>
  <si>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</si>
  <si>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</si>
  <si>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</si>
  <si>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</si>
  <si>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</si>
  <si>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</si>
  <si>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</si>
  <si>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</si>
  <si>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</si>
  <si>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</si>
  <si>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</si>
  <si>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</si>
  <si>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</si>
  <si>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</si>
  <si>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</si>
  <si>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</si>
  <si>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</si>
  <si>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</si>
  <si>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</si>
  <si>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</si>
  <si>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</si>
  <si>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</si>
  <si>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</si>
  <si>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</si>
  <si>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</si>
  <si>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</si>
  <si>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</si>
  <si>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</si>
  <si>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</si>
  <si>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</si>
  <si>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</si>
  <si>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</si>
  <si>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</si>
  <si>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</si>
  <si>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</si>
  <si>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</si>
  <si>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</si>
  <si>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</si>
  <si>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</si>
  <si>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</si>
  <si>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</si>
  <si>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</si>
  <si>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</si>
  <si>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</si>
  <si>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</si>
  <si>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</si>
  <si>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</si>
  <si>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</si>
  <si>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</si>
  <si>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</si>
  <si>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</si>
  <si>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</si>
  <si>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</si>
  <si>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</si>
  <si>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</si>
  <si>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</si>
  <si>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</si>
  <si>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</si>
  <si>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</si>
  <si>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</si>
  <si>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</si>
  <si>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</si>
  <si>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</si>
  <si>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</si>
  <si>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</si>
  <si>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</si>
  <si>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</si>
  <si>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</si>
  <si>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</si>
  <si>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</si>
  <si>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</si>
  <si>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</si>
  <si>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</si>
  <si>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</si>
  <si>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</si>
  <si>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</si>
  <si>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</si>
  <si>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</si>
  <si>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</si>
  <si>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</si>
  <si>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</si>
  <si>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</si>
  <si>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</si>
  <si>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</si>
  <si>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</si>
  <si>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</si>
  <si>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</si>
  <si>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</si>
  <si>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</si>
  <si>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</si>
  <si>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</si>
  <si>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</si>
  <si>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</si>
  <si>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</si>
  <si>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</si>
  <si>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</si>
  <si>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</si>
  <si>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</si>
  <si>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</si>
  <si>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</si>
  <si>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</si>
  <si>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</si>
  <si>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</si>
  <si>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</si>
  <si>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</si>
  <si>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</si>
  <si>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</si>
  <si>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</si>
  <si>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</si>
  <si>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</si>
  <si>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</si>
  <si>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</si>
  <si>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</si>
  <si>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</si>
  <si>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</si>
  <si>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</si>
  <si>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</si>
  <si>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</si>
  <si>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</si>
  <si>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</si>
  <si>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</si>
  <si>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</si>
  <si>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</si>
  <si>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</si>
  <si>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</si>
  <si>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</si>
  <si>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</si>
  <si>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</si>
  <si>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</si>
  <si>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</si>
  <si>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</si>
  <si>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</si>
  <si>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</si>
  <si>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</si>
  <si>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</si>
  <si>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</si>
  <si>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</si>
  <si>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</si>
  <si>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</si>
  <si>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</si>
  <si>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</si>
  <si>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</si>
  <si>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</si>
  <si>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</si>
  <si>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</si>
  <si>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</si>
  <si>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</si>
  <si>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</si>
  <si>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</si>
  <si>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</si>
  <si>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</si>
  <si>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</si>
  <si>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</si>
  <si>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</si>
  <si>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</si>
  <si>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</si>
  <si>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</si>
  <si>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</si>
  <si>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</si>
  <si>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</si>
  <si>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</si>
  <si>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</si>
  <si>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</si>
  <si>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</si>
  <si>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</si>
  <si>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</si>
  <si>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</si>
  <si>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</si>
  <si>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</si>
  <si>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</si>
  <si>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</si>
  <si>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</si>
  <si>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</si>
  <si>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</si>
  <si>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</si>
  <si>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</si>
  <si>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</si>
  <si>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</si>
  <si>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</si>
  <si>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</si>
  <si>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</si>
  <si>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</si>
  <si>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</si>
  <si>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</si>
  <si>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</si>
  <si>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</si>
  <si>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</si>
  <si>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</si>
  <si>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</si>
  <si>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</si>
  <si>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</si>
  <si>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</si>
  <si>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</si>
  <si>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</si>
  <si>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</si>
  <si>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</si>
  <si>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</si>
  <si>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</si>
  <si>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</si>
  <si>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Total Actual Totex (net of exclusions, logging and shortfalls)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</si>
  <si>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</si>
  <si>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</si>
  <si>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</si>
  <si>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</si>
  <si>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</si>
  <si>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</si>
  <si>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</si>
  <si>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</si>
  <si>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</si>
  <si>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</si>
  <si>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</si>
  <si>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</si>
  <si>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</si>
  <si>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</si>
  <si>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</si>
  <si>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</si>
  <si>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</si>
  <si>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</si>
  <si>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</si>
  <si>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</si>
  <si>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</si>
  <si>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</si>
  <si>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</si>
  <si>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</si>
  <si>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</si>
  <si>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</si>
  <si>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</si>
  <si>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</si>
  <si>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</si>
  <si>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</si>
  <si>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</si>
  <si>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</si>
  <si>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</si>
  <si>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</si>
  <si>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</si>
  <si>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</si>
  <si>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</si>
  <si>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</si>
  <si>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</si>
  <si>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</si>
  <si>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</si>
  <si>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</si>
  <si>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</si>
  <si>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</si>
  <si>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</si>
  <si>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</si>
  <si>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</si>
  <si>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</si>
  <si>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</si>
  <si>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</si>
  <si>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</si>
  <si>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</si>
  <si>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</si>
  <si>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</si>
  <si>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</si>
  <si>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</si>
  <si>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</si>
  <si>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</si>
  <si>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</si>
  <si>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</si>
  <si>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</si>
  <si>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</si>
  <si>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</si>
  <si>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</si>
  <si>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</si>
  <si>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</si>
  <si>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</si>
  <si>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</si>
  <si>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</si>
  <si>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</si>
  <si>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</si>
  <si>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</si>
  <si>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</si>
  <si>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</si>
  <si>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</si>
  <si>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</si>
  <si>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</si>
  <si>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</si>
  <si>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</si>
  <si>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</si>
  <si>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</si>
  <si>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</si>
  <si>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</si>
  <si>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</si>
  <si>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</si>
  <si>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</si>
  <si>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</si>
  <si>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</si>
  <si>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</si>
  <si>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</si>
  <si>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</si>
  <si>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</si>
  <si>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</si>
  <si>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</si>
  <si>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</si>
  <si>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</si>
  <si>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</si>
  <si>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</si>
  <si>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</si>
  <si>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</si>
  <si>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</si>
  <si>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</si>
  <si>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</si>
  <si>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</si>
  <si>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</si>
  <si>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</si>
  <si>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</si>
  <si>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</si>
  <si>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</si>
  <si>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</si>
  <si>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</si>
  <si>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</si>
  <si>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</si>
  <si>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</si>
  <si>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</si>
  <si>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</si>
  <si>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</si>
  <si>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</si>
  <si>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</si>
  <si>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</si>
  <si>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</si>
  <si>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</si>
  <si>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</si>
  <si>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</si>
  <si>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</si>
  <si>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</si>
  <si>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</si>
  <si>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</si>
  <si>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</si>
  <si>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</si>
  <si>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</si>
  <si>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</si>
  <si>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</si>
  <si>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</si>
  <si>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</si>
  <si>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</si>
  <si>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</si>
  <si>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</si>
  <si>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</si>
  <si>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</si>
  <si>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</si>
  <si>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</si>
  <si>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</si>
  <si>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</si>
  <si>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</si>
  <si>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</si>
  <si>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</si>
  <si>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</si>
  <si>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</si>
  <si>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PR19_PD006_Run7</t>
  </si>
  <si>
    <t>AFW</t>
  </si>
  <si>
    <t>PR19_PD006_Run07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</si>
</sst>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#,##0_);\(#,##0\);&quot;-  &quot;;&quot; &quot;@&quot; &quot;"/>
    <numFmt numFmtId="183" formatCode="_(* #,##0.0_);_(* \(#,##0.0\);_(* &quot;-&quot;??_);_(@_)"/>
    <numFmt numFmtId="184" formatCode="#,##0_);\(#,##0\);&quot;-  &quot;;&quot; &quot;@"/>
    <numFmt numFmtId="185" formatCode="dd\ mmm\ yy_);;&quot;-  &quot;;&quot; &quot;@&quot; &quot;"/>
    <numFmt numFmtId="186" formatCode="#,##0.0000_);\(#,##0.0000\);&quot;-  &quot;;&quot; &quot;@&quot; &quot;"/>
    <numFmt numFmtId="187" formatCode="0.00%_);\-0.00%_);&quot;-  &quot;;&quot; &quot;@&quot; &quot;"/>
    <numFmt numFmtId="188" formatCode="dd\ mmm\ yyyy_);\(###0\);&quot;-  &quot;;&quot; &quot;@&quot; &quot;"/>
    <numFmt numFmtId="189" formatCode="dd\ mmm\ yy_);\(###0\);&quot;-  &quot;;&quot; &quot;@&quot; &quot;"/>
    <numFmt numFmtId="190" formatCode="###0_);\(###0\);&quot;-  &quot;;&quot; &quot;@&quot; &quot;"/>
    <numFmt numFmtId="191" formatCode="&quot;£&quot;#,##0.00"/>
    <numFmt numFmtId="192" formatCode="#,##0.0_ ;[Red]\-#,##0.0\ "/>
    <numFmt numFmtId="193" formatCode="#,##0_ ;[Red]\-#,##0\ "/>
  </numFmts>
  <fonts count="12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2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7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7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3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4" fontId="89" fillId="0" borderId="0" applyNumberFormat="0" applyProtection="0">
      <alignment vertical="top"/>
    </xf>
    <xf numFmtId="184" fontId="90" fillId="0" borderId="0" applyNumberFormat="0" applyProtection="0">
      <alignment vertical="top"/>
    </xf>
    <xf numFmtId="184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8" fontId="4" fillId="0" borderId="0" applyFont="0" applyFill="0" applyBorder="0" applyProtection="0">
      <alignment vertical="top"/>
    </xf>
    <xf numFmtId="189" fontId="4" fillId="0" borderId="0" applyFont="0" applyFill="0" applyBorder="0" applyProtection="0">
      <alignment vertical="top"/>
    </xf>
    <xf numFmtId="186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5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0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2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6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2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2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3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0" fontId="2" fillId="0" borderId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107" fillId="0" borderId="0" applyFont="0" applyFill="0" applyBorder="0" applyProtection="0">
      <alignment vertical="top"/>
    </xf>
    <xf numFmtId="184" fontId="4" fillId="0" borderId="0" applyFont="0" applyFill="0" applyBorder="0" applyProtection="0">
      <alignment vertical="top"/>
    </xf>
    <xf numFmtId="184" fontId="8" fillId="0" borderId="0" applyFont="0" applyFill="0" applyBorder="0" applyAlignment="0" applyProtection="0"/>
    <xf numFmtId="187" fontId="4" fillId="0" borderId="0" applyFont="0" applyFill="0" applyBorder="0" applyProtection="0">
      <alignment vertical="top"/>
    </xf>
    <xf numFmtId="184" fontId="4" fillId="0" borderId="0" applyFont="0" applyFill="0" applyBorder="0" applyProtection="0">
      <alignment vertical="top"/>
    </xf>
    <xf numFmtId="189" fontId="4" fillId="0" borderId="0" applyFont="0" applyFill="0" applyBorder="0" applyProtection="0">
      <alignment vertical="top"/>
    </xf>
    <xf numFmtId="182" fontId="4" fillId="0" borderId="0" applyFont="0" applyFill="0" applyBorder="0" applyProtection="0">
      <alignment vertical="top"/>
    </xf>
    <xf numFmtId="186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7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0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6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7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4" fontId="4" fillId="0" borderId="0" applyFont="0" applyFill="0" applyBorder="0" applyProtection="0">
      <alignment vertical="top"/>
    </xf>
    <xf numFmtId="182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78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5" applyAlignment="1">
      <alignment vertical="center"/>
    </xf>
    <xf numFmtId="10" fontId="8" fillId="0" borderId="0" xfId="1" applyNumberFormat="1" applyFont="1" applyAlignment="1">
      <alignment horizontal="left" vertical="center"/>
    </xf>
    <xf numFmtId="1" fontId="4" fillId="0" borderId="0" xfId="1" applyNumberFormat="1" applyAlignment="1">
      <alignment vertical="center"/>
    </xf>
    <xf numFmtId="0" fontId="4" fillId="0" borderId="0" xfId="1" applyAlignment="1">
      <alignment vertical="center"/>
    </xf>
    <xf numFmtId="10" fontId="8" fillId="0" borderId="0" xfId="1" applyNumberFormat="1" applyFont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vertical="center" shrinkToFit="1"/>
    </xf>
    <xf numFmtId="0" fontId="4" fillId="0" borderId="0" xfId="1" applyAlignment="1">
      <alignment horizontal="center" vertical="center" shrinkToFit="1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2" fillId="11" borderId="0" xfId="1" applyFont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4" fillId="11" borderId="0" xfId="1" applyFill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0" fontId="4" fillId="30" borderId="0" xfId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181" fontId="77" fillId="0" borderId="0" xfId="130" applyNumberFormat="1" applyFont="1" applyAlignment="1">
      <alignment vertical="top"/>
    </xf>
    <xf numFmtId="181" fontId="63" fillId="0" borderId="0" xfId="130" applyNumberFormat="1" applyAlignment="1">
      <alignment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Live%20models/Past%20delivery/Live%20models/PR19PD005%20WRF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wat.gov.uk/Users/890218/AppData/Local/Temp/notesF3B52A/PR09%20Legacy%20Blind%20Year%2020150619%20v3.0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Inputs &gt;"/>
      <sheetName val="Inputs - general"/>
      <sheetName val="Inputs - water"/>
      <sheetName val="Inputs - waste"/>
      <sheetName val="Calcs &gt;"/>
      <sheetName val="Calcs - water"/>
      <sheetName val="Calcs - waste"/>
      <sheetName val="Other &gt;"/>
      <sheetName val="Timeline"/>
    </sheetNames>
    <sheetDataSet>
      <sheetData sheetId="0"/>
      <sheetData sheetId="1"/>
      <sheetData sheetId="2">
        <row r="10">
          <cell r="H10">
            <v>0.02</v>
          </cell>
        </row>
        <row r="14">
          <cell r="H14">
            <v>10000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pane="bottomLeft"/>
    </sheetView>
  </sheetViews>
  <sheetFormatPr defaultRowHeight="14.35"/>
  <cols>
    <col min="1" max="1" width="4.46875" customWidth="1"/>
    <col min="2" max="2" width="5.703125" customWidth="1"/>
    <col min="3" max="3" width="12.05859375" customWidth="1"/>
    <col min="4" max="4" width="2.703125" customWidth="1"/>
    <col min="5" max="5" width="15.234375" customWidth="1"/>
    <col min="6" max="16" width="7.3515625" customWidth="1"/>
    <col min="17" max="17" width="8.5859375" customWidth="1"/>
  </cols>
  <sheetData>
    <row r="1" spans="1:16">
      <c r="C1" t="s">
        <v>472</v>
      </c>
    </row>
    <row r="2" spans="1:1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6">
      <c r="A4" t="s">
        <v>473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>
        <v>1</v>
      </c>
    </row>
    <row r="5" spans="1:16">
      <c r="A5" t="s">
        <v>473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26">
        <v>0.55000000000000004</v>
      </c>
      <c r="K5" s="226">
        <v>0.55000000000000004</v>
      </c>
      <c r="L5" s="226">
        <v>0.55000000000000004</v>
      </c>
      <c r="M5" s="226">
        <v>0.55000000000000004</v>
      </c>
      <c r="N5" s="226">
        <v>0.55000000000000004</v>
      </c>
      <c r="O5" s="226"/>
      <c r="P5" s="226"/>
    </row>
    <row r="6" spans="1:16">
      <c r="A6" t="s">
        <v>473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26">
        <v>0</v>
      </c>
      <c r="K6" s="226">
        <v>0</v>
      </c>
      <c r="L6" s="226">
        <v>0</v>
      </c>
      <c r="M6" s="226">
        <v>0</v>
      </c>
      <c r="N6" s="226">
        <v>0</v>
      </c>
      <c r="O6" s="226"/>
      <c r="P6" s="226"/>
    </row>
    <row r="7" spans="1:16">
      <c r="A7" t="s">
        <v>473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>
        <v>94.678026929837401</v>
      </c>
    </row>
    <row r="8" spans="1:16">
      <c r="A8" t="s">
        <v>473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>
        <v>0</v>
      </c>
    </row>
    <row r="9" spans="1:16">
      <c r="A9" t="s">
        <v>473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>
        <v>94.7</v>
      </c>
    </row>
    <row r="10" spans="1:16">
      <c r="A10" t="s">
        <v>473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>
        <v>0</v>
      </c>
    </row>
    <row r="11" spans="1:16">
      <c r="A11" t="s">
        <v>473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t="s">
        <v>473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26">
        <v>244.183820208876</v>
      </c>
      <c r="K12" s="226">
        <v>246.52068156466899</v>
      </c>
      <c r="L12" s="226">
        <v>214.50194186524101</v>
      </c>
      <c r="M12" s="226">
        <v>191.79813722914599</v>
      </c>
      <c r="N12" s="226">
        <v>177.24734287201699</v>
      </c>
      <c r="O12" s="226"/>
      <c r="P12" s="226"/>
    </row>
    <row r="13" spans="1:16">
      <c r="A13" t="s">
        <v>473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26">
        <v>0</v>
      </c>
      <c r="K13" s="226">
        <v>0</v>
      </c>
      <c r="L13" s="226">
        <v>0</v>
      </c>
      <c r="M13" s="226">
        <v>0</v>
      </c>
      <c r="N13" s="226">
        <v>0</v>
      </c>
      <c r="O13" s="226"/>
      <c r="P13" s="226"/>
    </row>
    <row r="14" spans="1:16">
      <c r="A14" t="s">
        <v>473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26">
        <v>245.099741518993</v>
      </c>
      <c r="K14" s="226">
        <v>247.602907327341</v>
      </c>
      <c r="L14" s="226">
        <v>215.152416025863</v>
      </c>
      <c r="M14" s="226">
        <v>192.142465547792</v>
      </c>
      <c r="N14" s="226">
        <v>177.39546331884401</v>
      </c>
      <c r="O14" s="226"/>
      <c r="P14" s="226"/>
    </row>
    <row r="15" spans="1:16">
      <c r="A15" t="s">
        <v>473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26">
        <v>0</v>
      </c>
      <c r="K15" s="226">
        <v>0</v>
      </c>
      <c r="L15" s="226">
        <v>0</v>
      </c>
      <c r="M15" s="226">
        <v>0</v>
      </c>
      <c r="N15" s="226">
        <v>0</v>
      </c>
      <c r="O15" s="226"/>
      <c r="P15" s="226"/>
    </row>
    <row r="16" spans="1:16">
      <c r="A16" t="s">
        <v>473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26">
        <v>229.35799999999901</v>
      </c>
      <c r="K16" s="226">
        <v>268.72799999999899</v>
      </c>
      <c r="L16" s="226">
        <v>255.578</v>
      </c>
      <c r="M16" s="226">
        <v>244.56100000000001</v>
      </c>
      <c r="N16" s="226">
        <v>234.84200000000001</v>
      </c>
      <c r="O16" s="226"/>
      <c r="P16" s="226"/>
    </row>
    <row r="17" spans="1:16">
      <c r="A17" t="s">
        <v>473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26">
        <v>0</v>
      </c>
      <c r="K17" s="226">
        <v>0</v>
      </c>
      <c r="L17" s="226"/>
      <c r="M17" s="226"/>
      <c r="N17" s="226"/>
      <c r="O17" s="226"/>
      <c r="P17" s="226"/>
    </row>
    <row r="18" spans="1:16">
      <c r="A18" t="s">
        <v>473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26">
        <v>2.41</v>
      </c>
      <c r="K18" s="226">
        <v>2.3919999999999999</v>
      </c>
      <c r="L18" s="226">
        <v>2.1219999999999999</v>
      </c>
      <c r="M18" s="226">
        <v>2.169</v>
      </c>
      <c r="N18" s="226">
        <v>2.2123110972315998</v>
      </c>
      <c r="O18" s="226"/>
      <c r="P18" s="226"/>
    </row>
    <row r="19" spans="1:16">
      <c r="A19" t="s">
        <v>473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26">
        <v>2.21199999999999</v>
      </c>
      <c r="K19" s="226">
        <v>0.16999999999999901</v>
      </c>
      <c r="L19" s="226">
        <v>-0.14599999999999999</v>
      </c>
      <c r="M19" s="226">
        <v>0</v>
      </c>
      <c r="N19" s="226">
        <v>0</v>
      </c>
      <c r="O19" s="226"/>
      <c r="P19" s="226"/>
    </row>
    <row r="20" spans="1:16">
      <c r="A20" t="s">
        <v>473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26">
        <v>3.76</v>
      </c>
      <c r="K20" s="226">
        <v>2.1440000000000001</v>
      </c>
      <c r="L20" s="226">
        <v>1.798</v>
      </c>
      <c r="M20" s="226">
        <v>5.0449999999999999</v>
      </c>
      <c r="N20" s="226">
        <v>0</v>
      </c>
      <c r="O20" s="226"/>
      <c r="P20" s="226"/>
    </row>
    <row r="21" spans="1:16">
      <c r="A21" t="s">
        <v>473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26">
        <v>0</v>
      </c>
      <c r="K21" s="226">
        <v>0</v>
      </c>
      <c r="L21" s="226">
        <v>0</v>
      </c>
      <c r="M21" s="226">
        <v>-0.75306047477801896</v>
      </c>
      <c r="N21" s="226">
        <v>8.6413187713362302E-2</v>
      </c>
      <c r="O21" s="226"/>
      <c r="P21" s="226"/>
    </row>
    <row r="22" spans="1:16">
      <c r="A22" t="s">
        <v>473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26">
        <v>0</v>
      </c>
      <c r="K22" s="226">
        <v>0</v>
      </c>
      <c r="L22" s="226"/>
      <c r="M22" s="226"/>
      <c r="N22" s="226"/>
      <c r="O22" s="226"/>
      <c r="P22" s="226"/>
    </row>
    <row r="23" spans="1:16">
      <c r="A23" t="s">
        <v>473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26">
        <v>0</v>
      </c>
      <c r="K23" s="226">
        <v>0</v>
      </c>
      <c r="L23" s="226"/>
      <c r="M23" s="226"/>
      <c r="N23" s="226"/>
      <c r="O23" s="226"/>
      <c r="P23" s="226"/>
    </row>
    <row r="24" spans="1:16">
      <c r="A24" t="s">
        <v>473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26">
        <v>0</v>
      </c>
      <c r="K24" s="226">
        <v>0</v>
      </c>
      <c r="L24" s="226"/>
      <c r="M24" s="226"/>
      <c r="N24" s="226"/>
      <c r="O24" s="226"/>
      <c r="P24" s="226"/>
    </row>
    <row r="25" spans="1:16">
      <c r="A25" t="s">
        <v>473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</row>
    <row r="26" spans="1:16">
      <c r="A26" t="s">
        <v>473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26">
        <v>2.1339999999999999</v>
      </c>
      <c r="J26" s="226"/>
      <c r="K26" s="226"/>
      <c r="L26" s="226"/>
      <c r="M26" s="226"/>
      <c r="N26" s="226"/>
      <c r="O26" s="226"/>
      <c r="P26" s="226"/>
    </row>
    <row r="27" spans="1:16">
      <c r="A27" t="s">
        <v>473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26">
        <v>0</v>
      </c>
      <c r="J27" s="226"/>
      <c r="K27" s="226"/>
      <c r="L27" s="226"/>
      <c r="M27" s="226"/>
      <c r="N27" s="226"/>
      <c r="O27" s="226"/>
      <c r="P27" s="226"/>
    </row>
    <row r="28" spans="1:16">
      <c r="A28" t="s">
        <v>473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27">
        <v>0.69113999999999998</v>
      </c>
      <c r="K28" s="227">
        <v>0.67435999999999996</v>
      </c>
      <c r="L28" s="227">
        <v>0.74736000000000002</v>
      </c>
      <c r="M28" s="227">
        <v>0.81936999999999705</v>
      </c>
      <c r="N28" s="227">
        <v>0.87666999999999995</v>
      </c>
      <c r="O28" s="227"/>
      <c r="P28" s="227"/>
    </row>
    <row r="29" spans="1:16">
      <c r="A29" t="s">
        <v>473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27">
        <v>0</v>
      </c>
      <c r="K29" s="227">
        <v>0</v>
      </c>
      <c r="L29" s="227">
        <v>0</v>
      </c>
      <c r="M29" s="227">
        <v>0</v>
      </c>
      <c r="N29" s="227">
        <v>0</v>
      </c>
      <c r="O29" s="227"/>
      <c r="P29" s="227"/>
    </row>
    <row r="30" spans="1:16">
      <c r="A30" t="s">
        <v>473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26">
        <v>0</v>
      </c>
      <c r="K30" s="226">
        <v>7.2999999999999995E-2</v>
      </c>
      <c r="L30" s="226">
        <v>0.42899999999999999</v>
      </c>
      <c r="M30" s="226">
        <v>0</v>
      </c>
      <c r="N30" s="226">
        <v>0</v>
      </c>
      <c r="O30" s="226"/>
      <c r="P30" s="226"/>
    </row>
    <row r="31" spans="1:16">
      <c r="A31" t="s">
        <v>473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</row>
    <row r="32" spans="1:16">
      <c r="A32" t="s">
        <v>473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</row>
    <row r="33" spans="1:16">
      <c r="A33" t="s">
        <v>473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</row>
    <row r="34" spans="1:16">
      <c r="A34" t="s">
        <v>473</v>
      </c>
      <c r="B34" t="s">
        <v>442</v>
      </c>
      <c r="C34" t="s">
        <v>454</v>
      </c>
      <c r="D34" t="s">
        <v>419</v>
      </c>
      <c r="E34" t="s">
        <v>404</v>
      </c>
      <c r="F34" s="229">
        <v>234.4</v>
      </c>
      <c r="G34" s="229">
        <v>242.5</v>
      </c>
      <c r="H34" s="229">
        <v>249.5</v>
      </c>
      <c r="I34" s="229">
        <v>255.7</v>
      </c>
      <c r="J34" s="229">
        <v>258</v>
      </c>
      <c r="K34" s="229">
        <v>261.39999999999998</v>
      </c>
      <c r="L34" s="229">
        <v>270.60000000000002</v>
      </c>
      <c r="M34" s="229">
        <v>279.7</v>
      </c>
      <c r="N34" s="229">
        <v>288.10000000000002</v>
      </c>
      <c r="O34" s="229">
        <v>296.7</v>
      </c>
      <c r="P34" s="229"/>
    </row>
    <row r="35" spans="1:16">
      <c r="A35" t="s">
        <v>473</v>
      </c>
      <c r="B35" t="s">
        <v>443</v>
      </c>
      <c r="C35" t="s">
        <v>455</v>
      </c>
      <c r="D35" t="s">
        <v>419</v>
      </c>
      <c r="E35" t="s">
        <v>404</v>
      </c>
      <c r="F35" s="229">
        <v>235.2</v>
      </c>
      <c r="G35" s="229">
        <v>242.4</v>
      </c>
      <c r="H35" s="229">
        <v>250</v>
      </c>
      <c r="I35" s="229">
        <v>255.9</v>
      </c>
      <c r="J35" s="229">
        <v>258.5</v>
      </c>
      <c r="K35" s="229">
        <v>262.10000000000002</v>
      </c>
      <c r="L35" s="229">
        <v>271.7</v>
      </c>
      <c r="M35" s="229">
        <v>280.7</v>
      </c>
      <c r="N35" s="229">
        <v>289.10000000000002</v>
      </c>
      <c r="O35" s="229">
        <v>297.8</v>
      </c>
      <c r="P35" s="229"/>
    </row>
    <row r="36" spans="1:16">
      <c r="A36" t="s">
        <v>473</v>
      </c>
      <c r="B36" t="s">
        <v>444</v>
      </c>
      <c r="C36" t="s">
        <v>456</v>
      </c>
      <c r="D36" t="s">
        <v>419</v>
      </c>
      <c r="E36" t="s">
        <v>404</v>
      </c>
      <c r="F36" s="229">
        <v>235.2</v>
      </c>
      <c r="G36" s="229">
        <v>241.8</v>
      </c>
      <c r="H36" s="229">
        <v>249.7</v>
      </c>
      <c r="I36" s="229">
        <v>256.3</v>
      </c>
      <c r="J36" s="229">
        <v>258.89999999999998</v>
      </c>
      <c r="K36" s="229">
        <v>263.10000000000002</v>
      </c>
      <c r="L36" s="229">
        <v>272.3</v>
      </c>
      <c r="M36" s="229">
        <v>281.5</v>
      </c>
      <c r="N36" s="229">
        <v>289.89999999999998</v>
      </c>
      <c r="O36" s="229">
        <v>298.60000000000002</v>
      </c>
      <c r="P36" s="229"/>
    </row>
    <row r="37" spans="1:16">
      <c r="A37" t="s">
        <v>473</v>
      </c>
      <c r="B37" t="s">
        <v>445</v>
      </c>
      <c r="C37" t="s">
        <v>457</v>
      </c>
      <c r="D37" t="s">
        <v>419</v>
      </c>
      <c r="E37" t="s">
        <v>404</v>
      </c>
      <c r="F37" s="229">
        <v>234.7</v>
      </c>
      <c r="G37" s="229">
        <v>242.1</v>
      </c>
      <c r="H37" s="229">
        <v>249.7</v>
      </c>
      <c r="I37" s="229">
        <v>256</v>
      </c>
      <c r="J37" s="229">
        <v>258.60000000000002</v>
      </c>
      <c r="K37" s="229">
        <v>263.39999999999998</v>
      </c>
      <c r="L37" s="229">
        <v>272.89999999999998</v>
      </c>
      <c r="M37" s="229">
        <v>281.7</v>
      </c>
      <c r="N37" s="229">
        <v>290.2</v>
      </c>
      <c r="O37" s="229">
        <v>298.89999999999998</v>
      </c>
      <c r="P37" s="229"/>
    </row>
    <row r="38" spans="1:16">
      <c r="A38" t="s">
        <v>473</v>
      </c>
      <c r="B38" t="s">
        <v>446</v>
      </c>
      <c r="C38" t="s">
        <v>439</v>
      </c>
      <c r="D38" t="s">
        <v>419</v>
      </c>
      <c r="E38" t="s">
        <v>404</v>
      </c>
      <c r="F38" s="229">
        <v>236.1</v>
      </c>
      <c r="G38" s="229">
        <v>243</v>
      </c>
      <c r="H38" s="229">
        <v>251</v>
      </c>
      <c r="I38" s="229">
        <v>257</v>
      </c>
      <c r="J38" s="229">
        <v>259.8</v>
      </c>
      <c r="K38" s="229">
        <v>264.39999999999998</v>
      </c>
      <c r="L38" s="229">
        <v>274.7</v>
      </c>
      <c r="M38" s="229">
        <v>284.2</v>
      </c>
      <c r="N38" s="229">
        <v>292.7</v>
      </c>
      <c r="O38" s="229">
        <v>301.5</v>
      </c>
      <c r="P38" s="229"/>
    </row>
    <row r="39" spans="1:16">
      <c r="A39" t="s">
        <v>473</v>
      </c>
      <c r="B39" t="s">
        <v>447</v>
      </c>
      <c r="C39" t="s">
        <v>440</v>
      </c>
      <c r="D39" t="s">
        <v>419</v>
      </c>
      <c r="E39" t="s">
        <v>404</v>
      </c>
      <c r="F39" s="229">
        <v>237.9</v>
      </c>
      <c r="G39" s="229">
        <v>244.2</v>
      </c>
      <c r="H39" s="229">
        <v>251.9</v>
      </c>
      <c r="I39" s="229">
        <v>257.60000000000002</v>
      </c>
      <c r="J39" s="229">
        <v>259.60000000000002</v>
      </c>
      <c r="K39" s="229">
        <v>264.89999999999998</v>
      </c>
      <c r="L39" s="229">
        <v>275.10000000000002</v>
      </c>
      <c r="M39" s="229">
        <v>284.10000000000002</v>
      </c>
      <c r="N39" s="229">
        <v>292.60000000000002</v>
      </c>
      <c r="O39" s="229">
        <v>301.39999999999998</v>
      </c>
      <c r="P39" s="229"/>
    </row>
    <row r="40" spans="1:16">
      <c r="A40" t="s">
        <v>473</v>
      </c>
      <c r="B40" t="s">
        <v>448</v>
      </c>
      <c r="C40" t="s">
        <v>441</v>
      </c>
      <c r="D40" t="s">
        <v>419</v>
      </c>
      <c r="E40" t="s">
        <v>404</v>
      </c>
      <c r="F40" s="229">
        <v>238</v>
      </c>
      <c r="G40" s="229">
        <v>245.6</v>
      </c>
      <c r="H40" s="229">
        <v>251.9</v>
      </c>
      <c r="I40" s="229">
        <v>257.7</v>
      </c>
      <c r="J40" s="229">
        <v>259.5</v>
      </c>
      <c r="K40" s="229">
        <v>264.8</v>
      </c>
      <c r="L40" s="229">
        <v>275.3</v>
      </c>
      <c r="M40" s="229">
        <v>284.5</v>
      </c>
      <c r="N40" s="229">
        <v>293</v>
      </c>
      <c r="O40" s="229">
        <v>301.8</v>
      </c>
      <c r="P40" s="229"/>
    </row>
    <row r="41" spans="1:16">
      <c r="A41" t="s">
        <v>473</v>
      </c>
      <c r="B41" t="s">
        <v>449</v>
      </c>
      <c r="C41" t="s">
        <v>458</v>
      </c>
      <c r="D41" t="s">
        <v>419</v>
      </c>
      <c r="E41" t="s">
        <v>404</v>
      </c>
      <c r="F41" s="229">
        <v>238.5</v>
      </c>
      <c r="G41" s="229">
        <v>245.6</v>
      </c>
      <c r="H41" s="229">
        <v>252.1</v>
      </c>
      <c r="I41" s="229">
        <v>257.10000000000002</v>
      </c>
      <c r="J41" s="229">
        <v>259.8</v>
      </c>
      <c r="K41" s="229">
        <v>265.5</v>
      </c>
      <c r="L41" s="229">
        <v>275.8</v>
      </c>
      <c r="M41" s="229">
        <v>284.60000000000002</v>
      </c>
      <c r="N41" s="229">
        <v>293.10000000000002</v>
      </c>
      <c r="O41" s="229">
        <v>301.89999999999998</v>
      </c>
      <c r="P41" s="229"/>
    </row>
    <row r="42" spans="1:16">
      <c r="A42" t="s">
        <v>473</v>
      </c>
      <c r="B42" t="s">
        <v>450</v>
      </c>
      <c r="C42" t="s">
        <v>459</v>
      </c>
      <c r="D42" t="s">
        <v>419</v>
      </c>
      <c r="E42" t="s">
        <v>404</v>
      </c>
      <c r="F42" s="229">
        <v>239.4</v>
      </c>
      <c r="G42" s="229">
        <v>246.8</v>
      </c>
      <c r="H42" s="229">
        <v>253.4</v>
      </c>
      <c r="I42" s="229">
        <v>257.5</v>
      </c>
      <c r="J42" s="229">
        <v>260.60000000000002</v>
      </c>
      <c r="K42" s="229">
        <v>267.10000000000002</v>
      </c>
      <c r="L42" s="229">
        <v>278.10000000000002</v>
      </c>
      <c r="M42" s="229">
        <v>285.60000000000002</v>
      </c>
      <c r="N42" s="229">
        <v>294.2</v>
      </c>
      <c r="O42" s="229">
        <v>303</v>
      </c>
      <c r="P42" s="229"/>
    </row>
    <row r="43" spans="1:16">
      <c r="A43" t="s">
        <v>473</v>
      </c>
      <c r="B43" t="s">
        <v>451</v>
      </c>
      <c r="C43" t="s">
        <v>460</v>
      </c>
      <c r="D43" t="s">
        <v>419</v>
      </c>
      <c r="E43" t="s">
        <v>404</v>
      </c>
      <c r="F43" s="229">
        <v>238</v>
      </c>
      <c r="G43" s="229">
        <v>245.8</v>
      </c>
      <c r="H43" s="229">
        <v>252.6</v>
      </c>
      <c r="I43" s="229">
        <v>255.4</v>
      </c>
      <c r="J43" s="229">
        <v>258.8</v>
      </c>
      <c r="K43" s="229">
        <v>265.5</v>
      </c>
      <c r="L43" s="229">
        <v>276</v>
      </c>
      <c r="M43" s="229">
        <v>283</v>
      </c>
      <c r="N43" s="229">
        <v>291.5</v>
      </c>
      <c r="O43" s="229">
        <v>300.2</v>
      </c>
      <c r="P43" s="229"/>
    </row>
    <row r="44" spans="1:16">
      <c r="A44" t="s">
        <v>473</v>
      </c>
      <c r="B44" t="s">
        <v>452</v>
      </c>
      <c r="C44" t="s">
        <v>461</v>
      </c>
      <c r="D44" t="s">
        <v>419</v>
      </c>
      <c r="E44" t="s">
        <v>404</v>
      </c>
      <c r="F44" s="229">
        <v>239.9</v>
      </c>
      <c r="G44" s="229">
        <v>247.6</v>
      </c>
      <c r="H44" s="229">
        <v>254.2</v>
      </c>
      <c r="I44" s="229">
        <v>256.7</v>
      </c>
      <c r="J44" s="229">
        <v>260</v>
      </c>
      <c r="K44" s="229">
        <v>268.39999999999998</v>
      </c>
      <c r="L44" s="229">
        <v>278.10000000000002</v>
      </c>
      <c r="M44" s="229">
        <v>286.39999999999998</v>
      </c>
      <c r="N44" s="229">
        <v>295</v>
      </c>
      <c r="O44" s="229">
        <v>303.89999999999998</v>
      </c>
      <c r="P44" s="229"/>
    </row>
    <row r="45" spans="1:16">
      <c r="A45" t="s">
        <v>473</v>
      </c>
      <c r="B45" t="s">
        <v>453</v>
      </c>
      <c r="C45" t="s">
        <v>462</v>
      </c>
      <c r="D45" t="s">
        <v>419</v>
      </c>
      <c r="E45" t="s">
        <v>404</v>
      </c>
      <c r="F45" s="229">
        <v>240.8</v>
      </c>
      <c r="G45" s="229">
        <v>248.7</v>
      </c>
      <c r="H45" s="229">
        <v>254.8</v>
      </c>
      <c r="I45" s="229">
        <v>257.10000000000002</v>
      </c>
      <c r="J45" s="229">
        <v>261.10000000000002</v>
      </c>
      <c r="K45" s="229">
        <v>269.3</v>
      </c>
      <c r="L45" s="229">
        <v>278.3</v>
      </c>
      <c r="M45" s="229">
        <v>286.60000000000002</v>
      </c>
      <c r="N45" s="229">
        <v>295.2</v>
      </c>
      <c r="O45" s="229">
        <v>304.10000000000002</v>
      </c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workbookViewId="0">
      <pane ySplit="2" topLeftCell="A3" activePane="bottomLeft" state="frozen"/>
      <selection pane="bottomLeft"/>
    </sheetView>
  </sheetViews>
  <sheetFormatPr defaultRowHeight="14.35"/>
  <cols>
    <col min="1" max="1" width="8.87890625" bestFit="1" customWidth="1"/>
    <col min="2" max="2" width="14.234375" bestFit="1" customWidth="1"/>
    <col min="3" max="3" width="83.1171875" bestFit="1" customWidth="1"/>
    <col min="4" max="4" width="4.703125" bestFit="1" customWidth="1"/>
    <col min="5" max="5" width="17" bestFit="1" customWidth="1"/>
    <col min="6" max="16" width="7.41015625" customWidth="1"/>
    <col min="17" max="17" width="12.703125" customWidth="1"/>
  </cols>
  <sheetData>
    <row r="1" spans="1:17" ht="14.7" thickBot="1"/>
    <row r="2" spans="1:17" ht="40.35" thickBot="1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  <c r="Q2" s="275" t="s">
        <v>471</v>
      </c>
    </row>
    <row r="4" spans="1:17">
      <c r="A4" t="str">
        <f>F_Inputs!A4</f>
        <v>AFW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70"/>
    </row>
    <row r="5" spans="1:17">
      <c r="A5" t="str">
        <f>F_Inputs!A5</f>
        <v>AFW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71"/>
      <c r="K5" s="271"/>
      <c r="L5" s="271"/>
      <c r="M5" s="271"/>
      <c r="N5" s="271"/>
      <c r="O5" s="226"/>
      <c r="P5" s="226"/>
    </row>
    <row r="6" spans="1:17">
      <c r="A6" t="str">
        <f>F_Inputs!A6</f>
        <v>AFW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71"/>
      <c r="K6" s="271"/>
      <c r="L6" s="271"/>
      <c r="M6" s="271"/>
      <c r="N6" s="271"/>
      <c r="O6" s="226"/>
      <c r="P6" s="226"/>
    </row>
    <row r="7" spans="1:17">
      <c r="A7" t="str">
        <f>F_Inputs!A7</f>
        <v>AFW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71"/>
    </row>
    <row r="8" spans="1:17">
      <c r="A8" t="str">
        <f>F_Inputs!A8</f>
        <v>AFW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71"/>
    </row>
    <row r="9" spans="1:17">
      <c r="A9" t="str">
        <f>F_Inputs!A9</f>
        <v>AFW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72"/>
    </row>
    <row r="10" spans="1:17">
      <c r="A10" t="str">
        <f>F_Inputs!A10</f>
        <v>AFW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72"/>
    </row>
    <row r="11" spans="1:17">
      <c r="A11" t="str">
        <f>F_Inputs!A11</f>
        <v>AFW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7">
      <c r="A12" t="str">
        <f>F_Inputs!A12</f>
        <v>AFW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71"/>
      <c r="K12" s="271"/>
      <c r="L12" s="271"/>
      <c r="M12" s="271"/>
      <c r="N12" s="271"/>
      <c r="O12" s="226"/>
      <c r="P12" s="226"/>
    </row>
    <row r="13" spans="1:17">
      <c r="A13" t="str">
        <f>F_Inputs!A13</f>
        <v>AFW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71"/>
      <c r="K13" s="271"/>
      <c r="L13" s="271"/>
      <c r="M13" s="271"/>
      <c r="N13" s="271"/>
      <c r="O13" s="226"/>
      <c r="P13" s="226"/>
    </row>
    <row r="14" spans="1:17">
      <c r="A14" t="str">
        <f>F_Inputs!A14</f>
        <v>AFW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71"/>
      <c r="K14" s="271"/>
      <c r="L14" s="271"/>
      <c r="M14" s="271"/>
      <c r="N14" s="271"/>
      <c r="O14" s="226"/>
      <c r="P14" s="226"/>
    </row>
    <row r="15" spans="1:17">
      <c r="A15" t="str">
        <f>F_Inputs!A15</f>
        <v>AFW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71"/>
      <c r="K15" s="271"/>
      <c r="L15" s="271"/>
      <c r="M15" s="271"/>
      <c r="N15" s="271"/>
      <c r="O15" s="226"/>
      <c r="P15" s="226"/>
    </row>
    <row r="16" spans="1:17">
      <c r="A16" t="str">
        <f>F_Inputs!A16</f>
        <v>AFW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71"/>
      <c r="K16" s="271"/>
      <c r="L16" s="271"/>
      <c r="M16" s="271"/>
      <c r="N16" s="271"/>
      <c r="O16" s="226"/>
      <c r="P16" s="226"/>
    </row>
    <row r="17" spans="1:16">
      <c r="A17" t="str">
        <f>F_Inputs!A17</f>
        <v>AFW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71"/>
      <c r="K17" s="271"/>
      <c r="L17" s="271"/>
      <c r="M17" s="271"/>
      <c r="N17" s="271"/>
      <c r="O17" s="226"/>
      <c r="P17" s="226"/>
    </row>
    <row r="18" spans="1:16">
      <c r="A18" t="str">
        <f>F_Inputs!A18</f>
        <v>AFW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71"/>
      <c r="K18" s="271"/>
      <c r="L18" s="271"/>
      <c r="M18" s="271"/>
      <c r="N18" s="271"/>
      <c r="O18" s="226"/>
      <c r="P18" s="226"/>
    </row>
    <row r="19" spans="1:16">
      <c r="A19" t="str">
        <f>F_Inputs!A19</f>
        <v>AFW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71"/>
      <c r="K19" s="271"/>
      <c r="L19" s="271"/>
      <c r="M19" s="271"/>
      <c r="N19" s="271"/>
      <c r="O19" s="226"/>
      <c r="P19" s="226"/>
    </row>
    <row r="20" spans="1:16">
      <c r="A20" t="str">
        <f>F_Inputs!A20</f>
        <v>AFW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71"/>
      <c r="K20" s="271"/>
      <c r="L20" s="271"/>
      <c r="M20" s="271"/>
      <c r="N20" s="271"/>
      <c r="O20" s="226"/>
      <c r="P20" s="226"/>
    </row>
    <row r="21" spans="1:16">
      <c r="A21" t="str">
        <f>F_Inputs!A21</f>
        <v>AFW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71"/>
      <c r="K21" s="271"/>
      <c r="L21" s="271"/>
      <c r="M21" s="271"/>
      <c r="N21" s="271"/>
      <c r="O21" s="226"/>
      <c r="P21" s="226"/>
    </row>
    <row r="22" spans="1:16">
      <c r="A22" t="str">
        <f>F_Inputs!A22</f>
        <v>AFW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71"/>
      <c r="K22" s="271"/>
      <c r="L22" s="271"/>
      <c r="M22" s="271"/>
      <c r="N22" s="271"/>
      <c r="O22" s="226"/>
      <c r="P22" s="226"/>
    </row>
    <row r="23" spans="1:16">
      <c r="A23" t="str">
        <f>F_Inputs!A23</f>
        <v>AFW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71"/>
      <c r="K23" s="271"/>
      <c r="L23" s="271"/>
      <c r="M23" s="271"/>
      <c r="N23" s="271"/>
      <c r="O23" s="226"/>
      <c r="P23" s="226"/>
    </row>
    <row r="24" spans="1:16">
      <c r="A24" t="str">
        <f>F_Inputs!A24</f>
        <v>AFW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71"/>
      <c r="K24" s="271"/>
      <c r="L24" s="271"/>
      <c r="M24" s="271"/>
      <c r="N24" s="271"/>
      <c r="O24" s="226"/>
      <c r="P24" s="226"/>
    </row>
    <row r="25" spans="1:16">
      <c r="A25" t="str">
        <f>F_Inputs!A25</f>
        <v>AFW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71"/>
      <c r="K25" s="271"/>
      <c r="L25" s="271"/>
      <c r="M25" s="271"/>
      <c r="N25" s="271"/>
      <c r="O25" s="226"/>
      <c r="P25" s="226"/>
    </row>
    <row r="26" spans="1:16">
      <c r="A26" t="str">
        <f>F_Inputs!A26</f>
        <v>AFW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71"/>
      <c r="J26" s="226"/>
      <c r="K26" s="226"/>
      <c r="L26" s="226"/>
      <c r="M26" s="226"/>
      <c r="N26" s="226"/>
      <c r="O26" s="226"/>
      <c r="P26" s="226"/>
    </row>
    <row r="27" spans="1:16">
      <c r="A27" t="str">
        <f>F_Inputs!A27</f>
        <v>AFW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71"/>
      <c r="J27" s="226"/>
      <c r="K27" s="226"/>
      <c r="L27" s="226"/>
      <c r="M27" s="226"/>
      <c r="N27" s="226"/>
      <c r="O27" s="226"/>
      <c r="P27" s="226"/>
    </row>
    <row r="28" spans="1:16">
      <c r="A28" t="str">
        <f>F_Inputs!A28</f>
        <v>AFW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73"/>
      <c r="K28" s="273"/>
      <c r="L28" s="273"/>
      <c r="M28" s="273"/>
      <c r="N28" s="273"/>
      <c r="O28" s="227"/>
      <c r="P28" s="227"/>
    </row>
    <row r="29" spans="1:16">
      <c r="A29" t="str">
        <f>F_Inputs!A29</f>
        <v>AFW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73"/>
      <c r="K29" s="273"/>
      <c r="L29" s="273"/>
      <c r="M29" s="273"/>
      <c r="N29" s="273"/>
      <c r="O29" s="227"/>
      <c r="P29" s="227"/>
    </row>
    <row r="30" spans="1:16">
      <c r="A30" t="str">
        <f>F_Inputs!A30</f>
        <v>AFW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71"/>
      <c r="K30" s="271"/>
      <c r="L30" s="271"/>
      <c r="M30" s="271"/>
      <c r="N30" s="271"/>
      <c r="O30" s="226"/>
      <c r="P30" s="226"/>
    </row>
    <row r="31" spans="1:16">
      <c r="A31" t="str">
        <f>F_Inputs!A31</f>
        <v>AFW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71"/>
      <c r="K31" s="271"/>
      <c r="L31" s="271"/>
      <c r="M31" s="271"/>
      <c r="N31" s="271"/>
      <c r="O31" s="226"/>
      <c r="P31" s="226"/>
    </row>
    <row r="32" spans="1:16">
      <c r="A32" t="str">
        <f>F_Inputs!A32</f>
        <v>AFW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71"/>
      <c r="K32" s="271"/>
      <c r="L32" s="271"/>
      <c r="M32" s="271"/>
      <c r="N32" s="271"/>
      <c r="O32" s="226"/>
      <c r="P32" s="226"/>
    </row>
    <row r="33" spans="1:16">
      <c r="A33" t="str">
        <f>F_Inputs!A33</f>
        <v>AFW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71"/>
      <c r="K33" s="271"/>
      <c r="L33" s="271"/>
      <c r="M33" s="271"/>
      <c r="N33" s="271"/>
      <c r="O33" s="226"/>
      <c r="P33" s="226"/>
    </row>
    <row r="34" spans="1:16">
      <c r="A34" t="str">
        <f>F_Inputs!A34</f>
        <v>AFW</v>
      </c>
      <c r="B34" t="s">
        <v>442</v>
      </c>
      <c r="C34" t="s">
        <v>454</v>
      </c>
      <c r="D34" t="s">
        <v>419</v>
      </c>
      <c r="E34" t="s">
        <v>404</v>
      </c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29"/>
    </row>
    <row r="35" spans="1:16">
      <c r="A35" t="str">
        <f>F_Inputs!A35</f>
        <v>AFW</v>
      </c>
      <c r="B35" t="s">
        <v>443</v>
      </c>
      <c r="C35" t="s">
        <v>455</v>
      </c>
      <c r="D35" t="s">
        <v>419</v>
      </c>
      <c r="E35" t="s">
        <v>404</v>
      </c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29"/>
    </row>
    <row r="36" spans="1:16">
      <c r="A36" t="str">
        <f>F_Inputs!A36</f>
        <v>AFW</v>
      </c>
      <c r="B36" t="s">
        <v>444</v>
      </c>
      <c r="C36" t="s">
        <v>456</v>
      </c>
      <c r="D36" t="s">
        <v>419</v>
      </c>
      <c r="E36" t="s">
        <v>404</v>
      </c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29"/>
    </row>
    <row r="37" spans="1:16">
      <c r="A37" t="str">
        <f>F_Inputs!A37</f>
        <v>AFW</v>
      </c>
      <c r="B37" t="s">
        <v>445</v>
      </c>
      <c r="C37" t="s">
        <v>457</v>
      </c>
      <c r="D37" t="s">
        <v>419</v>
      </c>
      <c r="E37" t="s">
        <v>404</v>
      </c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29"/>
    </row>
    <row r="38" spans="1:16">
      <c r="A38" t="str">
        <f>F_Inputs!A38</f>
        <v>AFW</v>
      </c>
      <c r="B38" t="s">
        <v>446</v>
      </c>
      <c r="C38" t="s">
        <v>439</v>
      </c>
      <c r="D38" t="s">
        <v>419</v>
      </c>
      <c r="E38" t="s">
        <v>404</v>
      </c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29"/>
    </row>
    <row r="39" spans="1:16">
      <c r="A39" t="str">
        <f>F_Inputs!A39</f>
        <v>AFW</v>
      </c>
      <c r="B39" t="s">
        <v>447</v>
      </c>
      <c r="C39" t="s">
        <v>440</v>
      </c>
      <c r="D39" t="s">
        <v>419</v>
      </c>
      <c r="E39" t="s">
        <v>404</v>
      </c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29"/>
    </row>
    <row r="40" spans="1:16">
      <c r="A40" t="str">
        <f>F_Inputs!A40</f>
        <v>AFW</v>
      </c>
      <c r="B40" t="s">
        <v>448</v>
      </c>
      <c r="C40" t="s">
        <v>441</v>
      </c>
      <c r="D40" t="s">
        <v>419</v>
      </c>
      <c r="E40" t="s">
        <v>404</v>
      </c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29"/>
    </row>
    <row r="41" spans="1:16">
      <c r="A41" t="str">
        <f>F_Inputs!A41</f>
        <v>AFW</v>
      </c>
      <c r="B41" t="s">
        <v>449</v>
      </c>
      <c r="C41" t="s">
        <v>458</v>
      </c>
      <c r="D41" t="s">
        <v>419</v>
      </c>
      <c r="E41" t="s">
        <v>404</v>
      </c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29"/>
    </row>
    <row r="42" spans="1:16">
      <c r="A42" t="str">
        <f>F_Inputs!A42</f>
        <v>AFW</v>
      </c>
      <c r="B42" t="s">
        <v>450</v>
      </c>
      <c r="C42" t="s">
        <v>459</v>
      </c>
      <c r="D42" t="s">
        <v>419</v>
      </c>
      <c r="E42" t="s">
        <v>404</v>
      </c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29"/>
    </row>
    <row r="43" spans="1:16">
      <c r="A43" t="str">
        <f>F_Inputs!A43</f>
        <v>AFW</v>
      </c>
      <c r="B43" t="s">
        <v>451</v>
      </c>
      <c r="C43" t="s">
        <v>460</v>
      </c>
      <c r="D43" t="s">
        <v>419</v>
      </c>
      <c r="E43" t="s">
        <v>404</v>
      </c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29"/>
    </row>
    <row r="44" spans="1:16">
      <c r="A44" t="str">
        <f>F_Inputs!A44</f>
        <v>AFW</v>
      </c>
      <c r="B44" t="s">
        <v>452</v>
      </c>
      <c r="C44" t="s">
        <v>461</v>
      </c>
      <c r="D44" t="s">
        <v>419</v>
      </c>
      <c r="E44" t="s">
        <v>404</v>
      </c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29"/>
    </row>
    <row r="45" spans="1:16">
      <c r="A45" t="str">
        <f>F_Inputs!A45</f>
        <v>AFW</v>
      </c>
      <c r="B45" t="s">
        <v>453</v>
      </c>
      <c r="C45" t="s">
        <v>462</v>
      </c>
      <c r="D45" t="s">
        <v>419</v>
      </c>
      <c r="E45" t="s">
        <v>404</v>
      </c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workbookViewId="0">
      <pane ySplit="2" topLeftCell="A3" activePane="bottomLeft" state="frozen"/>
      <selection pane="bottomLeft"/>
    </sheetView>
  </sheetViews>
  <sheetFormatPr defaultRowHeight="14.35"/>
  <cols>
    <col min="1" max="1" width="8.87890625" bestFit="1" customWidth="1"/>
    <col min="2" max="2" width="14.234375" bestFit="1" customWidth="1"/>
    <col min="3" max="3" width="83.1171875" bestFit="1" customWidth="1"/>
    <col min="4" max="4" width="4.703125" bestFit="1" customWidth="1"/>
    <col min="5" max="5" width="17" bestFit="1" customWidth="1"/>
    <col min="6" max="16" width="7.41015625" customWidth="1"/>
  </cols>
  <sheetData>
    <row r="2" spans="1:1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6">
      <c r="A4" t="str">
        <f>F_Inputs!A4</f>
        <v>AFW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70">
        <f>IF(InpOverride!P4="",F_Inputs!P4,InpOverride!P4)</f>
        <v>1</v>
      </c>
    </row>
    <row r="5" spans="1:16">
      <c r="A5" t="str">
        <f>F_Inputs!A5</f>
        <v>AFW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71">
        <f>IF(InpOverride!J5="",F_Inputs!J5,InpOverride!J5)</f>
        <v>0.55000000000000004</v>
      </c>
      <c r="K5" s="271">
        <f>IF(InpOverride!K5="",F_Inputs!K5,InpOverride!K5)</f>
        <v>0.55000000000000004</v>
      </c>
      <c r="L5" s="271">
        <f>IF(InpOverride!L5="",F_Inputs!L5,InpOverride!L5)</f>
        <v>0.55000000000000004</v>
      </c>
      <c r="M5" s="271">
        <f>IF(InpOverride!M5="",F_Inputs!M5,InpOverride!M5)</f>
        <v>0.55000000000000004</v>
      </c>
      <c r="N5" s="271">
        <f>IF(InpOverride!N5="",F_Inputs!N5,InpOverride!N5)</f>
        <v>0.55000000000000004</v>
      </c>
      <c r="O5" s="226"/>
      <c r="P5" s="226"/>
    </row>
    <row r="6" spans="1:16">
      <c r="A6" t="str">
        <f>F_Inputs!A6</f>
        <v>AFW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71">
        <f>IF(InpOverride!J6="",F_Inputs!J6,InpOverride!J6)</f>
        <v>0</v>
      </c>
      <c r="K6" s="271">
        <f>IF(InpOverride!K6="",F_Inputs!K6,InpOverride!K6)</f>
        <v>0</v>
      </c>
      <c r="L6" s="271">
        <f>IF(InpOverride!L6="",F_Inputs!L6,InpOverride!L6)</f>
        <v>0</v>
      </c>
      <c r="M6" s="271">
        <f>IF(InpOverride!M6="",F_Inputs!M6,InpOverride!M6)</f>
        <v>0</v>
      </c>
      <c r="N6" s="271">
        <f>IF(InpOverride!N6="",F_Inputs!N6,InpOverride!N6)</f>
        <v>0</v>
      </c>
      <c r="O6" s="226"/>
      <c r="P6" s="226"/>
    </row>
    <row r="7" spans="1:16">
      <c r="A7" t="str">
        <f>F_Inputs!A7</f>
        <v>AFW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71">
        <f>IF(InpOverride!P7="",F_Inputs!P7,InpOverride!P7)</f>
        <v>94.678026929837401</v>
      </c>
    </row>
    <row r="8" spans="1:16">
      <c r="A8" t="str">
        <f>F_Inputs!A8</f>
        <v>AFW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71">
        <f>IF(InpOverride!P8="",F_Inputs!P8,InpOverride!P8)</f>
        <v>0</v>
      </c>
    </row>
    <row r="9" spans="1:16">
      <c r="A9" t="str">
        <f>F_Inputs!A9</f>
        <v>AFW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71">
        <f>IF(InpOverride!P9="",F_Inputs!P9,InpOverride!P9)</f>
        <v>94.7</v>
      </c>
    </row>
    <row r="10" spans="1:16">
      <c r="A10" t="str">
        <f>F_Inputs!A10</f>
        <v>AFW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71">
        <f>IF(InpOverride!P10="",F_Inputs!P10,InpOverride!P10)</f>
        <v>0</v>
      </c>
    </row>
    <row r="11" spans="1:16">
      <c r="A11" t="str">
        <f>F_Inputs!A11</f>
        <v>AFW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t="str">
        <f>F_Inputs!A12</f>
        <v>AFW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71">
        <f>IF(InpOverride!J12="",F_Inputs!J12,InpOverride!J12)</f>
        <v>244.183820208876</v>
      </c>
      <c r="K12" s="271">
        <f>IF(InpOverride!K12="",F_Inputs!K12,InpOverride!K12)</f>
        <v>246.52068156466899</v>
      </c>
      <c r="L12" s="271">
        <f>IF(InpOverride!L12="",F_Inputs!L12,InpOverride!L12)</f>
        <v>214.50194186524101</v>
      </c>
      <c r="M12" s="271">
        <f>IF(InpOverride!M12="",F_Inputs!M12,InpOverride!M12)</f>
        <v>191.79813722914599</v>
      </c>
      <c r="N12" s="271">
        <f>IF(InpOverride!N12="",F_Inputs!N12,InpOverride!N12)</f>
        <v>177.24734287201699</v>
      </c>
      <c r="O12" s="226"/>
      <c r="P12" s="226"/>
    </row>
    <row r="13" spans="1:16">
      <c r="A13" t="str">
        <f>F_Inputs!A13</f>
        <v>AFW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71">
        <f>IF(InpOverride!J13="",F_Inputs!J13,InpOverride!J13)</f>
        <v>0</v>
      </c>
      <c r="K13" s="271">
        <f>IF(InpOverride!K13="",F_Inputs!K13,InpOverride!K13)</f>
        <v>0</v>
      </c>
      <c r="L13" s="271">
        <f>IF(InpOverride!L13="",F_Inputs!L13,InpOverride!L13)</f>
        <v>0</v>
      </c>
      <c r="M13" s="271">
        <f>IF(InpOverride!M13="",F_Inputs!M13,InpOverride!M13)</f>
        <v>0</v>
      </c>
      <c r="N13" s="271">
        <f>IF(InpOverride!N13="",F_Inputs!N13,InpOverride!N13)</f>
        <v>0</v>
      </c>
      <c r="O13" s="226"/>
      <c r="P13" s="226"/>
    </row>
    <row r="14" spans="1:16">
      <c r="A14" t="str">
        <f>F_Inputs!A14</f>
        <v>AFW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71">
        <f>IF(InpOverride!J14="",F_Inputs!J14,InpOverride!J14)</f>
        <v>245.099741518993</v>
      </c>
      <c r="K14" s="271">
        <f>IF(InpOverride!K14="",F_Inputs!K14,InpOverride!K14)</f>
        <v>247.602907327341</v>
      </c>
      <c r="L14" s="271">
        <f>IF(InpOverride!L14="",F_Inputs!L14,InpOverride!L14)</f>
        <v>215.152416025863</v>
      </c>
      <c r="M14" s="271">
        <f>IF(InpOverride!M14="",F_Inputs!M14,InpOverride!M14)</f>
        <v>192.142465547792</v>
      </c>
      <c r="N14" s="271">
        <f>IF(InpOverride!N14="",F_Inputs!N14,InpOverride!N14)</f>
        <v>177.39546331884401</v>
      </c>
      <c r="O14" s="226"/>
      <c r="P14" s="226"/>
    </row>
    <row r="15" spans="1:16">
      <c r="A15" t="str">
        <f>F_Inputs!A15</f>
        <v>AFW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71">
        <f>IF(InpOverride!J15="",F_Inputs!J15,InpOverride!J15)</f>
        <v>0</v>
      </c>
      <c r="K15" s="271">
        <f>IF(InpOverride!K15="",F_Inputs!K15,InpOverride!K15)</f>
        <v>0</v>
      </c>
      <c r="L15" s="271">
        <f>IF(InpOverride!L15="",F_Inputs!L15,InpOverride!L15)</f>
        <v>0</v>
      </c>
      <c r="M15" s="271">
        <f>IF(InpOverride!M15="",F_Inputs!M15,InpOverride!M15)</f>
        <v>0</v>
      </c>
      <c r="N15" s="271">
        <f>IF(InpOverride!N15="",F_Inputs!N15,InpOverride!N15)</f>
        <v>0</v>
      </c>
      <c r="O15" s="226"/>
      <c r="P15" s="226"/>
    </row>
    <row r="16" spans="1:16">
      <c r="A16" t="str">
        <f>F_Inputs!A16</f>
        <v>AFW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71">
        <f>IF(InpOverride!J16="",F_Inputs!J16,InpOverride!J16)</f>
        <v>229.35799999999901</v>
      </c>
      <c r="K16" s="271">
        <f>IF(InpOverride!K16="",F_Inputs!K16,InpOverride!K16)</f>
        <v>268.72799999999899</v>
      </c>
      <c r="L16" s="271">
        <f>IF(InpOverride!L16="",F_Inputs!L16,InpOverride!L16)</f>
        <v>255.578</v>
      </c>
      <c r="M16" s="271">
        <f>IF(InpOverride!M16="",F_Inputs!M16,InpOverride!M16)</f>
        <v>244.56100000000001</v>
      </c>
      <c r="N16" s="271">
        <f>IF(InpOverride!N16="",F_Inputs!N16,InpOverride!N16)</f>
        <v>234.84200000000001</v>
      </c>
      <c r="O16" s="226"/>
      <c r="P16" s="226"/>
    </row>
    <row r="17" spans="1:16">
      <c r="A17" t="str">
        <f>F_Inputs!A17</f>
        <v>AFW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71">
        <f>IF(InpOverride!J17="",F_Inputs!J17,InpOverride!J17)</f>
        <v>0</v>
      </c>
      <c r="K17" s="271">
        <f>IF(InpOverride!K17="",F_Inputs!K17,InpOverride!K17)</f>
        <v>0</v>
      </c>
      <c r="L17" s="271">
        <f>IF(InpOverride!L17="",F_Inputs!L17,InpOverride!L17)</f>
        <v>0</v>
      </c>
      <c r="M17" s="271">
        <f>IF(InpOverride!M17="",F_Inputs!M17,InpOverride!M17)</f>
        <v>0</v>
      </c>
      <c r="N17" s="271">
        <f>IF(InpOverride!N17="",F_Inputs!N17,InpOverride!N17)</f>
        <v>0</v>
      </c>
      <c r="O17" s="226"/>
      <c r="P17" s="226"/>
    </row>
    <row r="18" spans="1:16">
      <c r="A18" t="str">
        <f>F_Inputs!A18</f>
        <v>AFW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71">
        <f>IF(InpOverride!J18="",F_Inputs!J18,InpOverride!J18)</f>
        <v>2.41</v>
      </c>
      <c r="K18" s="271">
        <f>IF(InpOverride!K18="",F_Inputs!K18,InpOverride!K18)</f>
        <v>2.3919999999999999</v>
      </c>
      <c r="L18" s="271">
        <f>IF(InpOverride!L18="",F_Inputs!L18,InpOverride!L18)</f>
        <v>2.1219999999999999</v>
      </c>
      <c r="M18" s="271">
        <f>IF(InpOverride!M18="",F_Inputs!M18,InpOverride!M18)</f>
        <v>2.169</v>
      </c>
      <c r="N18" s="271">
        <f>IF(InpOverride!N18="",F_Inputs!N18,InpOverride!N18)</f>
        <v>2.2123110972315998</v>
      </c>
      <c r="O18" s="226"/>
      <c r="P18" s="226"/>
    </row>
    <row r="19" spans="1:16">
      <c r="A19" t="str">
        <f>F_Inputs!A19</f>
        <v>AFW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71">
        <f>IF(InpOverride!J19="",F_Inputs!J19,InpOverride!J19)</f>
        <v>2.21199999999999</v>
      </c>
      <c r="K19" s="271">
        <f>IF(InpOverride!K19="",F_Inputs!K19,InpOverride!K19)</f>
        <v>0.16999999999999901</v>
      </c>
      <c r="L19" s="271">
        <f>IF(InpOverride!L19="",F_Inputs!L19,InpOverride!L19)</f>
        <v>-0.14599999999999999</v>
      </c>
      <c r="M19" s="271">
        <f>IF(InpOverride!M19="",F_Inputs!M19,InpOverride!M19)</f>
        <v>0</v>
      </c>
      <c r="N19" s="271">
        <f>IF(InpOverride!N19="",F_Inputs!N19,InpOverride!N19)</f>
        <v>0</v>
      </c>
      <c r="O19" s="226"/>
      <c r="P19" s="226"/>
    </row>
    <row r="20" spans="1:16">
      <c r="A20" t="str">
        <f>F_Inputs!A20</f>
        <v>AFW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71">
        <f>IF(InpOverride!J20="",F_Inputs!J20,InpOverride!J20)</f>
        <v>3.76</v>
      </c>
      <c r="K20" s="271">
        <f>IF(InpOverride!K20="",F_Inputs!K20,InpOverride!K20)</f>
        <v>2.1440000000000001</v>
      </c>
      <c r="L20" s="271">
        <f>IF(InpOverride!L20="",F_Inputs!L20,InpOverride!L20)</f>
        <v>1.798</v>
      </c>
      <c r="M20" s="271">
        <f>IF(InpOverride!M20="",F_Inputs!M20,InpOverride!M20)</f>
        <v>5.0449999999999999</v>
      </c>
      <c r="N20" s="271">
        <f>IF(InpOverride!N20="",F_Inputs!N20,InpOverride!N20)</f>
        <v>0</v>
      </c>
      <c r="O20" s="226"/>
      <c r="P20" s="226"/>
    </row>
    <row r="21" spans="1:16">
      <c r="A21" t="str">
        <f>F_Inputs!A21</f>
        <v>AFW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71">
        <f>IF(InpOverride!J21="",F_Inputs!J21,InpOverride!J21)</f>
        <v>0</v>
      </c>
      <c r="K21" s="271">
        <f>IF(InpOverride!K21="",F_Inputs!K21,InpOverride!K21)</f>
        <v>0</v>
      </c>
      <c r="L21" s="271">
        <f>IF(InpOverride!L21="",F_Inputs!L21,InpOverride!L21)</f>
        <v>0</v>
      </c>
      <c r="M21" s="271">
        <f>IF(InpOverride!M21="",F_Inputs!M21,InpOverride!M21)</f>
        <v>-0.75306047477801896</v>
      </c>
      <c r="N21" s="271">
        <f>IF(InpOverride!N21="",F_Inputs!N21,InpOverride!N21)</f>
        <v>8.6413187713362302E-2</v>
      </c>
      <c r="O21" s="226"/>
      <c r="P21" s="226"/>
    </row>
    <row r="22" spans="1:16">
      <c r="A22" t="str">
        <f>F_Inputs!A22</f>
        <v>AFW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71">
        <f>IF(InpOverride!J22="",F_Inputs!J22,InpOverride!J22)</f>
        <v>0</v>
      </c>
      <c r="K22" s="271">
        <f>IF(InpOverride!K22="",F_Inputs!K22,InpOverride!K22)</f>
        <v>0</v>
      </c>
      <c r="L22" s="271">
        <f>IF(InpOverride!L22="",F_Inputs!L22,InpOverride!L22)</f>
        <v>0</v>
      </c>
      <c r="M22" s="271">
        <f>IF(InpOverride!M22="",F_Inputs!M22,InpOverride!M22)</f>
        <v>0</v>
      </c>
      <c r="N22" s="271">
        <f>IF(InpOverride!N22="",F_Inputs!N22,InpOverride!N22)</f>
        <v>0</v>
      </c>
      <c r="O22" s="226"/>
      <c r="P22" s="226"/>
    </row>
    <row r="23" spans="1:16">
      <c r="A23" t="str">
        <f>F_Inputs!A23</f>
        <v>AFW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71">
        <f>IF(InpOverride!J23="",F_Inputs!J23,InpOverride!J23)</f>
        <v>0</v>
      </c>
      <c r="K23" s="271">
        <f>IF(InpOverride!K23="",F_Inputs!K23,InpOverride!K23)</f>
        <v>0</v>
      </c>
      <c r="L23" s="271">
        <f>IF(InpOverride!L23="",F_Inputs!L23,InpOverride!L23)</f>
        <v>0</v>
      </c>
      <c r="M23" s="271">
        <f>IF(InpOverride!M23="",F_Inputs!M23,InpOverride!M23)</f>
        <v>0</v>
      </c>
      <c r="N23" s="271">
        <f>IF(InpOverride!N23="",F_Inputs!N23,InpOverride!N23)</f>
        <v>0</v>
      </c>
      <c r="O23" s="226"/>
      <c r="P23" s="226"/>
    </row>
    <row r="24" spans="1:16">
      <c r="A24" t="str">
        <f>F_Inputs!A24</f>
        <v>AFW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71">
        <f>IF(InpOverride!J24="",F_Inputs!J24,InpOverride!J24)</f>
        <v>0</v>
      </c>
      <c r="K24" s="271">
        <f>IF(InpOverride!K24="",F_Inputs!K24,InpOverride!K24)</f>
        <v>0</v>
      </c>
      <c r="L24" s="271">
        <f>IF(InpOverride!L24="",F_Inputs!L24,InpOverride!L24)</f>
        <v>0</v>
      </c>
      <c r="M24" s="271">
        <f>IF(InpOverride!M24="",F_Inputs!M24,InpOverride!M24)</f>
        <v>0</v>
      </c>
      <c r="N24" s="271">
        <f>IF(InpOverride!N24="",F_Inputs!N24,InpOverride!N24)</f>
        <v>0</v>
      </c>
      <c r="O24" s="226"/>
      <c r="P24" s="226"/>
    </row>
    <row r="25" spans="1:16">
      <c r="A25" t="str">
        <f>F_Inputs!A25</f>
        <v>AFW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71">
        <f>IF(InpOverride!J25="",F_Inputs!J25,InpOverride!J25)</f>
        <v>0</v>
      </c>
      <c r="K25" s="271">
        <f>IF(InpOverride!K25="",F_Inputs!K25,InpOverride!K25)</f>
        <v>0</v>
      </c>
      <c r="L25" s="271">
        <f>IF(InpOverride!L25="",F_Inputs!L25,InpOverride!L25)</f>
        <v>0</v>
      </c>
      <c r="M25" s="271">
        <f>IF(InpOverride!M25="",F_Inputs!M25,InpOverride!M25)</f>
        <v>0</v>
      </c>
      <c r="N25" s="271">
        <f>IF(InpOverride!N25="",F_Inputs!N25,InpOverride!N25)</f>
        <v>0</v>
      </c>
      <c r="O25" s="226"/>
      <c r="P25" s="226"/>
    </row>
    <row r="26" spans="1:16">
      <c r="A26" t="str">
        <f>F_Inputs!A26</f>
        <v>AFW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71">
        <f>IF(InpOverride!I26="",F_Inputs!I26,InpOverride!I26)</f>
        <v>2.1339999999999999</v>
      </c>
      <c r="J26" s="226"/>
      <c r="K26" s="226"/>
      <c r="L26" s="226"/>
      <c r="M26" s="226"/>
      <c r="N26" s="226"/>
      <c r="O26" s="226"/>
      <c r="P26" s="226"/>
    </row>
    <row r="27" spans="1:16">
      <c r="A27" t="str">
        <f>F_Inputs!A27</f>
        <v>AFW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71">
        <f>IF(InpOverride!I27="",F_Inputs!I27,InpOverride!I27)</f>
        <v>0</v>
      </c>
      <c r="J27" s="226"/>
      <c r="K27" s="226"/>
      <c r="L27" s="226"/>
      <c r="M27" s="226"/>
      <c r="N27" s="226"/>
      <c r="O27" s="226"/>
      <c r="P27" s="226"/>
    </row>
    <row r="28" spans="1:16">
      <c r="A28" t="str">
        <f>F_Inputs!A28</f>
        <v>AFW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71">
        <f>IF(InpOverride!J28="",F_Inputs!J28,InpOverride!J28)</f>
        <v>0.69113999999999998</v>
      </c>
      <c r="K28" s="271">
        <f>IF(InpOverride!K28="",F_Inputs!K28,InpOverride!K28)</f>
        <v>0.67435999999999996</v>
      </c>
      <c r="L28" s="271">
        <f>IF(InpOverride!L28="",F_Inputs!L28,InpOverride!L28)</f>
        <v>0.74736000000000002</v>
      </c>
      <c r="M28" s="271">
        <f>IF(InpOverride!M28="",F_Inputs!M28,InpOverride!M28)</f>
        <v>0.81936999999999705</v>
      </c>
      <c r="N28" s="271">
        <f>IF(InpOverride!N28="",F_Inputs!N28,InpOverride!N28)</f>
        <v>0.87666999999999995</v>
      </c>
      <c r="O28" s="227"/>
      <c r="P28" s="227"/>
    </row>
    <row r="29" spans="1:16">
      <c r="A29" t="str">
        <f>F_Inputs!A29</f>
        <v>AFW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71">
        <f>IF(InpOverride!J29="",F_Inputs!J29,InpOverride!J29)</f>
        <v>0</v>
      </c>
      <c r="K29" s="271">
        <f>IF(InpOverride!K29="",F_Inputs!K29,InpOverride!K29)</f>
        <v>0</v>
      </c>
      <c r="L29" s="271">
        <f>IF(InpOverride!L29="",F_Inputs!L29,InpOverride!L29)</f>
        <v>0</v>
      </c>
      <c r="M29" s="271">
        <f>IF(InpOverride!M29="",F_Inputs!M29,InpOverride!M29)</f>
        <v>0</v>
      </c>
      <c r="N29" s="271">
        <f>IF(InpOverride!N29="",F_Inputs!N29,InpOverride!N29)</f>
        <v>0</v>
      </c>
      <c r="O29" s="227"/>
      <c r="P29" s="227"/>
    </row>
    <row r="30" spans="1:16">
      <c r="A30" t="str">
        <f>F_Inputs!A30</f>
        <v>AFW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71">
        <f>IF(InpOverride!J30="",F_Inputs!J30,InpOverride!J30)</f>
        <v>0</v>
      </c>
      <c r="K30" s="271">
        <f>IF(InpOverride!K30="",F_Inputs!K30,InpOverride!K30)</f>
        <v>7.2999999999999995E-2</v>
      </c>
      <c r="L30" s="271">
        <f>IF(InpOverride!L30="",F_Inputs!L30,InpOverride!L30)</f>
        <v>0.42899999999999999</v>
      </c>
      <c r="M30" s="271">
        <f>IF(InpOverride!M30="",F_Inputs!M30,InpOverride!M30)</f>
        <v>0</v>
      </c>
      <c r="N30" s="271">
        <f>IF(InpOverride!N30="",F_Inputs!N30,InpOverride!N30)</f>
        <v>0</v>
      </c>
      <c r="O30" s="226"/>
      <c r="P30" s="226"/>
    </row>
    <row r="31" spans="1:16">
      <c r="A31" t="str">
        <f>F_Inputs!A31</f>
        <v>AFW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71">
        <f>IF(InpOverride!J31="",F_Inputs!J31,InpOverride!J31)</f>
        <v>0</v>
      </c>
      <c r="K31" s="271">
        <f>IF(InpOverride!K31="",F_Inputs!K31,InpOverride!K31)</f>
        <v>0</v>
      </c>
      <c r="L31" s="271">
        <f>IF(InpOverride!L31="",F_Inputs!L31,InpOverride!L31)</f>
        <v>0</v>
      </c>
      <c r="M31" s="271">
        <f>IF(InpOverride!M31="",F_Inputs!M31,InpOverride!M31)</f>
        <v>0</v>
      </c>
      <c r="N31" s="271">
        <f>IF(InpOverride!N31="",F_Inputs!N31,InpOverride!N31)</f>
        <v>0</v>
      </c>
      <c r="O31" s="226"/>
      <c r="P31" s="226"/>
    </row>
    <row r="32" spans="1:16">
      <c r="A32" t="str">
        <f>F_Inputs!A32</f>
        <v>AFW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71">
        <f>IF(InpOverride!J32="",F_Inputs!J32,InpOverride!J32)</f>
        <v>0</v>
      </c>
      <c r="K32" s="271">
        <f>IF(InpOverride!K32="",F_Inputs!K32,InpOverride!K32)</f>
        <v>0</v>
      </c>
      <c r="L32" s="271">
        <f>IF(InpOverride!L32="",F_Inputs!L32,InpOverride!L32)</f>
        <v>0</v>
      </c>
      <c r="M32" s="271">
        <f>IF(InpOverride!M32="",F_Inputs!M32,InpOverride!M32)</f>
        <v>0</v>
      </c>
      <c r="N32" s="271">
        <f>IF(InpOverride!N32="",F_Inputs!N32,InpOverride!N32)</f>
        <v>0</v>
      </c>
      <c r="O32" s="226"/>
      <c r="P32" s="226"/>
    </row>
    <row r="33" spans="1:16">
      <c r="A33" t="str">
        <f>F_Inputs!A33</f>
        <v>AFW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71">
        <f>IF(InpOverride!J33="",F_Inputs!J33,InpOverride!J33)</f>
        <v>0</v>
      </c>
      <c r="K33" s="271">
        <f>IF(InpOverride!K33="",F_Inputs!K33,InpOverride!K33)</f>
        <v>0</v>
      </c>
      <c r="L33" s="271">
        <f>IF(InpOverride!L33="",F_Inputs!L33,InpOverride!L33)</f>
        <v>0</v>
      </c>
      <c r="M33" s="271">
        <f>IF(InpOverride!M33="",F_Inputs!M33,InpOverride!M33)</f>
        <v>0</v>
      </c>
      <c r="N33" s="271">
        <f>IF(InpOverride!N33="",F_Inputs!N33,InpOverride!N33)</f>
        <v>0</v>
      </c>
      <c r="O33" s="226"/>
      <c r="P33" s="226"/>
    </row>
    <row r="34" spans="1:16">
      <c r="A34" t="str">
        <f>F_Inputs!A34</f>
        <v>AFW</v>
      </c>
      <c r="B34" t="s">
        <v>442</v>
      </c>
      <c r="C34" t="s">
        <v>454</v>
      </c>
      <c r="D34" t="s">
        <v>419</v>
      </c>
      <c r="E34" t="s">
        <v>404</v>
      </c>
      <c r="F34" s="271">
        <f>IF(InpOverride!F34="",F_Inputs!F34,InpOverride!F34)</f>
        <v>234.4</v>
      </c>
      <c r="G34" s="271">
        <f>IF(InpOverride!G34="",F_Inputs!G34,InpOverride!G34)</f>
        <v>242.5</v>
      </c>
      <c r="H34" s="271">
        <f>IF(InpOverride!H34="",F_Inputs!H34,InpOverride!H34)</f>
        <v>249.5</v>
      </c>
      <c r="I34" s="271">
        <f>IF(InpOverride!I34="",F_Inputs!I34,InpOverride!I34)</f>
        <v>255.7</v>
      </c>
      <c r="J34" s="271">
        <f>IF(InpOverride!J34="",F_Inputs!J34,InpOverride!J34)</f>
        <v>258</v>
      </c>
      <c r="K34" s="271">
        <f>IF(InpOverride!K34="",F_Inputs!K34,InpOverride!K34)</f>
        <v>261.39999999999998</v>
      </c>
      <c r="L34" s="271">
        <f>IF(InpOverride!L34="",F_Inputs!L34,InpOverride!L34)</f>
        <v>270.60000000000002</v>
      </c>
      <c r="M34" s="271">
        <f>IF(InpOverride!M34="",F_Inputs!M34,InpOverride!M34)</f>
        <v>279.7</v>
      </c>
      <c r="N34" s="271">
        <f>IF(InpOverride!N34="",F_Inputs!N34,InpOverride!N34)</f>
        <v>288.10000000000002</v>
      </c>
      <c r="O34" s="271">
        <f>IF(InpOverride!O34="",F_Inputs!O34,InpOverride!O34)</f>
        <v>296.7</v>
      </c>
      <c r="P34" s="229"/>
    </row>
    <row r="35" spans="1:16">
      <c r="A35" t="str">
        <f>F_Inputs!A35</f>
        <v>AFW</v>
      </c>
      <c r="B35" t="s">
        <v>443</v>
      </c>
      <c r="C35" t="s">
        <v>455</v>
      </c>
      <c r="D35" t="s">
        <v>419</v>
      </c>
      <c r="E35" t="s">
        <v>404</v>
      </c>
      <c r="F35" s="271">
        <f>IF(InpOverride!F35="",F_Inputs!F35,InpOverride!F35)</f>
        <v>235.2</v>
      </c>
      <c r="G35" s="271">
        <f>IF(InpOverride!G35="",F_Inputs!G35,InpOverride!G35)</f>
        <v>242.4</v>
      </c>
      <c r="H35" s="271">
        <f>IF(InpOverride!H35="",F_Inputs!H35,InpOverride!H35)</f>
        <v>250</v>
      </c>
      <c r="I35" s="271">
        <f>IF(InpOverride!I35="",F_Inputs!I35,InpOverride!I35)</f>
        <v>255.9</v>
      </c>
      <c r="J35" s="271">
        <f>IF(InpOverride!J35="",F_Inputs!J35,InpOverride!J35)</f>
        <v>258.5</v>
      </c>
      <c r="K35" s="271">
        <f>IF(InpOverride!K35="",F_Inputs!K35,InpOverride!K35)</f>
        <v>262.10000000000002</v>
      </c>
      <c r="L35" s="271">
        <f>IF(InpOverride!L35="",F_Inputs!L35,InpOverride!L35)</f>
        <v>271.7</v>
      </c>
      <c r="M35" s="271">
        <f>IF(InpOverride!M35="",F_Inputs!M35,InpOverride!M35)</f>
        <v>280.7</v>
      </c>
      <c r="N35" s="271">
        <f>IF(InpOverride!N35="",F_Inputs!N35,InpOverride!N35)</f>
        <v>289.10000000000002</v>
      </c>
      <c r="O35" s="271">
        <f>IF(InpOverride!O35="",F_Inputs!O35,InpOverride!O35)</f>
        <v>297.8</v>
      </c>
      <c r="P35" s="229"/>
    </row>
    <row r="36" spans="1:16">
      <c r="A36" t="str">
        <f>F_Inputs!A36</f>
        <v>AFW</v>
      </c>
      <c r="B36" t="s">
        <v>444</v>
      </c>
      <c r="C36" t="s">
        <v>456</v>
      </c>
      <c r="D36" t="s">
        <v>419</v>
      </c>
      <c r="E36" t="s">
        <v>404</v>
      </c>
      <c r="F36" s="271">
        <f>IF(InpOverride!F36="",F_Inputs!F36,InpOverride!F36)</f>
        <v>235.2</v>
      </c>
      <c r="G36" s="271">
        <f>IF(InpOverride!G36="",F_Inputs!G36,InpOverride!G36)</f>
        <v>241.8</v>
      </c>
      <c r="H36" s="271">
        <f>IF(InpOverride!H36="",F_Inputs!H36,InpOverride!H36)</f>
        <v>249.7</v>
      </c>
      <c r="I36" s="271">
        <f>IF(InpOverride!I36="",F_Inputs!I36,InpOverride!I36)</f>
        <v>256.3</v>
      </c>
      <c r="J36" s="271">
        <f>IF(InpOverride!J36="",F_Inputs!J36,InpOverride!J36)</f>
        <v>258.89999999999998</v>
      </c>
      <c r="K36" s="271">
        <f>IF(InpOverride!K36="",F_Inputs!K36,InpOverride!K36)</f>
        <v>263.10000000000002</v>
      </c>
      <c r="L36" s="271">
        <f>IF(InpOverride!L36="",F_Inputs!L36,InpOverride!L36)</f>
        <v>272.3</v>
      </c>
      <c r="M36" s="271">
        <f>IF(InpOverride!M36="",F_Inputs!M36,InpOverride!M36)</f>
        <v>281.5</v>
      </c>
      <c r="N36" s="271">
        <f>IF(InpOverride!N36="",F_Inputs!N36,InpOverride!N36)</f>
        <v>289.89999999999998</v>
      </c>
      <c r="O36" s="271">
        <f>IF(InpOverride!O36="",F_Inputs!O36,InpOverride!O36)</f>
        <v>298.60000000000002</v>
      </c>
      <c r="P36" s="229"/>
    </row>
    <row r="37" spans="1:16">
      <c r="A37" t="str">
        <f>F_Inputs!A37</f>
        <v>AFW</v>
      </c>
      <c r="B37" t="s">
        <v>445</v>
      </c>
      <c r="C37" t="s">
        <v>457</v>
      </c>
      <c r="D37" t="s">
        <v>419</v>
      </c>
      <c r="E37" t="s">
        <v>404</v>
      </c>
      <c r="F37" s="271">
        <f>IF(InpOverride!F37="",F_Inputs!F37,InpOverride!F37)</f>
        <v>234.7</v>
      </c>
      <c r="G37" s="271">
        <f>IF(InpOverride!G37="",F_Inputs!G37,InpOverride!G37)</f>
        <v>242.1</v>
      </c>
      <c r="H37" s="271">
        <f>IF(InpOverride!H37="",F_Inputs!H37,InpOverride!H37)</f>
        <v>249.7</v>
      </c>
      <c r="I37" s="271">
        <f>IF(InpOverride!I37="",F_Inputs!I37,InpOverride!I37)</f>
        <v>256</v>
      </c>
      <c r="J37" s="271">
        <f>IF(InpOverride!J37="",F_Inputs!J37,InpOverride!J37)</f>
        <v>258.60000000000002</v>
      </c>
      <c r="K37" s="271">
        <f>IF(InpOverride!K37="",F_Inputs!K37,InpOverride!K37)</f>
        <v>263.39999999999998</v>
      </c>
      <c r="L37" s="271">
        <f>IF(InpOverride!L37="",F_Inputs!L37,InpOverride!L37)</f>
        <v>272.89999999999998</v>
      </c>
      <c r="M37" s="271">
        <f>IF(InpOverride!M37="",F_Inputs!M37,InpOverride!M37)</f>
        <v>281.7</v>
      </c>
      <c r="N37" s="271">
        <f>IF(InpOverride!N37="",F_Inputs!N37,InpOverride!N37)</f>
        <v>290.2</v>
      </c>
      <c r="O37" s="271">
        <f>IF(InpOverride!O37="",F_Inputs!O37,InpOverride!O37)</f>
        <v>298.89999999999998</v>
      </c>
      <c r="P37" s="229"/>
    </row>
    <row r="38" spans="1:16">
      <c r="A38" t="str">
        <f>F_Inputs!A38</f>
        <v>AFW</v>
      </c>
      <c r="B38" t="s">
        <v>446</v>
      </c>
      <c r="C38" t="s">
        <v>439</v>
      </c>
      <c r="D38" t="s">
        <v>419</v>
      </c>
      <c r="E38" t="s">
        <v>404</v>
      </c>
      <c r="F38" s="271">
        <f>IF(InpOverride!F38="",F_Inputs!F38,InpOverride!F38)</f>
        <v>236.1</v>
      </c>
      <c r="G38" s="271">
        <f>IF(InpOverride!G38="",F_Inputs!G38,InpOverride!G38)</f>
        <v>243</v>
      </c>
      <c r="H38" s="271">
        <f>IF(InpOverride!H38="",F_Inputs!H38,InpOverride!H38)</f>
        <v>251</v>
      </c>
      <c r="I38" s="271">
        <f>IF(InpOverride!I38="",F_Inputs!I38,InpOverride!I38)</f>
        <v>257</v>
      </c>
      <c r="J38" s="271">
        <f>IF(InpOverride!J38="",F_Inputs!J38,InpOverride!J38)</f>
        <v>259.8</v>
      </c>
      <c r="K38" s="271">
        <f>IF(InpOverride!K38="",F_Inputs!K38,InpOverride!K38)</f>
        <v>264.39999999999998</v>
      </c>
      <c r="L38" s="271">
        <f>IF(InpOverride!L38="",F_Inputs!L38,InpOverride!L38)</f>
        <v>274.7</v>
      </c>
      <c r="M38" s="271">
        <f>IF(InpOverride!M38="",F_Inputs!M38,InpOverride!M38)</f>
        <v>284.2</v>
      </c>
      <c r="N38" s="271">
        <f>IF(InpOverride!N38="",F_Inputs!N38,InpOverride!N38)</f>
        <v>292.7</v>
      </c>
      <c r="O38" s="271">
        <f>IF(InpOverride!O38="",F_Inputs!O38,InpOverride!O38)</f>
        <v>301.5</v>
      </c>
      <c r="P38" s="229"/>
    </row>
    <row r="39" spans="1:16">
      <c r="A39" t="str">
        <f>F_Inputs!A39</f>
        <v>AFW</v>
      </c>
      <c r="B39" t="s">
        <v>447</v>
      </c>
      <c r="C39" t="s">
        <v>440</v>
      </c>
      <c r="D39" t="s">
        <v>419</v>
      </c>
      <c r="E39" t="s">
        <v>404</v>
      </c>
      <c r="F39" s="271">
        <f>IF(InpOverride!F39="",F_Inputs!F39,InpOverride!F39)</f>
        <v>237.9</v>
      </c>
      <c r="G39" s="271">
        <f>IF(InpOverride!G39="",F_Inputs!G39,InpOverride!G39)</f>
        <v>244.2</v>
      </c>
      <c r="H39" s="271">
        <f>IF(InpOverride!H39="",F_Inputs!H39,InpOverride!H39)</f>
        <v>251.9</v>
      </c>
      <c r="I39" s="271">
        <f>IF(InpOverride!I39="",F_Inputs!I39,InpOverride!I39)</f>
        <v>257.60000000000002</v>
      </c>
      <c r="J39" s="271">
        <f>IF(InpOverride!J39="",F_Inputs!J39,InpOverride!J39)</f>
        <v>259.60000000000002</v>
      </c>
      <c r="K39" s="271">
        <f>IF(InpOverride!K39="",F_Inputs!K39,InpOverride!K39)</f>
        <v>264.89999999999998</v>
      </c>
      <c r="L39" s="271">
        <f>IF(InpOverride!L39="",F_Inputs!L39,InpOverride!L39)</f>
        <v>275.10000000000002</v>
      </c>
      <c r="M39" s="271">
        <f>IF(InpOverride!M39="",F_Inputs!M39,InpOverride!M39)</f>
        <v>284.10000000000002</v>
      </c>
      <c r="N39" s="271">
        <f>IF(InpOverride!N39="",F_Inputs!N39,InpOverride!N39)</f>
        <v>292.60000000000002</v>
      </c>
      <c r="O39" s="271">
        <f>IF(InpOverride!O39="",F_Inputs!O39,InpOverride!O39)</f>
        <v>301.39999999999998</v>
      </c>
      <c r="P39" s="229"/>
    </row>
    <row r="40" spans="1:16">
      <c r="A40" t="str">
        <f>F_Inputs!A40</f>
        <v>AFW</v>
      </c>
      <c r="B40" t="s">
        <v>448</v>
      </c>
      <c r="C40" t="s">
        <v>441</v>
      </c>
      <c r="D40" t="s">
        <v>419</v>
      </c>
      <c r="E40" t="s">
        <v>404</v>
      </c>
      <c r="F40" s="271">
        <f>IF(InpOverride!F40="",F_Inputs!F40,InpOverride!F40)</f>
        <v>238</v>
      </c>
      <c r="G40" s="271">
        <f>IF(InpOverride!G40="",F_Inputs!G40,InpOverride!G40)</f>
        <v>245.6</v>
      </c>
      <c r="H40" s="271">
        <f>IF(InpOverride!H40="",F_Inputs!H40,InpOverride!H40)</f>
        <v>251.9</v>
      </c>
      <c r="I40" s="271">
        <f>IF(InpOverride!I40="",F_Inputs!I40,InpOverride!I40)</f>
        <v>257.7</v>
      </c>
      <c r="J40" s="271">
        <f>IF(InpOverride!J40="",F_Inputs!J40,InpOverride!J40)</f>
        <v>259.5</v>
      </c>
      <c r="K40" s="271">
        <f>IF(InpOverride!K40="",F_Inputs!K40,InpOverride!K40)</f>
        <v>264.8</v>
      </c>
      <c r="L40" s="271">
        <f>IF(InpOverride!L40="",F_Inputs!L40,InpOverride!L40)</f>
        <v>275.3</v>
      </c>
      <c r="M40" s="271">
        <f>IF(InpOverride!M40="",F_Inputs!M40,InpOverride!M40)</f>
        <v>284.5</v>
      </c>
      <c r="N40" s="271">
        <f>IF(InpOverride!N40="",F_Inputs!N40,InpOverride!N40)</f>
        <v>293</v>
      </c>
      <c r="O40" s="271">
        <f>IF(InpOverride!O40="",F_Inputs!O40,InpOverride!O40)</f>
        <v>301.8</v>
      </c>
      <c r="P40" s="229"/>
    </row>
    <row r="41" spans="1:16">
      <c r="A41" t="str">
        <f>F_Inputs!A41</f>
        <v>AFW</v>
      </c>
      <c r="B41" t="s">
        <v>449</v>
      </c>
      <c r="C41" t="s">
        <v>458</v>
      </c>
      <c r="D41" t="s">
        <v>419</v>
      </c>
      <c r="E41" t="s">
        <v>404</v>
      </c>
      <c r="F41" s="271">
        <f>IF(InpOverride!F41="",F_Inputs!F41,InpOverride!F41)</f>
        <v>238.5</v>
      </c>
      <c r="G41" s="271">
        <f>IF(InpOverride!G41="",F_Inputs!G41,InpOverride!G41)</f>
        <v>245.6</v>
      </c>
      <c r="H41" s="271">
        <f>IF(InpOverride!H41="",F_Inputs!H41,InpOverride!H41)</f>
        <v>252.1</v>
      </c>
      <c r="I41" s="271">
        <f>IF(InpOverride!I41="",F_Inputs!I41,InpOverride!I41)</f>
        <v>257.10000000000002</v>
      </c>
      <c r="J41" s="271">
        <f>IF(InpOverride!J41="",F_Inputs!J41,InpOverride!J41)</f>
        <v>259.8</v>
      </c>
      <c r="K41" s="271">
        <f>IF(InpOverride!K41="",F_Inputs!K41,InpOverride!K41)</f>
        <v>265.5</v>
      </c>
      <c r="L41" s="271">
        <f>IF(InpOverride!L41="",F_Inputs!L41,InpOverride!L41)</f>
        <v>275.8</v>
      </c>
      <c r="M41" s="271">
        <f>IF(InpOverride!M41="",F_Inputs!M41,InpOverride!M41)</f>
        <v>284.60000000000002</v>
      </c>
      <c r="N41" s="271">
        <f>IF(InpOverride!N41="",F_Inputs!N41,InpOverride!N41)</f>
        <v>293.10000000000002</v>
      </c>
      <c r="O41" s="271">
        <f>IF(InpOverride!O41="",F_Inputs!O41,InpOverride!O41)</f>
        <v>301.89999999999998</v>
      </c>
      <c r="P41" s="229"/>
    </row>
    <row r="42" spans="1:16">
      <c r="A42" t="str">
        <f>F_Inputs!A42</f>
        <v>AFW</v>
      </c>
      <c r="B42" t="s">
        <v>450</v>
      </c>
      <c r="C42" t="s">
        <v>459</v>
      </c>
      <c r="D42" t="s">
        <v>419</v>
      </c>
      <c r="E42" t="s">
        <v>404</v>
      </c>
      <c r="F42" s="271">
        <f>IF(InpOverride!F42="",F_Inputs!F42,InpOverride!F42)</f>
        <v>239.4</v>
      </c>
      <c r="G42" s="271">
        <f>IF(InpOverride!G42="",F_Inputs!G42,InpOverride!G42)</f>
        <v>246.8</v>
      </c>
      <c r="H42" s="271">
        <f>IF(InpOverride!H42="",F_Inputs!H42,InpOverride!H42)</f>
        <v>253.4</v>
      </c>
      <c r="I42" s="271">
        <f>IF(InpOverride!I42="",F_Inputs!I42,InpOverride!I42)</f>
        <v>257.5</v>
      </c>
      <c r="J42" s="271">
        <f>IF(InpOverride!J42="",F_Inputs!J42,InpOverride!J42)</f>
        <v>260.60000000000002</v>
      </c>
      <c r="K42" s="271">
        <f>IF(InpOverride!K42="",F_Inputs!K42,InpOverride!K42)</f>
        <v>267.10000000000002</v>
      </c>
      <c r="L42" s="271">
        <f>IF(InpOverride!L42="",F_Inputs!L42,InpOverride!L42)</f>
        <v>278.10000000000002</v>
      </c>
      <c r="M42" s="271">
        <f>IF(InpOverride!M42="",F_Inputs!M42,InpOverride!M42)</f>
        <v>285.60000000000002</v>
      </c>
      <c r="N42" s="271">
        <f>IF(InpOverride!N42="",F_Inputs!N42,InpOverride!N42)</f>
        <v>294.2</v>
      </c>
      <c r="O42" s="271">
        <f>IF(InpOverride!O42="",F_Inputs!O42,InpOverride!O42)</f>
        <v>303</v>
      </c>
      <c r="P42" s="229"/>
    </row>
    <row r="43" spans="1:16">
      <c r="A43" t="str">
        <f>F_Inputs!A43</f>
        <v>AFW</v>
      </c>
      <c r="B43" t="s">
        <v>451</v>
      </c>
      <c r="C43" t="s">
        <v>460</v>
      </c>
      <c r="D43" t="s">
        <v>419</v>
      </c>
      <c r="E43" t="s">
        <v>404</v>
      </c>
      <c r="F43" s="271">
        <f>IF(InpOverride!F43="",F_Inputs!F43,InpOverride!F43)</f>
        <v>238</v>
      </c>
      <c r="G43" s="271">
        <f>IF(InpOverride!G43="",F_Inputs!G43,InpOverride!G43)</f>
        <v>245.8</v>
      </c>
      <c r="H43" s="271">
        <f>IF(InpOverride!H43="",F_Inputs!H43,InpOverride!H43)</f>
        <v>252.6</v>
      </c>
      <c r="I43" s="271">
        <f>IF(InpOverride!I43="",F_Inputs!I43,InpOverride!I43)</f>
        <v>255.4</v>
      </c>
      <c r="J43" s="271">
        <f>IF(InpOverride!J43="",F_Inputs!J43,InpOverride!J43)</f>
        <v>258.8</v>
      </c>
      <c r="K43" s="271">
        <f>IF(InpOverride!K43="",F_Inputs!K43,InpOverride!K43)</f>
        <v>265.5</v>
      </c>
      <c r="L43" s="271">
        <f>IF(InpOverride!L43="",F_Inputs!L43,InpOverride!L43)</f>
        <v>276</v>
      </c>
      <c r="M43" s="271">
        <f>IF(InpOverride!M43="",F_Inputs!M43,InpOverride!M43)</f>
        <v>283</v>
      </c>
      <c r="N43" s="271">
        <f>IF(InpOverride!N43="",F_Inputs!N43,InpOverride!N43)</f>
        <v>291.5</v>
      </c>
      <c r="O43" s="271">
        <f>IF(InpOverride!O43="",F_Inputs!O43,InpOverride!O43)</f>
        <v>300.2</v>
      </c>
      <c r="P43" s="229"/>
    </row>
    <row r="44" spans="1:16">
      <c r="A44" t="str">
        <f>F_Inputs!A44</f>
        <v>AFW</v>
      </c>
      <c r="B44" t="s">
        <v>452</v>
      </c>
      <c r="C44" t="s">
        <v>461</v>
      </c>
      <c r="D44" t="s">
        <v>419</v>
      </c>
      <c r="E44" t="s">
        <v>404</v>
      </c>
      <c r="F44" s="271">
        <f>IF(InpOverride!F44="",F_Inputs!F44,InpOverride!F44)</f>
        <v>239.9</v>
      </c>
      <c r="G44" s="271">
        <f>IF(InpOverride!G44="",F_Inputs!G44,InpOverride!G44)</f>
        <v>247.6</v>
      </c>
      <c r="H44" s="271">
        <f>IF(InpOverride!H44="",F_Inputs!H44,InpOverride!H44)</f>
        <v>254.2</v>
      </c>
      <c r="I44" s="271">
        <f>IF(InpOverride!I44="",F_Inputs!I44,InpOverride!I44)</f>
        <v>256.7</v>
      </c>
      <c r="J44" s="271">
        <f>IF(InpOverride!J44="",F_Inputs!J44,InpOverride!J44)</f>
        <v>260</v>
      </c>
      <c r="K44" s="271">
        <f>IF(InpOverride!K44="",F_Inputs!K44,InpOverride!K44)</f>
        <v>268.39999999999998</v>
      </c>
      <c r="L44" s="271">
        <f>IF(InpOverride!L44="",F_Inputs!L44,InpOverride!L44)</f>
        <v>278.10000000000002</v>
      </c>
      <c r="M44" s="271">
        <f>IF(InpOverride!M44="",F_Inputs!M44,InpOverride!M44)</f>
        <v>286.39999999999998</v>
      </c>
      <c r="N44" s="271">
        <f>IF(InpOverride!N44="",F_Inputs!N44,InpOverride!N44)</f>
        <v>295</v>
      </c>
      <c r="O44" s="271">
        <f>IF(InpOverride!O44="",F_Inputs!O44,InpOverride!O44)</f>
        <v>303.89999999999998</v>
      </c>
      <c r="P44" s="229"/>
    </row>
    <row r="45" spans="1:16">
      <c r="A45" t="str">
        <f>F_Inputs!A45</f>
        <v>AFW</v>
      </c>
      <c r="B45" t="s">
        <v>453</v>
      </c>
      <c r="C45" t="s">
        <v>462</v>
      </c>
      <c r="D45" t="s">
        <v>419</v>
      </c>
      <c r="E45" t="s">
        <v>404</v>
      </c>
      <c r="F45" s="271">
        <f>IF(InpOverride!F45="",F_Inputs!F45,InpOverride!F45)</f>
        <v>240.8</v>
      </c>
      <c r="G45" s="271">
        <f>IF(InpOverride!G45="",F_Inputs!G45,InpOverride!G45)</f>
        <v>248.7</v>
      </c>
      <c r="H45" s="271">
        <f>IF(InpOverride!H45="",F_Inputs!H45,InpOverride!H45)</f>
        <v>254.8</v>
      </c>
      <c r="I45" s="271">
        <f>IF(InpOverride!I45="",F_Inputs!I45,InpOverride!I45)</f>
        <v>257.10000000000002</v>
      </c>
      <c r="J45" s="271">
        <f>IF(InpOverride!J45="",F_Inputs!J45,InpOverride!J45)</f>
        <v>261.10000000000002</v>
      </c>
      <c r="K45" s="271">
        <f>IF(InpOverride!K45="",F_Inputs!K45,InpOverride!K45)</f>
        <v>269.3</v>
      </c>
      <c r="L45" s="271">
        <f>IF(InpOverride!L45="",F_Inputs!L45,InpOverride!L45)</f>
        <v>278.3</v>
      </c>
      <c r="M45" s="271">
        <f>IF(InpOverride!M45="",F_Inputs!M45,InpOverride!M45)</f>
        <v>286.60000000000002</v>
      </c>
      <c r="N45" s="271">
        <f>IF(InpOverride!N45="",F_Inputs!N45,InpOverride!N45)</f>
        <v>295.2</v>
      </c>
      <c r="O45" s="271">
        <f>IF(InpOverride!O45="",F_Inputs!O45,InpOverride!O45)</f>
        <v>304.10000000000002</v>
      </c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890625" defaultRowHeight="14.35"/>
  <cols>
    <col min="1" max="1" width="8.87890625" style="262" bestFit="1" customWidth="1"/>
    <col min="2" max="2" width="20.64453125" style="262" customWidth="1"/>
    <col min="3" max="3" width="21.9375" style="262" customWidth="1"/>
    <col min="4" max="4" width="3.234375" style="262" customWidth="1"/>
    <col min="5" max="5" width="15.234375" style="262" customWidth="1"/>
    <col min="6" max="6" width="7.3515625" style="262" customWidth="1"/>
    <col min="7" max="7" width="14.05859375" style="262" customWidth="1"/>
    <col min="8" max="16384" width="8.87890625" style="262"/>
  </cols>
  <sheetData>
    <row r="1" spans="1:7">
      <c r="C1" s="262" t="s">
        <v>474</v>
      </c>
    </row>
    <row r="2" spans="1:7">
      <c r="A2" s="262" t="s">
        <v>372</v>
      </c>
      <c r="B2" s="262" t="s">
        <v>373</v>
      </c>
      <c r="C2" s="262" t="s">
        <v>374</v>
      </c>
      <c r="D2" s="262" t="s">
        <v>375</v>
      </c>
      <c r="E2" s="262" t="s">
        <v>376</v>
      </c>
      <c r="F2" s="263" t="s">
        <v>366</v>
      </c>
      <c r="G2" s="263" t="s">
        <v>434</v>
      </c>
    </row>
    <row r="4" spans="1:7">
      <c r="B4" s="262" t="s">
        <v>435</v>
      </c>
      <c r="C4" s="91" t="s">
        <v>306</v>
      </c>
      <c r="D4" s="262" t="s">
        <v>381</v>
      </c>
      <c r="E4" s="262" t="s">
        <v>404</v>
      </c>
      <c r="F4" s="276"/>
      <c r="G4" s="277">
        <f>'Totex menu adjustments'!P11</f>
        <v>-0.44597025769003906</v>
      </c>
    </row>
    <row r="5" spans="1:7">
      <c r="B5" s="262" t="s">
        <v>437</v>
      </c>
      <c r="C5" s="91" t="s">
        <v>307</v>
      </c>
      <c r="D5" s="262" t="s">
        <v>381</v>
      </c>
      <c r="E5" s="262" t="s">
        <v>404</v>
      </c>
      <c r="F5" s="277"/>
      <c r="G5" s="277">
        <f>'Totex menu adjustments'!P12</f>
        <v>0</v>
      </c>
    </row>
    <row r="6" spans="1:7">
      <c r="B6" s="262" t="s">
        <v>463</v>
      </c>
      <c r="C6" s="264" t="s">
        <v>464</v>
      </c>
      <c r="D6" s="262" t="s">
        <v>381</v>
      </c>
      <c r="E6" s="262" t="s">
        <v>404</v>
      </c>
      <c r="F6" s="277"/>
      <c r="G6" s="277">
        <f>'Totex menu adjustments'!P14</f>
        <v>-0.44597025769003906</v>
      </c>
    </row>
    <row r="7" spans="1:7">
      <c r="B7" s="262" t="s">
        <v>436</v>
      </c>
      <c r="C7" s="91" t="s">
        <v>309</v>
      </c>
      <c r="D7" s="262" t="s">
        <v>381</v>
      </c>
      <c r="E7" s="262" t="s">
        <v>404</v>
      </c>
      <c r="F7" s="277">
        <f>'Totex menu adjustments'!P18</f>
        <v>2.8988558275971101</v>
      </c>
      <c r="G7" s="277"/>
    </row>
    <row r="8" spans="1:7">
      <c r="B8" s="262" t="s">
        <v>438</v>
      </c>
      <c r="C8" s="91" t="s">
        <v>310</v>
      </c>
      <c r="D8" s="262" t="s">
        <v>381</v>
      </c>
      <c r="E8" s="262" t="s">
        <v>404</v>
      </c>
      <c r="F8" s="277">
        <f>'Totex menu adjustments'!P19</f>
        <v>0</v>
      </c>
      <c r="G8" s="277"/>
    </row>
    <row r="9" spans="1:7">
      <c r="B9" s="262" t="s">
        <v>465</v>
      </c>
      <c r="C9" s="264" t="s">
        <v>466</v>
      </c>
      <c r="D9" s="262" t="s">
        <v>381</v>
      </c>
      <c r="E9" s="262" t="s">
        <v>404</v>
      </c>
      <c r="F9" s="277">
        <f>'Totex menu adjustments'!P21</f>
        <v>2.8988558275971101</v>
      </c>
      <c r="G9" s="277"/>
    </row>
    <row r="10" spans="1:7">
      <c r="B10" s="268" t="s">
        <v>467</v>
      </c>
      <c r="C10" s="268" t="s">
        <v>469</v>
      </c>
      <c r="D10" s="265" t="s">
        <v>6</v>
      </c>
      <c r="E10" s="267" t="s">
        <v>404</v>
      </c>
      <c r="F10" s="266" t="str">
        <f ca="1">CONCATENATE("[…]", TEXT(NOW(),"dd/mm/yyy hh:mm:ss"))</f>
        <v>[…]03/07/2019 17:46:20</v>
      </c>
      <c r="G10" s="266" t="str">
        <f ca="1">CONCATENATE("[…]", TEXT(NOW(),"dd/mm/yyy hh:mm:ss"))</f>
        <v>[…]03/07/2019 17:46:20</v>
      </c>
    </row>
    <row r="11" spans="1:7">
      <c r="B11" s="268" t="s">
        <v>468</v>
      </c>
      <c r="C11" s="268" t="s">
        <v>470</v>
      </c>
      <c r="D11" s="265" t="s">
        <v>6</v>
      </c>
      <c r="E11" s="267" t="s">
        <v>404</v>
      </c>
      <c r="F11" s="269" t="str">
        <f ca="1">MID(CELL("filename",F1),SEARCH("[",CELL("filename",F1))+1,SEARCH(".",CELL("filename",F1))-1-SEARCH("[",CELL("filename",F1)))</f>
        <v>PR19PD006_AFW_ModelRun07_ST_DD</v>
      </c>
      <c r="G11" s="269" t="str">
        <f ca="1">MID(CELL("filename",F1),SEARCH("[",CELL("filename",F1))+1,SEARCH(".",CELL("filename",F1))-1-SEARCH("[",CELL("filename",F1)))</f>
        <v>PR19PD006_AFW_ModelRun07_ST_DD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pane="topRight"/>
      <selection pane="bottomLeft"/>
      <selection pane="bottomRight"/>
    </sheetView>
  </sheetViews>
  <sheetFormatPr defaultColWidth="0" defaultRowHeight="12.7" zeroHeight="1"/>
  <cols>
    <col min="1" max="3" width="3.1171875" style="30" customWidth="1"/>
    <col min="4" max="4" width="10" style="30" customWidth="1"/>
    <col min="5" max="5" width="45" style="39" customWidth="1"/>
    <col min="6" max="6" width="6" style="30" customWidth="1"/>
    <col min="7" max="7" width="10.1171875" style="30" customWidth="1"/>
    <col min="8" max="8" width="12.1171875" style="30" customWidth="1"/>
    <col min="9" max="16" width="14.5859375" style="30" customWidth="1"/>
    <col min="17" max="21" width="13.5859375" style="30" customWidth="1"/>
    <col min="22" max="22" width="10.5859375" style="45" customWidth="1"/>
    <col min="23" max="24" width="9.1171875" style="30" customWidth="1"/>
    <col min="25" max="25" width="9.1171875" style="30" hidden="1" customWidth="1"/>
    <col min="26" max="27" width="13.1171875" style="30" hidden="1" customWidth="1"/>
    <col min="28" max="16384" width="9.1171875" style="30" hidden="1"/>
  </cols>
  <sheetData>
    <row r="1" spans="1:24" s="2" customFormat="1" ht="33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83">
        <v>4</v>
      </c>
      <c r="M7" s="83">
        <v>3</v>
      </c>
      <c r="N7" s="83">
        <v>2</v>
      </c>
      <c r="O7" s="83">
        <v>1</v>
      </c>
      <c r="P7" s="83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83"/>
      <c r="M8" s="83"/>
      <c r="N8" s="83"/>
      <c r="O8" s="83"/>
      <c r="P8" s="83"/>
      <c r="Q8" s="13"/>
      <c r="R8" s="13"/>
      <c r="S8" s="13"/>
      <c r="T8" s="13"/>
      <c r="U8" s="13"/>
      <c r="V8" s="15"/>
      <c r="W8" s="15"/>
      <c r="X8" s="15"/>
    </row>
    <row r="9" spans="1:24" s="22" customFormat="1" ht="13.7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74"/>
      <c r="B11" s="13"/>
      <c r="C11" s="14"/>
      <c r="D11" s="13" t="s">
        <v>6</v>
      </c>
      <c r="E11" s="17" t="s">
        <v>7</v>
      </c>
      <c r="H11" s="23" t="str">
        <f>InpActive!A4</f>
        <v>AFW</v>
      </c>
      <c r="I11" s="150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74"/>
      <c r="B12" s="13"/>
      <c r="C12" s="14"/>
      <c r="D12" s="13" t="s">
        <v>6</v>
      </c>
      <c r="E12" s="17" t="s">
        <v>9</v>
      </c>
      <c r="H12" s="23" t="str">
        <f>IF(InpActive!P4=1,"WoC","WaSC")</f>
        <v>WoC</v>
      </c>
      <c r="I12" s="150" t="s">
        <v>10</v>
      </c>
      <c r="K12" s="24" t="b">
        <f>CompanyType="WoC"</f>
        <v>1</v>
      </c>
      <c r="M12" s="150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74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Yes</v>
      </c>
      <c r="I13" s="150" t="s">
        <v>13</v>
      </c>
      <c r="K13" s="24" t="b">
        <f>CompanyEnhanced="Yes"</f>
        <v>1</v>
      </c>
      <c r="M13" s="150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74"/>
      <c r="B15" s="13"/>
      <c r="C15" s="14"/>
      <c r="D15" s="13" t="s">
        <v>15</v>
      </c>
      <c r="E15" s="17" t="s">
        <v>16</v>
      </c>
      <c r="F15" s="13"/>
      <c r="G15" s="13"/>
      <c r="H15" s="158">
        <f>IF(CompanyName="BRL",3.67%,IF(CompanyEnhanced="Yes",3.7%,3.6%))</f>
        <v>3.7000000000000005E-2</v>
      </c>
      <c r="I15" s="150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7" s="22" customFormat="1" ht="13.7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7" s="3" customFormat="1"/>
    <row r="19" spans="1:27" s="22" customFormat="1" ht="13.7">
      <c r="A19" s="18"/>
      <c r="B19" s="19"/>
      <c r="C19" s="19"/>
      <c r="D19" s="20"/>
      <c r="E19" s="21" t="s">
        <v>19</v>
      </c>
      <c r="F19" s="16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7" s="22" customFormat="1" ht="13.7">
      <c r="A20" s="172"/>
      <c r="B20" s="172"/>
      <c r="C20" s="172"/>
      <c r="D20" s="173"/>
      <c r="E20" s="174"/>
      <c r="F20" s="175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</row>
    <row r="21" spans="1:27" s="3" customFormat="1">
      <c r="E21" s="90" t="s">
        <v>20</v>
      </c>
    </row>
    <row r="22" spans="1:27" s="193" customFormat="1">
      <c r="A22" s="274"/>
      <c r="B22" s="3"/>
      <c r="C22" s="3"/>
      <c r="D22" s="3" t="s">
        <v>21</v>
      </c>
      <c r="E22" s="3" t="s">
        <v>22</v>
      </c>
      <c r="F22" s="3"/>
      <c r="G22" s="3"/>
      <c r="H22" s="228">
        <f>InpActive!P7</f>
        <v>94.678026929837401</v>
      </c>
      <c r="I22" s="89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7" s="193" customFormat="1">
      <c r="A23" s="274"/>
      <c r="B23" s="3"/>
      <c r="C23" s="3"/>
      <c r="D23" s="3" t="s">
        <v>21</v>
      </c>
      <c r="E23" s="3" t="s">
        <v>24</v>
      </c>
      <c r="F23" s="3"/>
      <c r="G23" s="3"/>
      <c r="H23" s="228">
        <f>InpActive!P8</f>
        <v>0</v>
      </c>
      <c r="I23" s="89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s="193" customFormat="1">
      <c r="A24" s="3"/>
      <c r="B24" s="3"/>
      <c r="C24" s="3"/>
      <c r="D24" s="3"/>
      <c r="E24" s="3"/>
      <c r="F24" s="89"/>
      <c r="G24" s="89"/>
      <c r="H24" s="89"/>
      <c r="I24" s="8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s="193" customFormat="1">
      <c r="A25" s="3"/>
      <c r="B25" s="3"/>
      <c r="C25" s="3"/>
      <c r="D25" s="3"/>
      <c r="E25" s="90" t="s">
        <v>26</v>
      </c>
      <c r="F25" s="33"/>
      <c r="G25" s="3"/>
      <c r="H25" s="89"/>
      <c r="I25" s="8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s="193" customFormat="1">
      <c r="A26" s="274"/>
      <c r="B26" s="3"/>
      <c r="C26" s="3"/>
      <c r="D26" s="3" t="s">
        <v>21</v>
      </c>
      <c r="E26" s="3" t="s">
        <v>27</v>
      </c>
      <c r="F26" s="33" t="s">
        <v>28</v>
      </c>
      <c r="G26" s="3"/>
      <c r="H26" s="89"/>
      <c r="I26" s="89"/>
      <c r="J26" s="3"/>
      <c r="K26" s="3"/>
      <c r="L26" s="35">
        <f>InpActive!J5</f>
        <v>0.55000000000000004</v>
      </c>
      <c r="M26" s="35">
        <f>InpActive!K5</f>
        <v>0.55000000000000004</v>
      </c>
      <c r="N26" s="35">
        <f>InpActive!L5</f>
        <v>0.55000000000000004</v>
      </c>
      <c r="O26" s="35">
        <f>InpActive!M5</f>
        <v>0.55000000000000004</v>
      </c>
      <c r="P26" s="35">
        <f>InpActive!N5</f>
        <v>0.55000000000000004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7" s="193" customFormat="1">
      <c r="A27" s="274"/>
      <c r="B27" s="3"/>
      <c r="C27" s="3"/>
      <c r="D27" s="3" t="s">
        <v>21</v>
      </c>
      <c r="E27" s="3" t="s">
        <v>30</v>
      </c>
      <c r="F27" s="33" t="s">
        <v>28</v>
      </c>
      <c r="G27" s="3"/>
      <c r="H27" s="89"/>
      <c r="I27" s="89"/>
      <c r="J27" s="3"/>
      <c r="K27" s="3"/>
      <c r="L27" s="35">
        <f>InpActive!J6</f>
        <v>0</v>
      </c>
      <c r="M27" s="35">
        <f>InpActive!K6</f>
        <v>0</v>
      </c>
      <c r="N27" s="35">
        <f>InpActive!L6</f>
        <v>0</v>
      </c>
      <c r="O27" s="35">
        <f>InpActive!M6</f>
        <v>0</v>
      </c>
      <c r="P27" s="35">
        <f>InpActive!N6</f>
        <v>0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7" s="193" customFormat="1">
      <c r="A28" s="3"/>
      <c r="B28" s="3"/>
      <c r="C28" s="3"/>
      <c r="D28" s="3"/>
      <c r="E28" s="3"/>
      <c r="F28" s="33"/>
      <c r="G28" s="3"/>
      <c r="H28" s="89"/>
      <c r="I28" s="89"/>
      <c r="J28" s="3"/>
      <c r="K28" s="3"/>
      <c r="L28" s="209"/>
      <c r="M28" s="209"/>
      <c r="N28" s="209"/>
      <c r="O28" s="209"/>
      <c r="P28" s="209"/>
      <c r="Q28" s="59"/>
      <c r="R28" s="3"/>
      <c r="S28" s="3"/>
      <c r="T28" s="3"/>
      <c r="U28" s="3"/>
      <c r="V28" s="3"/>
      <c r="W28" s="3"/>
      <c r="X28" s="3"/>
    </row>
    <row r="29" spans="1:27" s="22" customFormat="1" ht="13.7">
      <c r="A29" s="18"/>
      <c r="B29" s="19"/>
      <c r="C29" s="19"/>
      <c r="D29" s="20"/>
      <c r="E29" s="21" t="s">
        <v>32</v>
      </c>
      <c r="F29" s="16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7" s="22" customFormat="1" ht="12.75" customHeight="1">
      <c r="A30" s="172"/>
      <c r="B30" s="172"/>
      <c r="C30" s="172"/>
      <c r="D30" s="173"/>
      <c r="E30" s="174"/>
      <c r="F30" s="175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</row>
    <row r="31" spans="1:27" s="12" customFormat="1" ht="12" customHeight="1">
      <c r="A31" s="30"/>
      <c r="B31" s="30"/>
      <c r="C31" s="31"/>
      <c r="D31" s="3"/>
      <c r="E31" s="90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  <c r="Y31" s="30"/>
      <c r="Z31" s="30"/>
      <c r="AA31" s="30"/>
    </row>
    <row r="32" spans="1:27" s="12" customFormat="1">
      <c r="A32" s="274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94.7</v>
      </c>
      <c r="I32" s="89" t="s">
        <v>35</v>
      </c>
      <c r="J32" s="30"/>
      <c r="K32" s="30"/>
      <c r="R32" s="30"/>
      <c r="S32" s="30"/>
      <c r="T32" s="30"/>
      <c r="U32" s="30"/>
      <c r="V32" s="45"/>
      <c r="W32" s="30"/>
      <c r="X32" s="30"/>
      <c r="Y32" s="30"/>
      <c r="Z32" s="30"/>
      <c r="AA32" s="30"/>
    </row>
    <row r="33" spans="1:27" s="12" customFormat="1">
      <c r="A33" s="274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0</v>
      </c>
      <c r="I33" s="89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  <c r="Y33" s="30"/>
      <c r="Z33" s="30"/>
      <c r="AA33" s="30"/>
    </row>
    <row r="34" spans="1:27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  <c r="Y34" s="30"/>
      <c r="Z34" s="30"/>
      <c r="AA34" s="30"/>
    </row>
    <row r="35" spans="1:27" s="22" customFormat="1" ht="13.7">
      <c r="A35" s="18"/>
      <c r="B35" s="19"/>
      <c r="C35" s="19"/>
      <c r="D35" s="20"/>
      <c r="E35" s="21" t="s">
        <v>38</v>
      </c>
      <c r="F35" s="16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7" s="22" customFormat="1" ht="13.7">
      <c r="A36" s="167"/>
      <c r="B36" s="168"/>
      <c r="C36" s="168"/>
      <c r="D36" s="169"/>
      <c r="E36" s="170"/>
      <c r="F36" s="171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</row>
    <row r="37" spans="1:27" s="22" customFormat="1" ht="13.7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7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  <c r="Y38" s="30"/>
      <c r="Z38" s="30"/>
      <c r="AA38" s="30"/>
    </row>
    <row r="39" spans="1:27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  <c r="Y39" s="30"/>
      <c r="Z39" s="30"/>
      <c r="AA39" s="30"/>
    </row>
    <row r="40" spans="1:27" s="12" customFormat="1">
      <c r="A40" s="274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245.099741518993</v>
      </c>
      <c r="M40" s="35">
        <f>InpActive!K14</f>
        <v>247.602907327341</v>
      </c>
      <c r="N40" s="35">
        <f>InpActive!L14</f>
        <v>215.152416025863</v>
      </c>
      <c r="O40" s="35">
        <f>InpActive!M14</f>
        <v>192.142465547792</v>
      </c>
      <c r="P40" s="35">
        <f>InpActive!N14</f>
        <v>177.39546331884401</v>
      </c>
      <c r="Q40" s="59" t="s">
        <v>43</v>
      </c>
      <c r="R40" s="34"/>
      <c r="S40" s="34"/>
      <c r="T40" s="34"/>
      <c r="U40" s="34"/>
      <c r="V40" s="37"/>
      <c r="W40" s="30"/>
      <c r="X40" s="30"/>
      <c r="Y40" s="30"/>
      <c r="Z40" s="30"/>
      <c r="AA40" s="30"/>
    </row>
    <row r="41" spans="1:27" s="12" customFormat="1">
      <c r="A41" s="274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0</v>
      </c>
      <c r="M41" s="35">
        <f>InpActive!K15</f>
        <v>0</v>
      </c>
      <c r="N41" s="35">
        <f>InpActive!L15</f>
        <v>0</v>
      </c>
      <c r="O41" s="35">
        <f>InpActive!M15</f>
        <v>0</v>
      </c>
      <c r="P41" s="35">
        <f>InpActive!N15</f>
        <v>0</v>
      </c>
      <c r="Q41" s="59" t="s">
        <v>45</v>
      </c>
      <c r="R41" s="28"/>
      <c r="S41" s="28"/>
      <c r="T41" s="28"/>
      <c r="U41" s="28"/>
      <c r="V41" s="37"/>
      <c r="W41" s="30"/>
      <c r="X41" s="30"/>
      <c r="Y41" s="30"/>
      <c r="Z41" s="30"/>
      <c r="AA41" s="30"/>
    </row>
    <row r="42" spans="1:27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  <c r="Y42" s="30"/>
      <c r="Z42" s="30"/>
      <c r="AA42" s="30"/>
    </row>
    <row r="43" spans="1:27" s="198" customFormat="1" ht="15.75" customHeight="1">
      <c r="A43" s="195"/>
      <c r="B43" s="196"/>
      <c r="C43" s="196"/>
      <c r="D43" s="197"/>
      <c r="E43" s="203" t="s">
        <v>46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</row>
    <row r="44" spans="1:27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  <c r="Y44" s="30"/>
      <c r="Z44" s="30"/>
      <c r="AA44" s="30"/>
    </row>
    <row r="45" spans="1:27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  <c r="Y45" s="30"/>
      <c r="Z45" s="30"/>
      <c r="AA45" s="30"/>
    </row>
    <row r="46" spans="1:27" s="207" customFormat="1">
      <c r="A46" s="274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8"/>
      <c r="I46" s="40"/>
      <c r="J46" s="40"/>
      <c r="K46" s="40"/>
      <c r="L46" s="35">
        <f>InpActive!J12</f>
        <v>244.183820208876</v>
      </c>
      <c r="M46" s="35">
        <f>InpActive!K12</f>
        <v>246.52068156466899</v>
      </c>
      <c r="N46" s="35">
        <f>InpActive!L12</f>
        <v>214.50194186524101</v>
      </c>
      <c r="O46" s="35">
        <f>InpActive!M12</f>
        <v>191.79813722914599</v>
      </c>
      <c r="P46" s="35">
        <f>InpActive!N12</f>
        <v>177.24734287201699</v>
      </c>
      <c r="Q46" s="59" t="s">
        <v>49</v>
      </c>
      <c r="R46" s="48"/>
      <c r="S46" s="48"/>
      <c r="T46" s="48"/>
      <c r="U46" s="25"/>
      <c r="V46" s="41"/>
      <c r="W46" s="32"/>
      <c r="X46" s="30"/>
      <c r="Y46" s="208"/>
      <c r="Z46" s="208"/>
      <c r="AA46" s="208"/>
    </row>
    <row r="47" spans="1:27" s="207" customFormat="1">
      <c r="A47" s="274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8"/>
      <c r="I47" s="40"/>
      <c r="J47" s="40"/>
      <c r="K47" s="40"/>
      <c r="L47" s="35">
        <f>InpActive!J13</f>
        <v>0</v>
      </c>
      <c r="M47" s="35">
        <f>InpActive!K13</f>
        <v>0</v>
      </c>
      <c r="N47" s="35">
        <f>InpActive!L13</f>
        <v>0</v>
      </c>
      <c r="O47" s="35">
        <f>InpActive!M13</f>
        <v>0</v>
      </c>
      <c r="P47" s="35">
        <f>InpActive!N13</f>
        <v>0</v>
      </c>
      <c r="Q47" s="59" t="s">
        <v>51</v>
      </c>
      <c r="R47" s="48"/>
      <c r="S47" s="48"/>
      <c r="T47" s="48"/>
      <c r="U47" s="25"/>
      <c r="V47" s="41"/>
      <c r="W47" s="32"/>
      <c r="X47" s="30"/>
      <c r="Y47" s="208"/>
      <c r="Z47" s="208"/>
      <c r="AA47" s="208"/>
    </row>
    <row r="48" spans="1:27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  <c r="Y48" s="30"/>
      <c r="Z48" s="30"/>
      <c r="AA48" s="30"/>
    </row>
    <row r="49" spans="1:27" s="22" customFormat="1" ht="13.7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7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  <c r="Y50" s="30"/>
      <c r="Z50" s="30"/>
      <c r="AA50" s="30"/>
    </row>
    <row r="51" spans="1:27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  <c r="Y51" s="30"/>
      <c r="Z51" s="30"/>
      <c r="AA51" s="30"/>
    </row>
    <row r="52" spans="1:27" s="12" customFormat="1">
      <c r="A52" s="274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8"/>
      <c r="I52" s="40"/>
      <c r="J52" s="40"/>
      <c r="K52" s="40"/>
      <c r="L52" s="35">
        <f>InpActive!J16</f>
        <v>229.35799999999901</v>
      </c>
      <c r="M52" s="35">
        <f>InpActive!K16</f>
        <v>268.72799999999899</v>
      </c>
      <c r="N52" s="35">
        <f>InpActive!L16</f>
        <v>255.578</v>
      </c>
      <c r="O52" s="35">
        <f>InpActive!M16</f>
        <v>244.56100000000001</v>
      </c>
      <c r="P52" s="35">
        <f>InpActive!N16</f>
        <v>234.84200000000001</v>
      </c>
      <c r="Q52" s="59" t="s">
        <v>56</v>
      </c>
      <c r="R52" s="48"/>
      <c r="S52" s="48"/>
      <c r="T52" s="48"/>
      <c r="U52" s="25"/>
      <c r="V52" s="41"/>
      <c r="W52" s="30"/>
      <c r="X52" s="30"/>
      <c r="Y52" s="30"/>
      <c r="Z52" s="30"/>
      <c r="AA52" s="30"/>
    </row>
    <row r="53" spans="1:27" s="12" customFormat="1">
      <c r="A53" s="274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8"/>
      <c r="I53" s="40"/>
      <c r="J53" s="40"/>
      <c r="K53" s="40"/>
      <c r="L53" s="35">
        <f>InpActive!J17</f>
        <v>0</v>
      </c>
      <c r="M53" s="35">
        <f>InpActive!K17</f>
        <v>0</v>
      </c>
      <c r="N53" s="35">
        <f>InpActive!L17</f>
        <v>0</v>
      </c>
      <c r="O53" s="35">
        <f>InpActive!M17</f>
        <v>0</v>
      </c>
      <c r="P53" s="35">
        <f>InpActive!N17</f>
        <v>0</v>
      </c>
      <c r="Q53" s="59" t="s">
        <v>58</v>
      </c>
      <c r="R53" s="48"/>
      <c r="S53" s="48"/>
      <c r="T53" s="48"/>
      <c r="U53" s="25"/>
      <c r="V53" s="41"/>
      <c r="W53" s="30"/>
      <c r="X53" s="30"/>
      <c r="Y53" s="30"/>
      <c r="Z53" s="30"/>
      <c r="AA53" s="30"/>
    </row>
    <row r="54" spans="1:27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205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  <c r="Y54" s="29"/>
      <c r="Z54" s="29"/>
      <c r="AA54" s="29"/>
    </row>
    <row r="55" spans="1:27" s="22" customFormat="1" ht="13.7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7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  <c r="Y56" s="30"/>
      <c r="Z56" s="30"/>
      <c r="AA56" s="30"/>
    </row>
    <row r="57" spans="1:27" s="22" customFormat="1" ht="13.7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7" s="22" customFormat="1" ht="13.7">
      <c r="A58" s="172"/>
      <c r="B58" s="172"/>
      <c r="C58" s="172"/>
      <c r="D58" s="173"/>
      <c r="E58" s="174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7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  <c r="Y59" s="30"/>
      <c r="Z59" s="30"/>
      <c r="AA59" s="30"/>
    </row>
    <row r="60" spans="1:27" s="12" customFormat="1">
      <c r="A60" s="274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2.41</v>
      </c>
      <c r="M60" s="35">
        <f>InpActive!K18</f>
        <v>2.3919999999999999</v>
      </c>
      <c r="N60" s="35">
        <f>InpActive!L18</f>
        <v>2.1219999999999999</v>
      </c>
      <c r="O60" s="35">
        <f>InpActive!M18</f>
        <v>2.169</v>
      </c>
      <c r="P60" s="35">
        <f>InpActive!N18</f>
        <v>2.2123110972315998</v>
      </c>
      <c r="Q60" s="30"/>
      <c r="R60" s="30"/>
      <c r="S60" s="30"/>
      <c r="T60" s="30"/>
      <c r="U60" s="30"/>
      <c r="V60" s="45"/>
      <c r="W60" s="30"/>
      <c r="X60" s="30"/>
      <c r="Y60" s="30"/>
      <c r="Z60" s="30"/>
      <c r="AA60" s="30"/>
    </row>
    <row r="61" spans="1:27" s="12" customFormat="1">
      <c r="A61" s="274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2.21199999999999</v>
      </c>
      <c r="M61" s="35">
        <f>InpActive!K19</f>
        <v>0.16999999999999901</v>
      </c>
      <c r="N61" s="35">
        <f>InpActive!L19</f>
        <v>-0.14599999999999999</v>
      </c>
      <c r="O61" s="35">
        <f>InpActive!M19</f>
        <v>0</v>
      </c>
      <c r="P61" s="35">
        <f>InpActive!N19</f>
        <v>0</v>
      </c>
      <c r="Q61" s="36"/>
      <c r="R61" s="30"/>
      <c r="S61" s="30"/>
      <c r="T61" s="30"/>
      <c r="U61" s="30"/>
      <c r="V61" s="45"/>
      <c r="W61" s="30"/>
      <c r="X61" s="30"/>
      <c r="Y61" s="30"/>
      <c r="Z61" s="30"/>
      <c r="AA61" s="30"/>
    </row>
    <row r="62" spans="1:27" s="12" customFormat="1">
      <c r="A62" s="274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3.76</v>
      </c>
      <c r="M62" s="35">
        <f>InpActive!K20</f>
        <v>2.1440000000000001</v>
      </c>
      <c r="N62" s="35">
        <f>InpActive!L20</f>
        <v>1.798</v>
      </c>
      <c r="O62" s="35">
        <f>InpActive!M20</f>
        <v>5.0449999999999999</v>
      </c>
      <c r="P62" s="35">
        <f>InpActive!N20</f>
        <v>0</v>
      </c>
      <c r="Q62" s="36" t="s">
        <v>65</v>
      </c>
      <c r="R62" s="30"/>
      <c r="S62" s="30"/>
      <c r="T62" s="30"/>
      <c r="U62" s="30"/>
      <c r="V62" s="45"/>
      <c r="W62" s="30"/>
      <c r="X62" s="30"/>
      <c r="Y62" s="30"/>
      <c r="Z62" s="30"/>
      <c r="AA62" s="30"/>
    </row>
    <row r="63" spans="1:27" s="12" customFormat="1">
      <c r="A63" s="274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-0.75306047477801896</v>
      </c>
      <c r="P63" s="35">
        <f>InpActive!N21</f>
        <v>8.6413187713362302E-2</v>
      </c>
      <c r="Q63" s="30"/>
      <c r="R63" s="30"/>
      <c r="S63" s="30"/>
      <c r="T63" s="30"/>
      <c r="U63" s="30"/>
      <c r="V63" s="45"/>
      <c r="W63" s="30"/>
      <c r="X63" s="30"/>
      <c r="Y63" s="30"/>
      <c r="Z63" s="30"/>
      <c r="AA63" s="30"/>
    </row>
    <row r="64" spans="1:27" s="12" customFormat="1">
      <c r="A64" s="274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30">
        <f>InpActive!J30</f>
        <v>0</v>
      </c>
      <c r="M64" s="230">
        <f>InpActive!K30</f>
        <v>7.2999999999999995E-2</v>
      </c>
      <c r="N64" s="230">
        <f>InpActive!L30</f>
        <v>0.42899999999999999</v>
      </c>
      <c r="O64" s="230">
        <f>InpActive!M30</f>
        <v>0</v>
      </c>
      <c r="P64" s="230">
        <f>InpActive!N30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  <c r="Y64" s="30"/>
      <c r="Z64" s="30"/>
      <c r="AA64" s="30"/>
    </row>
    <row r="65" spans="1:27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  <c r="Y65" s="30"/>
      <c r="Z65" s="30"/>
      <c r="AA65" s="30"/>
    </row>
    <row r="66" spans="1:27" s="12" customFormat="1">
      <c r="A66" s="274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</v>
      </c>
      <c r="M66" s="35">
        <f>InpActive!K22</f>
        <v>0</v>
      </c>
      <c r="N66" s="35">
        <f>InpActive!L22</f>
        <v>0</v>
      </c>
      <c r="O66" s="35">
        <f>InpActive!M22</f>
        <v>0</v>
      </c>
      <c r="P66" s="35">
        <f>InpActive!N22</f>
        <v>0</v>
      </c>
      <c r="Q66" s="30"/>
      <c r="R66" s="30"/>
      <c r="S66" s="30"/>
      <c r="T66" s="30"/>
      <c r="U66" s="30"/>
      <c r="V66" s="45"/>
      <c r="W66" s="30"/>
      <c r="X66" s="30"/>
      <c r="Y66" s="30"/>
      <c r="Z66" s="30"/>
      <c r="AA66" s="30"/>
    </row>
    <row r="67" spans="1:27" s="12" customFormat="1">
      <c r="A67" s="274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  <c r="Y67" s="30"/>
      <c r="Z67" s="30"/>
      <c r="AA67" s="30"/>
    </row>
    <row r="68" spans="1:27" s="12" customFormat="1">
      <c r="A68" s="274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0</v>
      </c>
      <c r="M68" s="35">
        <f>InpActive!K24</f>
        <v>0</v>
      </c>
      <c r="N68" s="35">
        <f>InpActive!L24</f>
        <v>0</v>
      </c>
      <c r="O68" s="35">
        <f>InpActive!M24</f>
        <v>0</v>
      </c>
      <c r="P68" s="35">
        <f>InpActive!N24</f>
        <v>0</v>
      </c>
      <c r="Q68" s="36" t="s">
        <v>72</v>
      </c>
      <c r="R68" s="30"/>
      <c r="S68" s="30"/>
      <c r="T68" s="30"/>
      <c r="U68" s="30"/>
      <c r="V68" s="45"/>
      <c r="W68" s="30"/>
      <c r="X68" s="30"/>
      <c r="Y68" s="30"/>
      <c r="Z68" s="30"/>
      <c r="AA68" s="30"/>
    </row>
    <row r="69" spans="1:27" s="12" customFormat="1">
      <c r="A69" s="274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  <c r="Y69" s="30"/>
      <c r="Z69" s="30"/>
      <c r="AA69" s="30"/>
    </row>
    <row r="70" spans="1:27" s="12" customFormat="1">
      <c r="A70" s="274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30">
        <f>InpActive!J31</f>
        <v>0</v>
      </c>
      <c r="M70" s="230">
        <f>InpActive!K31</f>
        <v>0</v>
      </c>
      <c r="N70" s="230">
        <f>InpActive!L31</f>
        <v>0</v>
      </c>
      <c r="O70" s="230">
        <f>InpActive!M31</f>
        <v>0</v>
      </c>
      <c r="P70" s="230">
        <f>InpActive!N31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  <c r="Y70" s="30"/>
      <c r="Z70" s="30"/>
      <c r="AA70" s="30"/>
    </row>
    <row r="71" spans="1:27" s="12" customFormat="1">
      <c r="A71" s="274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30">
        <f>InpActive!J32</f>
        <v>0</v>
      </c>
      <c r="M71" s="230">
        <f>InpActive!K32</f>
        <v>0</v>
      </c>
      <c r="N71" s="230">
        <f>InpActive!L32</f>
        <v>0</v>
      </c>
      <c r="O71" s="230">
        <f>InpActive!M32</f>
        <v>0</v>
      </c>
      <c r="P71" s="230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  <c r="Y71" s="30"/>
      <c r="Z71" s="30"/>
      <c r="AA71" s="30"/>
    </row>
    <row r="72" spans="1:27" s="12" customFormat="1">
      <c r="A72" s="274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30">
        <f>InpActive!J33</f>
        <v>0</v>
      </c>
      <c r="M72" s="230">
        <f>InpActive!K33</f>
        <v>0</v>
      </c>
      <c r="N72" s="230">
        <f>InpActive!L33</f>
        <v>0</v>
      </c>
      <c r="O72" s="230">
        <f>InpActive!M33</f>
        <v>0</v>
      </c>
      <c r="P72" s="230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  <c r="Y72" s="30"/>
      <c r="Z72" s="30"/>
      <c r="AA72" s="30"/>
    </row>
    <row r="73" spans="1:27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  <c r="Y73" s="30"/>
      <c r="Z73" s="30"/>
      <c r="AA73" s="30"/>
    </row>
    <row r="74" spans="1:27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  <c r="Y74" s="30"/>
      <c r="Z74" s="30"/>
      <c r="AA74" s="30"/>
    </row>
    <row r="75" spans="1:27" s="191" customFormat="1">
      <c r="A75" s="274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2.1339999999999999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  <c r="Y75" s="189"/>
      <c r="Z75" s="189"/>
      <c r="AA75" s="189"/>
    </row>
    <row r="76" spans="1:27" s="12" customFormat="1">
      <c r="A76" s="274"/>
      <c r="B76" s="30"/>
      <c r="C76" s="31"/>
      <c r="D76" s="30"/>
      <c r="E76" s="216"/>
      <c r="F76" s="217"/>
      <c r="G76" s="189"/>
      <c r="H76" s="189"/>
      <c r="I76" s="189"/>
      <c r="J76" s="189"/>
      <c r="K76" s="221"/>
      <c r="L76" s="218"/>
      <c r="M76" s="218"/>
      <c r="N76" s="218"/>
      <c r="O76" s="218"/>
      <c r="P76" s="218"/>
      <c r="Q76" s="36"/>
      <c r="R76" s="30"/>
      <c r="S76" s="30"/>
      <c r="T76" s="30"/>
      <c r="U76" s="30"/>
      <c r="V76" s="45"/>
      <c r="W76" s="30"/>
      <c r="X76" s="30"/>
      <c r="Y76" s="30"/>
      <c r="Z76" s="30"/>
      <c r="AA76" s="30"/>
    </row>
    <row r="77" spans="1:27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  <c r="Y77" s="30"/>
      <c r="Z77" s="30"/>
      <c r="AA77" s="30"/>
    </row>
    <row r="78" spans="1:27" s="191" customFormat="1">
      <c r="A78" s="274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0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  <c r="Y78" s="189"/>
      <c r="Z78" s="189"/>
      <c r="AA78" s="189"/>
    </row>
    <row r="79" spans="1:27" s="12" customFormat="1">
      <c r="A79" s="274"/>
      <c r="B79" s="30"/>
      <c r="C79" s="31"/>
      <c r="D79" s="30"/>
      <c r="E79" s="216"/>
      <c r="F79" s="217"/>
      <c r="G79" s="189"/>
      <c r="H79" s="189"/>
      <c r="I79" s="189"/>
      <c r="J79" s="189"/>
      <c r="K79" s="221"/>
      <c r="L79" s="218"/>
      <c r="M79" s="218"/>
      <c r="N79" s="218"/>
      <c r="O79" s="218"/>
      <c r="P79" s="218"/>
      <c r="Q79" s="36"/>
      <c r="R79" s="30"/>
      <c r="S79" s="30"/>
      <c r="T79" s="30"/>
      <c r="U79" s="30"/>
      <c r="V79" s="45"/>
      <c r="W79" s="30"/>
      <c r="X79" s="30"/>
      <c r="Y79" s="30"/>
      <c r="Z79" s="30"/>
      <c r="AA79" s="30"/>
    </row>
    <row r="80" spans="1:27" customFormat="1" ht="14.35"/>
    <row r="81" spans="1:24" s="22" customFormat="1" ht="13.7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3.7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9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115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0.55000000000000004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94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94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3.7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7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  <c r="Y113" s="30"/>
      <c r="Z113" s="30"/>
      <c r="AA113" s="30"/>
    </row>
    <row r="114" spans="1:27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  <c r="Y114" s="30"/>
      <c r="Z114" s="30"/>
      <c r="AA114" s="30"/>
    </row>
    <row r="115" spans="1:27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0.75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  <c r="Y115" s="30"/>
      <c r="Z115" s="30"/>
      <c r="AA115" s="30"/>
    </row>
    <row r="116" spans="1:27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  <c r="Y116" s="30"/>
      <c r="Z116" s="30"/>
      <c r="AA116" s="30"/>
    </row>
    <row r="117" spans="1:27" s="207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  <c r="Y117" s="208"/>
      <c r="Z117" s="208"/>
      <c r="AA117" s="208"/>
    </row>
    <row r="118" spans="1:27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  <c r="Y118" s="30"/>
      <c r="Z118" s="30"/>
      <c r="AA118" s="30"/>
    </row>
    <row r="119" spans="1:27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8.75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  <c r="Y119" s="30"/>
      <c r="Z119" s="30"/>
      <c r="AA119" s="30"/>
    </row>
    <row r="120" spans="1:27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-3.7500000000000006E-2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  <c r="Y120" s="30"/>
      <c r="Z120" s="30"/>
      <c r="AA120" s="30"/>
    </row>
    <row r="121" spans="1:27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  <c r="Y121" s="30"/>
      <c r="Z121" s="30"/>
      <c r="AA121" s="30"/>
    </row>
    <row r="122" spans="1:27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  <c r="Y122" s="30"/>
      <c r="Z122" s="30"/>
      <c r="AA122" s="30"/>
    </row>
    <row r="123" spans="1:27" s="22" customFormat="1" ht="13.7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7"/>
    <row r="125" spans="1:27">
      <c r="D125" s="30" t="s">
        <v>15</v>
      </c>
      <c r="E125" s="39" t="s">
        <v>142</v>
      </c>
      <c r="F125" s="33"/>
      <c r="L125" s="179">
        <f>InpActive!J28</f>
        <v>0.69113999999999998</v>
      </c>
      <c r="M125" s="179">
        <f>InpActive!K28</f>
        <v>0.67435999999999996</v>
      </c>
      <c r="N125" s="179">
        <f>InpActive!L28</f>
        <v>0.74736000000000002</v>
      </c>
      <c r="O125" s="179">
        <f>InpActive!M28</f>
        <v>0.81936999999999705</v>
      </c>
      <c r="P125" s="179">
        <f>InpActive!N28</f>
        <v>0.87666999999999995</v>
      </c>
      <c r="Q125" s="61" t="s">
        <v>143</v>
      </c>
    </row>
    <row r="126" spans="1:27">
      <c r="D126" s="30" t="s">
        <v>15</v>
      </c>
      <c r="E126" s="39" t="s">
        <v>144</v>
      </c>
      <c r="F126" s="33"/>
      <c r="L126" s="179">
        <f>InpActive!J29</f>
        <v>0</v>
      </c>
      <c r="M126" s="179">
        <f>InpActive!K29</f>
        <v>0</v>
      </c>
      <c r="N126" s="179">
        <f>InpActive!L29</f>
        <v>0</v>
      </c>
      <c r="O126" s="179">
        <f>InpActive!M29</f>
        <v>0</v>
      </c>
      <c r="P126" s="179">
        <f>InpActive!N29</f>
        <v>0</v>
      </c>
      <c r="Q126" s="61" t="s">
        <v>145</v>
      </c>
    </row>
    <row r="127" spans="1:27"/>
    <row r="128" spans="1:27" s="22" customFormat="1" ht="13.7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9"/>
    </row>
    <row r="131" spans="1:24">
      <c r="D131" s="3" t="s">
        <v>126</v>
      </c>
      <c r="E131" s="39" t="s">
        <v>149</v>
      </c>
      <c r="H131" s="60">
        <f>EffInc.Coeff.Water</f>
        <v>0.56059999999999999</v>
      </c>
    </row>
    <row r="132" spans="1:24" ht="12" customHeight="1">
      <c r="D132" s="30" t="s">
        <v>147</v>
      </c>
      <c r="E132" s="39" t="s">
        <v>150</v>
      </c>
      <c r="H132" s="164">
        <f>AllExp.Coeff.Water/100</f>
        <v>0.98675000000000002</v>
      </c>
    </row>
    <row r="133" spans="1:24" ht="14.35">
      <c r="E133" s="177"/>
      <c r="F133"/>
    </row>
    <row r="134" spans="1:24">
      <c r="D134" s="3" t="s">
        <v>21</v>
      </c>
      <c r="E134" s="39" t="s">
        <v>151</v>
      </c>
      <c r="F134" s="33" t="s">
        <v>28</v>
      </c>
      <c r="L134" s="165"/>
      <c r="M134" s="165"/>
      <c r="N134" s="166"/>
      <c r="O134" s="166"/>
      <c r="P134" s="166"/>
      <c r="V134" s="30"/>
    </row>
    <row r="135" spans="1:24">
      <c r="D135" s="3" t="s">
        <v>21</v>
      </c>
      <c r="E135" s="39" t="s">
        <v>151</v>
      </c>
      <c r="F135" s="33" t="s">
        <v>152</v>
      </c>
      <c r="L135" s="165"/>
      <c r="M135" s="165"/>
      <c r="N135" s="176">
        <f>N134*Indexation.Average</f>
        <v>0</v>
      </c>
      <c r="O135" s="176">
        <f>O134*Indexation.Average</f>
        <v>0</v>
      </c>
      <c r="P135" s="176">
        <f>P134*Indexation.Average</f>
        <v>0</v>
      </c>
      <c r="V135" s="30"/>
    </row>
    <row r="136" spans="1:24" customFormat="1" ht="14.35"/>
    <row r="137" spans="1:24">
      <c r="D137" s="3" t="s">
        <v>21</v>
      </c>
      <c r="E137" s="39" t="s">
        <v>153</v>
      </c>
      <c r="F137" s="33" t="s">
        <v>152</v>
      </c>
      <c r="L137" s="165"/>
      <c r="M137" s="165"/>
      <c r="N137" s="166"/>
      <c r="O137" s="166"/>
      <c r="P137" s="166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65"/>
      <c r="M140" s="165"/>
      <c r="N140" s="88">
        <f>($H130-$H131)*(N137-(N135*$H132))</f>
        <v>0</v>
      </c>
      <c r="O140" s="88">
        <f t="shared" ref="O140:P140" si="3">($H130-$H131)*(O137-(O135*$H132))</f>
        <v>0</v>
      </c>
      <c r="P140" s="88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3.7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8">
        <v>0.75</v>
      </c>
      <c r="Q144" s="61"/>
      <c r="V144" s="30"/>
    </row>
    <row r="145" spans="1:27">
      <c r="D145" s="3"/>
      <c r="F145" s="33"/>
      <c r="Q145" s="61"/>
      <c r="V145" s="30"/>
    </row>
    <row r="146" spans="1:27">
      <c r="D146" s="3" t="s">
        <v>21</v>
      </c>
      <c r="E146" s="186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7" ht="13.5" customHeight="1">
      <c r="D147" s="3" t="s">
        <v>21</v>
      </c>
      <c r="E147" s="187" t="s">
        <v>160</v>
      </c>
      <c r="F147" s="33" t="s">
        <v>152</v>
      </c>
      <c r="L147" s="88">
        <f>L146*$H144</f>
        <v>0</v>
      </c>
      <c r="M147" s="88">
        <f t="shared" ref="M147:P147" si="4">M146*$H144</f>
        <v>0</v>
      </c>
      <c r="N147" s="88">
        <f t="shared" si="4"/>
        <v>0</v>
      </c>
      <c r="O147" s="88">
        <f t="shared" si="4"/>
        <v>0</v>
      </c>
      <c r="P147" s="88">
        <f t="shared" si="4"/>
        <v>0</v>
      </c>
      <c r="Q147" s="61" t="s">
        <v>161</v>
      </c>
      <c r="V147" s="30"/>
    </row>
    <row r="148" spans="1:27">
      <c r="E148" s="30"/>
      <c r="F148" s="33"/>
      <c r="Q148" s="61"/>
      <c r="V148" s="30"/>
    </row>
    <row r="149" spans="1:27" s="22" customFormat="1" ht="13.7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7">
      <c r="D150" s="3"/>
      <c r="F150" s="33"/>
      <c r="Q150" s="61"/>
      <c r="V150" s="30"/>
    </row>
    <row r="151" spans="1:27">
      <c r="D151" s="3" t="s">
        <v>21</v>
      </c>
      <c r="E151" s="186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7" ht="13" thickBot="1">
      <c r="E152" s="30"/>
      <c r="F152" s="33"/>
      <c r="Q152" s="61"/>
      <c r="V152" s="30"/>
    </row>
    <row r="153" spans="1:27" ht="13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  <c r="Y153" s="66"/>
      <c r="Z153" s="66"/>
      <c r="AA153" s="66"/>
    </row>
    <row r="154" spans="1:27"/>
    <row r="155" spans="1:27" hidden="1"/>
    <row r="156" spans="1:27" hidden="1"/>
    <row r="157" spans="1:27" hidden="1"/>
    <row r="158" spans="1:27" hidden="1"/>
    <row r="159" spans="1:27" hidden="1"/>
    <row r="160" spans="1:27" hidden="1"/>
    <row r="161" spans="5:22" hidden="1"/>
    <row r="162" spans="5:22" hidden="1"/>
    <row r="163" spans="5:22" hidden="1"/>
    <row r="164" spans="5:22" s="189" customFormat="1" hidden="1">
      <c r="E164" s="202"/>
      <c r="V164" s="190"/>
    </row>
    <row r="165" spans="5:22" s="189" customFormat="1" hidden="1">
      <c r="E165" s="202"/>
      <c r="V165" s="19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pane="topRight"/>
      <selection pane="bottomLeft"/>
      <selection pane="bottomRight"/>
    </sheetView>
  </sheetViews>
  <sheetFormatPr defaultColWidth="0" defaultRowHeight="12.7" zeroHeight="1"/>
  <cols>
    <col min="1" max="3" width="2.5859375" style="3" customWidth="1"/>
    <col min="4" max="4" width="9.41015625" style="3" bestFit="1" customWidth="1"/>
    <col min="5" max="5" width="49.703125" style="91" customWidth="1"/>
    <col min="6" max="6" width="20.41015625" style="91" customWidth="1"/>
    <col min="7" max="7" width="14.5859375" style="91" customWidth="1"/>
    <col min="8" max="8" width="14.41015625" style="3" customWidth="1"/>
    <col min="9" max="9" width="11.41015625" style="3" customWidth="1"/>
    <col min="10" max="10" width="11.5859375" style="3" customWidth="1"/>
    <col min="11" max="17" width="11.1171875" style="3" customWidth="1"/>
    <col min="18" max="20" width="11.5859375" style="3" customWidth="1"/>
    <col min="21" max="21" width="9.5859375" style="3" customWidth="1"/>
    <col min="22" max="22" width="3.5859375" style="3" customWidth="1"/>
    <col min="23" max="23" width="106.1171875" style="3" bestFit="1" customWidth="1"/>
    <col min="24" max="24" width="3.5859375" style="74" customWidth="1"/>
    <col min="25" max="25" width="13.5859375" style="3" hidden="1" customWidth="1"/>
    <col min="26" max="38" width="9.1171875" style="3" hidden="1" customWidth="1"/>
    <col min="39" max="39" width="10.1171875" style="3" hidden="1" customWidth="1"/>
    <col min="40" max="16384" width="9.1171875" style="3" hidden="1"/>
  </cols>
  <sheetData>
    <row r="1" spans="1:29" s="2" customFormat="1" ht="33">
      <c r="A1" s="1"/>
      <c r="B1" s="1"/>
      <c r="C1" s="1"/>
      <c r="D1" s="181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231"/>
      <c r="B2" s="232"/>
      <c r="C2" s="233"/>
      <c r="D2" s="234"/>
      <c r="E2" s="235"/>
      <c r="F2" s="235"/>
      <c r="G2" s="235"/>
      <c r="H2" s="236"/>
      <c r="I2" s="237"/>
      <c r="J2" s="237"/>
      <c r="K2" s="237"/>
      <c r="L2" s="237"/>
      <c r="M2" s="237"/>
      <c r="N2" s="237"/>
      <c r="O2" s="237"/>
      <c r="P2" s="237"/>
      <c r="Q2" s="237"/>
      <c r="R2" s="238"/>
      <c r="S2" s="238"/>
      <c r="T2" s="238"/>
      <c r="U2" s="237"/>
      <c r="V2" s="237"/>
      <c r="W2" s="237"/>
      <c r="X2" s="239"/>
      <c r="Y2" s="69"/>
      <c r="Z2" s="69"/>
      <c r="AA2" s="69"/>
      <c r="AB2" s="69"/>
      <c r="AC2" s="69"/>
    </row>
    <row r="3" spans="1:29" ht="12.75" customHeight="1">
      <c r="A3" s="240"/>
      <c r="B3" s="241"/>
      <c r="C3" s="242"/>
      <c r="D3" s="243" t="s">
        <v>1</v>
      </c>
      <c r="E3" s="244" t="s">
        <v>1</v>
      </c>
      <c r="F3" s="245"/>
      <c r="G3" s="245"/>
      <c r="H3" s="238"/>
      <c r="I3" s="246" t="str">
        <f t="shared" ref="I3:U3" si="0">AMP.Years</f>
        <v>2012-13</v>
      </c>
      <c r="J3" s="246" t="str">
        <f t="shared" si="0"/>
        <v>2013-14</v>
      </c>
      <c r="K3" s="246" t="str">
        <f t="shared" si="0"/>
        <v>2014-15</v>
      </c>
      <c r="L3" s="247" t="str">
        <f t="shared" si="0"/>
        <v>2015-16</v>
      </c>
      <c r="M3" s="247" t="str">
        <f t="shared" si="0"/>
        <v>2016-17</v>
      </c>
      <c r="N3" s="247" t="str">
        <f t="shared" si="0"/>
        <v>2017-18</v>
      </c>
      <c r="O3" s="247" t="str">
        <f t="shared" si="0"/>
        <v>2018-19</v>
      </c>
      <c r="P3" s="247" t="str">
        <f t="shared" si="0"/>
        <v>2019-20</v>
      </c>
      <c r="Q3" s="246" t="str">
        <f t="shared" si="0"/>
        <v>2020-21</v>
      </c>
      <c r="R3" s="246" t="str">
        <f t="shared" si="0"/>
        <v>2021-22</v>
      </c>
      <c r="S3" s="246" t="str">
        <f t="shared" si="0"/>
        <v>2022-23</v>
      </c>
      <c r="T3" s="246" t="str">
        <f t="shared" si="0"/>
        <v>2023-24</v>
      </c>
      <c r="U3" s="246" t="str">
        <f t="shared" si="0"/>
        <v>2024-25</v>
      </c>
      <c r="V3" s="248"/>
      <c r="W3" s="248"/>
      <c r="X3" s="248"/>
      <c r="Y3" s="69"/>
      <c r="Z3" s="69"/>
      <c r="AA3" s="70"/>
      <c r="AB3" s="71"/>
      <c r="AC3" s="71"/>
    </row>
    <row r="4" spans="1:29">
      <c r="A4" s="249"/>
      <c r="B4" s="250"/>
      <c r="C4" s="251"/>
      <c r="D4" s="252"/>
      <c r="E4" s="244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53"/>
      <c r="W4" s="253"/>
      <c r="X4" s="254"/>
      <c r="Y4" s="72"/>
      <c r="Z4" s="72"/>
      <c r="AA4" s="70"/>
      <c r="AB4" s="71"/>
      <c r="AC4" s="71"/>
    </row>
    <row r="5" spans="1:29">
      <c r="A5" s="255"/>
      <c r="B5" s="250"/>
      <c r="C5" s="256"/>
      <c r="D5" s="252" t="s">
        <v>94</v>
      </c>
      <c r="E5" s="244" t="s">
        <v>2</v>
      </c>
      <c r="F5" s="257"/>
      <c r="G5" s="257"/>
      <c r="H5" s="238"/>
      <c r="I5" s="257">
        <f t="shared" ref="I5:U5" si="1">Calendar.Years</f>
        <v>2012</v>
      </c>
      <c r="J5" s="257">
        <f t="shared" si="1"/>
        <v>2013</v>
      </c>
      <c r="K5" s="257">
        <f t="shared" si="1"/>
        <v>2014</v>
      </c>
      <c r="L5" s="257">
        <f t="shared" si="1"/>
        <v>2015</v>
      </c>
      <c r="M5" s="257">
        <f t="shared" si="1"/>
        <v>2016</v>
      </c>
      <c r="N5" s="257">
        <f t="shared" si="1"/>
        <v>2017</v>
      </c>
      <c r="O5" s="257">
        <f t="shared" si="1"/>
        <v>2018</v>
      </c>
      <c r="P5" s="257">
        <f t="shared" si="1"/>
        <v>2019</v>
      </c>
      <c r="Q5" s="257">
        <f t="shared" si="1"/>
        <v>2020</v>
      </c>
      <c r="R5" s="257">
        <f t="shared" si="1"/>
        <v>2021</v>
      </c>
      <c r="S5" s="257">
        <f t="shared" si="1"/>
        <v>2022</v>
      </c>
      <c r="T5" s="257">
        <f t="shared" si="1"/>
        <v>2023</v>
      </c>
      <c r="U5" s="257">
        <f t="shared" si="1"/>
        <v>2024</v>
      </c>
      <c r="V5" s="250"/>
      <c r="W5" s="250"/>
      <c r="X5" s="254"/>
      <c r="Y5" s="72"/>
      <c r="Z5" s="72"/>
      <c r="AA5" s="73"/>
      <c r="AB5" s="71"/>
      <c r="AC5" s="71"/>
    </row>
    <row r="6" spans="1:29" ht="12.75" customHeight="1">
      <c r="A6" s="238"/>
      <c r="B6" s="238"/>
      <c r="C6" s="238"/>
      <c r="D6" s="238"/>
      <c r="E6" s="244" t="s">
        <v>3</v>
      </c>
      <c r="F6" s="257"/>
      <c r="G6" s="257"/>
      <c r="H6" s="238"/>
      <c r="I6" s="258">
        <v>-2</v>
      </c>
      <c r="J6" s="258">
        <v>-1</v>
      </c>
      <c r="K6" s="258">
        <v>0</v>
      </c>
      <c r="L6" s="258">
        <v>1</v>
      </c>
      <c r="M6" s="258">
        <v>2</v>
      </c>
      <c r="N6" s="258">
        <v>3</v>
      </c>
      <c r="O6" s="258">
        <v>4</v>
      </c>
      <c r="P6" s="258">
        <v>5</v>
      </c>
      <c r="Q6" s="258">
        <v>6</v>
      </c>
      <c r="R6" s="258">
        <v>7</v>
      </c>
      <c r="S6" s="258">
        <v>8</v>
      </c>
      <c r="T6" s="258">
        <v>9</v>
      </c>
      <c r="U6" s="258">
        <v>10</v>
      </c>
      <c r="V6" s="238"/>
      <c r="W6" s="259" t="s">
        <v>166</v>
      </c>
      <c r="X6" s="260"/>
    </row>
    <row r="7" spans="1:29" ht="12.75" customHeight="1">
      <c r="A7" s="238"/>
      <c r="B7" s="238"/>
      <c r="C7" s="238"/>
      <c r="D7" s="238"/>
      <c r="E7" s="238" t="s">
        <v>4</v>
      </c>
      <c r="F7" s="238"/>
      <c r="G7" s="238"/>
      <c r="H7" s="238"/>
      <c r="I7" s="238"/>
      <c r="J7" s="238"/>
      <c r="K7" s="238"/>
      <c r="L7" s="261">
        <v>4</v>
      </c>
      <c r="M7" s="261">
        <v>3</v>
      </c>
      <c r="N7" s="261">
        <v>2</v>
      </c>
      <c r="O7" s="261">
        <v>1</v>
      </c>
      <c r="P7" s="261">
        <v>0</v>
      </c>
      <c r="Q7" s="238"/>
      <c r="R7" s="238"/>
      <c r="S7" s="238"/>
      <c r="T7" s="238"/>
      <c r="U7" s="238"/>
      <c r="V7" s="238"/>
      <c r="W7" s="238"/>
      <c r="X7" s="238"/>
    </row>
    <row r="8" spans="1:29" ht="12.75" customHeight="1">
      <c r="E8" s="3"/>
      <c r="F8" s="3"/>
      <c r="G8" s="3"/>
      <c r="L8" s="83"/>
      <c r="M8" s="83"/>
      <c r="N8" s="83"/>
      <c r="O8" s="83"/>
      <c r="P8" s="83"/>
      <c r="X8" s="3"/>
    </row>
    <row r="9" spans="1:29" s="22" customFormat="1" ht="13.7">
      <c r="A9" s="19"/>
      <c r="B9" s="19"/>
      <c r="C9" s="19"/>
      <c r="D9" s="182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9" s="75" customFormat="1">
      <c r="Q10" s="3"/>
      <c r="R10" s="3"/>
      <c r="S10" s="3"/>
      <c r="T10" s="3"/>
      <c r="X10" s="76"/>
    </row>
    <row r="11" spans="1:29" s="22" customFormat="1" ht="13.7">
      <c r="A11" s="19"/>
      <c r="B11" s="19"/>
      <c r="C11" s="19"/>
      <c r="D11" s="182"/>
      <c r="E11" s="21" t="s">
        <v>168</v>
      </c>
      <c r="F11" s="16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9" s="75" customFormat="1">
      <c r="D12" s="12"/>
      <c r="E12" s="12"/>
      <c r="F12" s="77"/>
      <c r="G12" s="77"/>
      <c r="I12" s="79"/>
      <c r="J12" s="79"/>
      <c r="K12" s="79"/>
      <c r="L12" s="79"/>
      <c r="M12" s="79"/>
      <c r="N12" s="79"/>
      <c r="O12" s="79"/>
      <c r="P12" s="79"/>
      <c r="Q12" s="3"/>
      <c r="R12" s="3"/>
      <c r="S12" s="3"/>
      <c r="T12" s="3"/>
      <c r="X12" s="76"/>
    </row>
    <row r="13" spans="1:29" s="75" customFormat="1">
      <c r="D13" s="30"/>
      <c r="E13" s="78" t="s">
        <v>53</v>
      </c>
      <c r="F13" s="77"/>
      <c r="G13" s="77"/>
      <c r="I13" s="79"/>
      <c r="J13" s="79"/>
      <c r="K13" s="79"/>
      <c r="L13" s="79"/>
      <c r="M13" s="79"/>
      <c r="N13" s="79"/>
      <c r="O13" s="79"/>
      <c r="P13" s="79"/>
      <c r="Q13" s="3"/>
      <c r="R13" s="3"/>
      <c r="S13" s="3"/>
      <c r="T13" s="3"/>
      <c r="X13" s="76"/>
    </row>
    <row r="14" spans="1:29" s="75" customFormat="1">
      <c r="D14" s="30" t="s">
        <v>41</v>
      </c>
      <c r="E14" s="32" t="s">
        <v>169</v>
      </c>
      <c r="F14" s="33" t="s">
        <v>28</v>
      </c>
      <c r="G14" s="77"/>
      <c r="I14" s="79"/>
      <c r="J14" s="79"/>
      <c r="K14" s="79"/>
      <c r="L14" s="50">
        <f>Actual.Totex.Water/Indexation.Average</f>
        <v>216.31055627649909</v>
      </c>
      <c r="M14" s="50">
        <f>Actual.Totex.Water/Indexation.Average</f>
        <v>248.1248721028953</v>
      </c>
      <c r="N14" s="50">
        <f>Actual.Totex.Water/Indexation.Average</f>
        <v>227.47054042256505</v>
      </c>
      <c r="O14" s="50">
        <f>Actual.Totex.Water/Indexation.Average</f>
        <v>211.03143246341031</v>
      </c>
      <c r="P14" s="50">
        <f>Actual.Totex.Water/Indexation.Average</f>
        <v>196.74701712035613</v>
      </c>
      <c r="Q14" s="3"/>
      <c r="R14" s="3"/>
      <c r="S14" s="3"/>
      <c r="T14" s="3"/>
      <c r="X14" s="76"/>
    </row>
    <row r="15" spans="1:29" s="75" customFormat="1">
      <c r="D15" s="30" t="s">
        <v>41</v>
      </c>
      <c r="E15" s="32" t="s">
        <v>170</v>
      </c>
      <c r="F15" s="33" t="s">
        <v>28</v>
      </c>
      <c r="G15" s="77"/>
      <c r="I15" s="79"/>
      <c r="J15" s="79"/>
      <c r="K15" s="79"/>
      <c r="L15" s="50">
        <f>Actual.Totex.Sewerage/Indexation.Average</f>
        <v>0</v>
      </c>
      <c r="M15" s="50">
        <f>Actual.Totex.Sewerage/Indexation.Average</f>
        <v>0</v>
      </c>
      <c r="N15" s="50">
        <f>Actual.Totex.Sewerage/Indexation.Average</f>
        <v>0</v>
      </c>
      <c r="O15" s="50">
        <f>Actual.Totex.Sewerage/Indexation.Average</f>
        <v>0</v>
      </c>
      <c r="P15" s="50">
        <f>Actual.Totex.Sewerage/Indexation.Average</f>
        <v>0</v>
      </c>
      <c r="Q15" s="3"/>
      <c r="R15" s="3"/>
      <c r="S15" s="3"/>
      <c r="T15" s="3"/>
      <c r="X15" s="76"/>
    </row>
    <row r="16" spans="1:29" s="75" customFormat="1">
      <c r="D16" s="30"/>
      <c r="E16" s="32"/>
      <c r="F16" s="33"/>
      <c r="G16" s="77"/>
      <c r="I16" s="79"/>
      <c r="J16" s="79"/>
      <c r="K16" s="79"/>
      <c r="L16" s="50"/>
      <c r="M16" s="50"/>
      <c r="N16" s="50"/>
      <c r="O16" s="50"/>
      <c r="P16" s="50"/>
      <c r="Q16" s="3"/>
      <c r="R16" s="3"/>
      <c r="S16" s="3"/>
      <c r="T16" s="3"/>
      <c r="X16" s="76"/>
    </row>
    <row r="17" spans="1:24" s="75" customFormat="1">
      <c r="D17" s="30"/>
      <c r="E17" s="78" t="s">
        <v>171</v>
      </c>
      <c r="F17" s="77"/>
      <c r="G17" s="77"/>
      <c r="I17" s="79"/>
      <c r="J17" s="79"/>
      <c r="K17" s="79"/>
      <c r="L17" s="79"/>
      <c r="M17" s="79"/>
      <c r="N17" s="79"/>
      <c r="O17" s="79"/>
      <c r="P17" s="79"/>
      <c r="Q17" s="3"/>
      <c r="R17" s="3"/>
      <c r="S17" s="3"/>
      <c r="T17" s="3"/>
      <c r="X17" s="76"/>
    </row>
    <row r="18" spans="1:24" s="75" customFormat="1">
      <c r="D18" s="30" t="s">
        <v>41</v>
      </c>
      <c r="E18" s="32" t="s">
        <v>172</v>
      </c>
      <c r="F18" s="33" t="s">
        <v>28</v>
      </c>
      <c r="G18" s="77"/>
      <c r="I18" s="79"/>
      <c r="J18" s="79"/>
      <c r="K18" s="79"/>
      <c r="L18" s="50">
        <f>SUM(INDEX(Actual.Exclusions.Water,,L6))/Indexation.Average</f>
        <v>7.9051748040601213</v>
      </c>
      <c r="M18" s="50">
        <f>SUM(INDEX(Actual.Exclusions.Water,,M6))/Indexation.Average</f>
        <v>4.4125984779395564</v>
      </c>
      <c r="N18" s="50">
        <f>SUM(INDEX(Actual.Exclusions.Water,,N6))/Indexation.Average</f>
        <v>3.7407706508230012</v>
      </c>
      <c r="O18" s="50">
        <f>SUM(INDEX(Actual.Exclusions.Water,,O6))/Indexation.Average</f>
        <v>5.575137994476064</v>
      </c>
      <c r="P18" s="50">
        <f>SUM(INDEX(Actual.Exclusions.Water,,P6))/Indexation.Average</f>
        <v>1.9258358651563388</v>
      </c>
      <c r="Q18" s="3"/>
      <c r="R18" s="3"/>
      <c r="S18" s="3"/>
      <c r="T18" s="3"/>
      <c r="X18" s="76"/>
    </row>
    <row r="19" spans="1:24" s="75" customFormat="1">
      <c r="D19" s="30" t="s">
        <v>41</v>
      </c>
      <c r="E19" s="32" t="s">
        <v>173</v>
      </c>
      <c r="F19" s="33" t="s">
        <v>28</v>
      </c>
      <c r="G19" s="77"/>
      <c r="I19" s="79"/>
      <c r="J19" s="79"/>
      <c r="K19" s="79"/>
      <c r="L19" s="221">
        <f>SUM(Inputs!L66:L72)/Indexation.Average</f>
        <v>0</v>
      </c>
      <c r="M19" s="221">
        <f>SUM(Inputs!M66:M72)/Indexation.Average</f>
        <v>0</v>
      </c>
      <c r="N19" s="221">
        <f>SUM(Inputs!N66:N72)/Indexation.Average</f>
        <v>0</v>
      </c>
      <c r="O19" s="221">
        <f>SUM(Inputs!O66:O72)/Indexation.Average</f>
        <v>0</v>
      </c>
      <c r="P19" s="221">
        <f>SUM(Inputs!P66:P72)/Indexation.Average</f>
        <v>0</v>
      </c>
      <c r="Q19" s="3"/>
      <c r="R19" s="3"/>
      <c r="S19" s="3"/>
      <c r="T19" s="3"/>
      <c r="X19" s="76"/>
    </row>
    <row r="20" spans="1:24" s="75" customFormat="1">
      <c r="D20" s="12"/>
      <c r="E20" s="12"/>
      <c r="F20" s="77"/>
      <c r="G20" s="77"/>
      <c r="I20" s="79"/>
      <c r="J20" s="79"/>
      <c r="K20" s="79"/>
      <c r="L20" s="79"/>
      <c r="M20" s="79"/>
      <c r="N20" s="79"/>
      <c r="O20" s="79"/>
      <c r="P20" s="79"/>
      <c r="Q20" s="3"/>
      <c r="R20" s="3"/>
      <c r="S20" s="3"/>
      <c r="T20" s="3"/>
      <c r="X20" s="76"/>
    </row>
    <row r="21" spans="1:24" s="75" customFormat="1">
      <c r="D21" s="30"/>
      <c r="E21" s="78" t="s">
        <v>174</v>
      </c>
      <c r="F21" s="77"/>
      <c r="G21" s="77"/>
      <c r="I21" s="79"/>
      <c r="J21" s="79"/>
      <c r="K21" s="79"/>
      <c r="L21" s="79"/>
      <c r="M21" s="79"/>
      <c r="N21" s="79"/>
      <c r="O21" s="79"/>
      <c r="P21" s="79"/>
      <c r="Q21" s="3"/>
      <c r="R21" s="3"/>
      <c r="S21" s="3"/>
      <c r="T21" s="3"/>
      <c r="X21" s="76"/>
    </row>
    <row r="22" spans="1:24" s="192" customFormat="1">
      <c r="A22" s="75"/>
      <c r="B22" s="75"/>
      <c r="C22" s="75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7"/>
      <c r="H22" s="75"/>
      <c r="I22" s="79"/>
      <c r="J22" s="79"/>
      <c r="K22" s="79"/>
      <c r="L22" s="50">
        <f>TransitionExp.Water</f>
        <v>2.1339999999999999</v>
      </c>
      <c r="M22" s="50"/>
      <c r="N22" s="50"/>
      <c r="O22" s="50"/>
      <c r="P22" s="50"/>
      <c r="Q22" s="3"/>
      <c r="R22" s="3"/>
      <c r="S22" s="3"/>
      <c r="T22" s="3"/>
      <c r="U22" s="75"/>
      <c r="V22" s="75"/>
      <c r="W22" s="75"/>
      <c r="X22" s="76"/>
    </row>
    <row r="23" spans="1:24" s="192" customFormat="1">
      <c r="A23" s="75"/>
      <c r="B23" s="75"/>
      <c r="C23" s="75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7"/>
      <c r="H23" s="75"/>
      <c r="I23" s="79"/>
      <c r="J23" s="79"/>
      <c r="K23" s="79"/>
      <c r="L23" s="50">
        <f>TransitionExp.Sewerage</f>
        <v>0</v>
      </c>
      <c r="M23" s="50"/>
      <c r="N23" s="50"/>
      <c r="O23" s="50"/>
      <c r="P23" s="50"/>
      <c r="Q23" s="3"/>
      <c r="R23" s="3"/>
      <c r="S23" s="3"/>
      <c r="T23" s="3"/>
      <c r="U23" s="75"/>
      <c r="V23" s="75"/>
      <c r="W23" s="75"/>
      <c r="X23" s="76"/>
    </row>
    <row r="24" spans="1:24" s="75" customFormat="1">
      <c r="D24" s="12"/>
      <c r="E24" s="12"/>
      <c r="F24" s="77"/>
      <c r="G24" s="77"/>
      <c r="I24" s="79"/>
      <c r="J24" s="79"/>
      <c r="K24" s="79"/>
      <c r="L24" s="79"/>
      <c r="M24" s="79"/>
      <c r="N24" s="79"/>
      <c r="O24" s="79"/>
      <c r="P24" s="79"/>
      <c r="Q24" s="3"/>
      <c r="R24" s="3"/>
      <c r="S24" s="3"/>
      <c r="T24" s="3"/>
      <c r="X24" s="76"/>
    </row>
    <row r="25" spans="1:24" s="75" customFormat="1">
      <c r="D25" s="30"/>
      <c r="E25" s="78" t="s">
        <v>175</v>
      </c>
      <c r="F25" s="77"/>
      <c r="G25" s="77"/>
      <c r="I25" s="79"/>
      <c r="J25" s="79"/>
      <c r="K25" s="79"/>
      <c r="L25" s="79"/>
      <c r="M25" s="79"/>
      <c r="N25" s="79"/>
      <c r="O25" s="79"/>
      <c r="P25" s="79"/>
      <c r="Q25" s="3"/>
      <c r="R25" s="3"/>
      <c r="S25" s="3"/>
      <c r="T25" s="3"/>
      <c r="X25" s="76"/>
    </row>
    <row r="26" spans="1:24" s="192" customFormat="1">
      <c r="A26" s="75"/>
      <c r="B26" s="75"/>
      <c r="C26" s="75"/>
      <c r="D26" s="189"/>
      <c r="E26" s="216"/>
      <c r="F26" s="217"/>
      <c r="G26" s="214"/>
      <c r="I26" s="222"/>
      <c r="J26" s="222"/>
      <c r="K26" s="222"/>
      <c r="L26" s="221"/>
      <c r="M26" s="221"/>
      <c r="N26" s="221"/>
      <c r="O26" s="221"/>
      <c r="P26" s="221"/>
      <c r="Q26" s="3"/>
      <c r="R26" s="3"/>
      <c r="S26" s="3"/>
      <c r="T26" s="3"/>
      <c r="U26" s="75"/>
      <c r="V26" s="75"/>
      <c r="W26" s="75"/>
      <c r="X26" s="76"/>
    </row>
    <row r="27" spans="1:24" s="192" customFormat="1">
      <c r="A27" s="75"/>
      <c r="B27" s="75"/>
      <c r="C27" s="75"/>
      <c r="D27" s="189"/>
      <c r="E27" s="216"/>
      <c r="F27" s="217"/>
      <c r="G27" s="214"/>
      <c r="I27" s="222"/>
      <c r="J27" s="222"/>
      <c r="K27" s="222"/>
      <c r="L27" s="221"/>
      <c r="M27" s="221"/>
      <c r="N27" s="221"/>
      <c r="O27" s="221"/>
      <c r="P27" s="221"/>
      <c r="Q27" s="3"/>
      <c r="R27" s="3"/>
      <c r="S27" s="3"/>
      <c r="T27" s="3"/>
      <c r="U27" s="75"/>
      <c r="V27" s="75"/>
      <c r="W27" s="75"/>
      <c r="X27" s="76"/>
    </row>
    <row r="28" spans="1:24" s="75" customFormat="1">
      <c r="D28" s="12"/>
      <c r="E28" s="12"/>
      <c r="F28" s="77"/>
      <c r="G28" s="77"/>
      <c r="I28" s="79"/>
      <c r="J28" s="79"/>
      <c r="K28" s="79"/>
      <c r="L28" s="79"/>
      <c r="M28" s="79"/>
      <c r="N28" s="79"/>
      <c r="O28" s="79"/>
      <c r="P28" s="79"/>
      <c r="Q28" s="3"/>
      <c r="R28" s="3"/>
      <c r="S28" s="3"/>
      <c r="T28" s="3"/>
      <c r="X28" s="76"/>
    </row>
    <row r="29" spans="1:24" s="75" customFormat="1">
      <c r="D29" s="30"/>
      <c r="E29" s="78" t="s">
        <v>176</v>
      </c>
      <c r="F29" s="77"/>
      <c r="G29" s="77"/>
      <c r="I29" s="79"/>
      <c r="J29" s="79"/>
      <c r="K29" s="79"/>
      <c r="L29" s="79"/>
      <c r="M29" s="79"/>
      <c r="N29" s="79"/>
      <c r="O29" s="79"/>
      <c r="P29" s="79"/>
      <c r="Q29" s="3"/>
      <c r="R29" s="3"/>
      <c r="S29" s="3"/>
      <c r="T29" s="3"/>
      <c r="X29" s="76"/>
    </row>
    <row r="30" spans="1:24" s="75" customFormat="1">
      <c r="D30" s="30" t="s">
        <v>41</v>
      </c>
      <c r="E30" s="32" t="s">
        <v>177</v>
      </c>
      <c r="F30" s="33" t="s">
        <v>28</v>
      </c>
      <c r="G30" s="77"/>
      <c r="I30" s="79"/>
      <c r="J30" s="79"/>
      <c r="K30" s="79"/>
      <c r="L30" s="221">
        <f>L14-L18+L22</f>
        <v>210.53938147243895</v>
      </c>
      <c r="M30" s="221">
        <f t="shared" ref="M30:P30" si="2">M14-M18+M22</f>
        <v>243.71227362495574</v>
      </c>
      <c r="N30" s="221">
        <f t="shared" si="2"/>
        <v>223.72976977174204</v>
      </c>
      <c r="O30" s="221">
        <f t="shared" si="2"/>
        <v>205.45629446893426</v>
      </c>
      <c r="P30" s="221">
        <f t="shared" si="2"/>
        <v>194.8211812551998</v>
      </c>
      <c r="Q30" s="59" t="s">
        <v>178</v>
      </c>
      <c r="R30" s="3"/>
      <c r="S30" s="3"/>
      <c r="T30" s="3"/>
      <c r="X30" s="76"/>
    </row>
    <row r="31" spans="1:24" s="75" customFormat="1">
      <c r="D31" s="30" t="s">
        <v>41</v>
      </c>
      <c r="E31" s="32" t="s">
        <v>179</v>
      </c>
      <c r="F31" s="33" t="s">
        <v>28</v>
      </c>
      <c r="G31" s="77"/>
      <c r="I31" s="79"/>
      <c r="J31" s="79"/>
      <c r="K31" s="79"/>
      <c r="L31" s="221">
        <f>L15-L19+L23</f>
        <v>0</v>
      </c>
      <c r="M31" s="221">
        <f t="shared" ref="M31:P31" si="3">M15-M19+M23</f>
        <v>0</v>
      </c>
      <c r="N31" s="221">
        <f t="shared" si="3"/>
        <v>0</v>
      </c>
      <c r="O31" s="221">
        <f t="shared" si="3"/>
        <v>0</v>
      </c>
      <c r="P31" s="221">
        <f t="shared" si="3"/>
        <v>0</v>
      </c>
      <c r="Q31" s="59" t="s">
        <v>180</v>
      </c>
      <c r="R31" s="3"/>
      <c r="S31" s="3"/>
      <c r="T31" s="3"/>
      <c r="X31" s="76"/>
    </row>
    <row r="32" spans="1:24" s="75" customFormat="1">
      <c r="D32" s="30" t="s">
        <v>41</v>
      </c>
      <c r="E32" s="157" t="s">
        <v>181</v>
      </c>
      <c r="F32" s="33" t="s">
        <v>28</v>
      </c>
      <c r="G32" s="77"/>
      <c r="I32" s="79"/>
      <c r="J32" s="79"/>
      <c r="K32" s="79"/>
      <c r="L32" s="81">
        <f>SUM(L30:L31)</f>
        <v>210.53938147243895</v>
      </c>
      <c r="M32" s="81">
        <f>SUM(M30:M31)</f>
        <v>243.71227362495574</v>
      </c>
      <c r="N32" s="81">
        <f t="shared" ref="N32:P32" si="4">SUM(N30:N31)</f>
        <v>223.72976977174204</v>
      </c>
      <c r="O32" s="81">
        <f t="shared" si="4"/>
        <v>205.45629446893426</v>
      </c>
      <c r="P32" s="81">
        <f t="shared" si="4"/>
        <v>194.8211812551998</v>
      </c>
      <c r="Q32" s="59" t="s">
        <v>182</v>
      </c>
      <c r="R32" s="3"/>
      <c r="S32" s="3"/>
      <c r="T32" s="3"/>
      <c r="X32" s="76"/>
    </row>
    <row r="33" spans="1:24" s="75" customFormat="1">
      <c r="D33" s="30"/>
      <c r="E33" s="39"/>
      <c r="F33" s="39"/>
      <c r="G33" s="39"/>
      <c r="H33" s="83"/>
      <c r="I33" s="79"/>
      <c r="J33" s="79"/>
      <c r="K33" s="79"/>
      <c r="L33" s="50"/>
      <c r="M33" s="50"/>
      <c r="N33" s="50"/>
      <c r="O33" s="50"/>
      <c r="P33" s="50"/>
      <c r="Q33" s="3"/>
      <c r="R33" s="3"/>
      <c r="S33" s="3"/>
      <c r="T33" s="3"/>
      <c r="X33" s="76"/>
    </row>
    <row r="34" spans="1:24" s="22" customFormat="1" ht="13.7">
      <c r="A34" s="19"/>
      <c r="B34" s="19"/>
      <c r="C34" s="19"/>
      <c r="D34" s="182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5" customFormat="1" ht="10.5" customHeight="1">
      <c r="A35" s="3"/>
      <c r="B35" s="3"/>
      <c r="C35" s="3"/>
      <c r="D35" s="30"/>
      <c r="E35" s="39"/>
      <c r="F35" s="39"/>
      <c r="G35" s="39"/>
      <c r="H35" s="83"/>
      <c r="I35" s="84"/>
      <c r="J35" s="84"/>
      <c r="K35" s="84"/>
      <c r="L35" s="84"/>
      <c r="M35" s="84"/>
      <c r="N35" s="84"/>
      <c r="O35" s="84"/>
      <c r="P35" s="84"/>
      <c r="Q35" s="3"/>
      <c r="R35" s="3"/>
      <c r="S35" s="3"/>
      <c r="T35" s="3"/>
      <c r="X35" s="76"/>
    </row>
    <row r="36" spans="1:24" s="22" customFormat="1" ht="13.7">
      <c r="A36" s="19"/>
      <c r="B36" s="19"/>
      <c r="C36" s="19"/>
      <c r="D36" s="182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5" customFormat="1">
      <c r="A38" s="3"/>
      <c r="B38" s="3"/>
      <c r="C38" s="3"/>
      <c r="D38" s="30"/>
      <c r="E38" s="80" t="s">
        <v>185</v>
      </c>
      <c r="F38" s="39"/>
      <c r="G38" s="39"/>
      <c r="H38" s="83"/>
      <c r="I38" s="85"/>
      <c r="J38" s="85"/>
      <c r="K38" s="86"/>
      <c r="L38" s="84"/>
      <c r="M38" s="84"/>
      <c r="N38" s="84"/>
      <c r="O38" s="84"/>
      <c r="P38" s="84"/>
      <c r="Q38" s="3"/>
      <c r="R38" s="3"/>
      <c r="S38" s="3"/>
      <c r="T38" s="3"/>
      <c r="X38" s="76"/>
    </row>
    <row r="39" spans="1:24" s="75" customFormat="1">
      <c r="A39" s="3"/>
      <c r="B39" s="3"/>
      <c r="C39" s="3"/>
      <c r="D39" s="183" t="s">
        <v>15</v>
      </c>
      <c r="E39" s="82" t="s">
        <v>186</v>
      </c>
      <c r="F39" s="39"/>
      <c r="G39" s="87">
        <f>Company.Baseline+Company.Slope*(UB.Chosen-100)</f>
        <v>0.52</v>
      </c>
      <c r="H39" s="89" t="s">
        <v>187</v>
      </c>
      <c r="I39" s="85"/>
      <c r="J39" s="85"/>
      <c r="K39" s="86"/>
      <c r="L39" s="84"/>
      <c r="M39" s="84"/>
      <c r="N39" s="84"/>
      <c r="O39" s="84"/>
      <c r="P39" s="84"/>
      <c r="Q39" s="3"/>
      <c r="R39" s="3"/>
      <c r="S39" s="3"/>
      <c r="T39" s="3"/>
      <c r="X39" s="76"/>
    </row>
    <row r="40" spans="1:24" s="75" customFormat="1">
      <c r="A40" s="3"/>
      <c r="B40" s="3"/>
      <c r="C40" s="3"/>
      <c r="D40" s="30" t="s">
        <v>21</v>
      </c>
      <c r="E40" s="82" t="s">
        <v>188</v>
      </c>
      <c r="F40" s="39"/>
      <c r="G40" s="88">
        <f>Allowed.Exp.Slope*UB.Chosen+Allowed.Exp.Constant</f>
        <v>103.75</v>
      </c>
      <c r="H40" s="89" t="s">
        <v>189</v>
      </c>
      <c r="I40" s="85"/>
      <c r="J40" s="85"/>
      <c r="K40" s="86"/>
      <c r="L40" s="84"/>
      <c r="M40" s="84"/>
      <c r="N40" s="84"/>
      <c r="O40" s="84"/>
      <c r="P40" s="84"/>
      <c r="Q40" s="3"/>
      <c r="R40" s="3"/>
      <c r="S40" s="3"/>
      <c r="T40" s="3"/>
      <c r="X40" s="76"/>
    </row>
    <row r="41" spans="1:24" s="75" customFormat="1">
      <c r="A41" s="3"/>
      <c r="B41" s="3"/>
      <c r="C41" s="3"/>
      <c r="D41" s="30" t="s">
        <v>21</v>
      </c>
      <c r="E41" s="82" t="s">
        <v>190</v>
      </c>
      <c r="F41" s="39"/>
      <c r="G41" s="88">
        <f>Add.Income.2ndOrder*(UB.Chosen^2)+Add.Income.1stOrder*UB.Chosen+Add.Income.Constant</f>
        <v>-2.1750000000000007</v>
      </c>
      <c r="H41" s="89" t="s">
        <v>191</v>
      </c>
      <c r="I41" s="85"/>
      <c r="J41" s="85"/>
      <c r="K41" s="86"/>
      <c r="L41" s="84"/>
      <c r="M41" s="84"/>
      <c r="N41" s="84"/>
      <c r="O41" s="84"/>
      <c r="P41" s="84"/>
      <c r="Q41" s="3"/>
      <c r="R41" s="3"/>
      <c r="S41" s="3"/>
      <c r="T41" s="3"/>
      <c r="X41" s="76"/>
    </row>
    <row r="42" spans="1:24" s="75" customFormat="1">
      <c r="A42" s="3"/>
      <c r="B42" s="3"/>
      <c r="C42" s="3"/>
      <c r="D42" s="30"/>
      <c r="E42" s="32"/>
      <c r="F42" s="39"/>
      <c r="G42" s="39"/>
      <c r="H42" s="39"/>
      <c r="I42" s="85"/>
      <c r="J42" s="85"/>
      <c r="K42" s="86"/>
      <c r="L42" s="84"/>
      <c r="M42" s="84"/>
      <c r="N42" s="84"/>
      <c r="O42" s="84"/>
      <c r="P42" s="84"/>
      <c r="Q42" s="3"/>
      <c r="R42" s="3"/>
      <c r="S42" s="3"/>
      <c r="T42" s="3"/>
      <c r="X42" s="76"/>
    </row>
    <row r="43" spans="1:24" s="75" customFormat="1">
      <c r="A43" s="3"/>
      <c r="B43" s="3"/>
      <c r="C43" s="3"/>
      <c r="D43" s="30"/>
      <c r="E43" s="80" t="s">
        <v>192</v>
      </c>
      <c r="F43" s="39"/>
      <c r="G43" s="39"/>
      <c r="H43" s="39"/>
      <c r="I43" s="85"/>
      <c r="J43" s="85"/>
      <c r="K43" s="86"/>
      <c r="L43" s="84"/>
      <c r="M43" s="84"/>
      <c r="N43" s="84"/>
      <c r="O43" s="84"/>
      <c r="P43" s="84"/>
      <c r="Q43" s="3"/>
      <c r="R43" s="3"/>
      <c r="S43" s="3"/>
      <c r="T43" s="3"/>
      <c r="X43" s="76"/>
    </row>
    <row r="44" spans="1:24" s="75" customFormat="1">
      <c r="A44" s="3"/>
      <c r="B44" s="3"/>
      <c r="C44" s="3"/>
      <c r="D44" s="183" t="s">
        <v>15</v>
      </c>
      <c r="E44" s="82" t="s">
        <v>193</v>
      </c>
      <c r="F44" s="39"/>
      <c r="G44" s="87">
        <f>Company.Baseline+Company.Slope*(LB.Chosen-100)</f>
        <v>0.59000000000000008</v>
      </c>
      <c r="H44" s="89" t="s">
        <v>194</v>
      </c>
      <c r="I44" s="85"/>
      <c r="J44" s="85"/>
      <c r="K44" s="86"/>
      <c r="L44" s="84"/>
      <c r="M44" s="84"/>
      <c r="N44" s="84"/>
      <c r="O44" s="84"/>
      <c r="P44" s="84"/>
      <c r="Q44" s="3"/>
      <c r="R44" s="3"/>
      <c r="S44" s="3"/>
      <c r="T44" s="3"/>
      <c r="X44" s="76"/>
    </row>
    <row r="45" spans="1:24" s="75" customFormat="1">
      <c r="A45" s="3"/>
      <c r="B45" s="3"/>
      <c r="C45" s="3"/>
      <c r="D45" s="30" t="s">
        <v>21</v>
      </c>
      <c r="E45" s="82" t="s">
        <v>195</v>
      </c>
      <c r="F45" s="39"/>
      <c r="G45" s="88">
        <f>Allowed.Exp.Slope*LB.Chosen+Allowed.Exp.Constant</f>
        <v>95</v>
      </c>
      <c r="H45" s="89" t="s">
        <v>196</v>
      </c>
      <c r="I45" s="85"/>
      <c r="J45" s="85"/>
      <c r="K45" s="86"/>
      <c r="L45" s="84"/>
      <c r="M45" s="84"/>
      <c r="N45" s="84"/>
      <c r="O45" s="84"/>
      <c r="P45" s="84"/>
      <c r="Q45" s="3"/>
      <c r="R45" s="3"/>
      <c r="S45" s="3"/>
      <c r="T45" s="3"/>
      <c r="X45" s="76"/>
    </row>
    <row r="46" spans="1:24" s="75" customFormat="1" ht="13.5" customHeight="1">
      <c r="A46" s="3"/>
      <c r="B46" s="3"/>
      <c r="C46" s="3"/>
      <c r="D46" s="30" t="s">
        <v>21</v>
      </c>
      <c r="E46" s="82" t="s">
        <v>197</v>
      </c>
      <c r="F46" s="39"/>
      <c r="G46" s="88">
        <f>Add.Income.2ndOrder*(LB.Chosen^2)+Add.Income.1stOrder*LB.Chosen+Add.Income.Constant</f>
        <v>2.5499999999999989</v>
      </c>
      <c r="H46" s="89" t="s">
        <v>198</v>
      </c>
      <c r="I46" s="85"/>
      <c r="J46" s="85"/>
      <c r="K46" s="86"/>
      <c r="L46" s="84"/>
      <c r="M46" s="84"/>
      <c r="N46" s="84"/>
      <c r="O46" s="84"/>
      <c r="P46" s="84"/>
      <c r="Q46" s="3"/>
      <c r="R46" s="3"/>
      <c r="S46" s="3"/>
      <c r="T46" s="3"/>
      <c r="X46" s="76"/>
    </row>
    <row r="47" spans="1:24" s="75" customFormat="1" ht="13.5" customHeight="1">
      <c r="A47" s="3"/>
      <c r="B47" s="3"/>
      <c r="C47" s="3"/>
      <c r="D47" s="30"/>
      <c r="E47" s="82"/>
      <c r="F47" s="39"/>
      <c r="G47" s="89"/>
      <c r="H47" s="89"/>
      <c r="I47" s="85"/>
      <c r="J47" s="85"/>
      <c r="K47" s="86"/>
      <c r="L47" s="84"/>
      <c r="M47" s="84"/>
      <c r="N47" s="84"/>
      <c r="O47" s="84"/>
      <c r="P47" s="84"/>
      <c r="Q47" s="3"/>
      <c r="R47" s="3"/>
      <c r="S47" s="3"/>
      <c r="T47" s="3"/>
      <c r="X47" s="76"/>
    </row>
    <row r="48" spans="1:24" s="22" customFormat="1" ht="13.7">
      <c r="A48" s="19"/>
      <c r="B48" s="19"/>
      <c r="C48" s="19"/>
      <c r="D48" s="182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93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92" customFormat="1">
      <c r="A50" s="3"/>
      <c r="B50" s="3"/>
      <c r="C50" s="3"/>
      <c r="D50" s="30"/>
      <c r="E50" s="49" t="s">
        <v>200</v>
      </c>
      <c r="F50" s="39"/>
      <c r="G50" s="39"/>
      <c r="H50" s="83"/>
      <c r="I50" s="85"/>
      <c r="J50" s="85"/>
      <c r="K50" s="86"/>
      <c r="L50" s="84"/>
      <c r="M50" s="84"/>
      <c r="N50" s="84"/>
      <c r="O50" s="84"/>
      <c r="P50" s="84"/>
      <c r="Q50" s="3"/>
      <c r="R50" s="3"/>
      <c r="S50" s="3"/>
      <c r="T50" s="3"/>
      <c r="U50" s="75"/>
      <c r="V50" s="75"/>
      <c r="W50" s="75"/>
      <c r="X50" s="76"/>
    </row>
    <row r="51" spans="1:24" s="192" customFormat="1">
      <c r="A51" s="3"/>
      <c r="B51" s="3"/>
      <c r="C51" s="3"/>
      <c r="D51" s="183" t="s">
        <v>15</v>
      </c>
      <c r="E51" s="32" t="s">
        <v>201</v>
      </c>
      <c r="F51" s="39"/>
      <c r="G51" s="87">
        <f>MIN(MAX(Eff.Inc.Constant+Eff.Inc.Slope*FD.Menu.Choice.Water,UB.EffInc),LB.EffInc)</f>
        <v>0.5606439461403252</v>
      </c>
      <c r="H51" s="89" t="s">
        <v>202</v>
      </c>
      <c r="I51" s="85"/>
      <c r="J51" s="85"/>
      <c r="K51" s="86"/>
      <c r="L51" s="84"/>
      <c r="M51" s="84"/>
      <c r="N51" s="84"/>
      <c r="O51" s="84"/>
      <c r="P51" s="84"/>
      <c r="Q51" s="3"/>
      <c r="R51" s="3"/>
      <c r="S51" s="3"/>
      <c r="T51" s="3"/>
      <c r="U51" s="75"/>
      <c r="V51" s="75"/>
      <c r="W51" s="75"/>
      <c r="X51" s="76"/>
    </row>
    <row r="52" spans="1:24" s="192" customFormat="1">
      <c r="A52" s="3"/>
      <c r="B52" s="3"/>
      <c r="C52" s="3"/>
      <c r="D52" s="30" t="s">
        <v>21</v>
      </c>
      <c r="E52" s="32" t="s">
        <v>203</v>
      </c>
      <c r="F52" s="39"/>
      <c r="G52" s="88">
        <f>MIN(MAX(Allowed.Exp.Constant+Allowed.Exp.Slope*FD.Menu.Choice.Water,LB.AllExp),UB.AllExp)</f>
        <v>98.669506732459354</v>
      </c>
      <c r="H52" s="89" t="s">
        <v>204</v>
      </c>
      <c r="I52" s="85"/>
      <c r="J52" s="85"/>
      <c r="K52" s="86"/>
      <c r="L52" s="84"/>
      <c r="M52" s="84"/>
      <c r="N52" s="84"/>
      <c r="O52" s="84"/>
      <c r="P52" s="84"/>
      <c r="Q52" s="3"/>
      <c r="R52" s="3"/>
      <c r="S52" s="3"/>
      <c r="T52" s="3"/>
      <c r="U52" s="75"/>
      <c r="V52" s="75"/>
      <c r="W52" s="75"/>
      <c r="X52" s="76"/>
    </row>
    <row r="53" spans="1:24" s="192" customFormat="1">
      <c r="A53" s="3"/>
      <c r="B53" s="3"/>
      <c r="C53" s="3"/>
      <c r="D53" s="30" t="s">
        <v>21</v>
      </c>
      <c r="E53" s="32" t="s">
        <v>205</v>
      </c>
      <c r="F53" s="39"/>
      <c r="G53" s="88">
        <f>MIN(MAX(Add.Income.Constant+Add.Income.1stOrder*FD.Menu.Choice.Water+Add.Income.2ndOrder*(FD.Menu.Choice.Water^2),UB.AddInc),LB.AddInc)</f>
        <v>0.71760959846758965</v>
      </c>
      <c r="H53" s="89" t="s">
        <v>206</v>
      </c>
      <c r="I53" s="85"/>
      <c r="J53" s="85"/>
      <c r="K53" s="86"/>
      <c r="L53" s="84"/>
      <c r="M53" s="84"/>
      <c r="N53" s="84"/>
      <c r="O53" s="84"/>
      <c r="P53" s="84"/>
      <c r="Q53" s="3"/>
      <c r="R53" s="3"/>
      <c r="S53" s="3"/>
      <c r="T53" s="3"/>
      <c r="U53" s="75"/>
      <c r="V53" s="75"/>
      <c r="W53" s="75"/>
      <c r="X53" s="76"/>
    </row>
    <row r="54" spans="1:24" s="192" customFormat="1">
      <c r="A54" s="3"/>
      <c r="B54" s="3"/>
      <c r="C54" s="3"/>
      <c r="D54" s="30"/>
      <c r="E54" s="39"/>
      <c r="F54" s="39"/>
      <c r="G54" s="83"/>
      <c r="H54" s="83"/>
      <c r="I54" s="85"/>
      <c r="J54" s="85"/>
      <c r="K54" s="86"/>
      <c r="L54" s="84"/>
      <c r="M54" s="84"/>
      <c r="N54" s="84"/>
      <c r="O54" s="84"/>
      <c r="P54" s="84"/>
      <c r="Q54" s="3"/>
      <c r="R54" s="3"/>
      <c r="S54" s="3"/>
      <c r="T54" s="3"/>
      <c r="U54" s="75"/>
      <c r="V54" s="75"/>
      <c r="W54" s="75"/>
      <c r="X54" s="76"/>
    </row>
    <row r="55" spans="1:24" s="192" customFormat="1">
      <c r="A55" s="3"/>
      <c r="B55" s="3"/>
      <c r="C55" s="3"/>
      <c r="D55" s="30"/>
      <c r="E55" s="49" t="s">
        <v>207</v>
      </c>
      <c r="F55" s="39"/>
      <c r="G55" s="39"/>
      <c r="H55" s="83"/>
      <c r="I55" s="85"/>
      <c r="J55" s="85"/>
      <c r="K55" s="86"/>
      <c r="L55" s="84"/>
      <c r="M55" s="84"/>
      <c r="N55" s="84"/>
      <c r="O55" s="84"/>
      <c r="P55" s="84"/>
      <c r="Q55" s="3"/>
      <c r="R55" s="3"/>
      <c r="S55" s="3"/>
      <c r="T55" s="3"/>
      <c r="U55" s="75"/>
      <c r="V55" s="75"/>
      <c r="W55" s="75"/>
      <c r="X55" s="76"/>
    </row>
    <row r="56" spans="1:24" s="192" customFormat="1">
      <c r="A56" s="3"/>
      <c r="B56" s="3"/>
      <c r="C56" s="3"/>
      <c r="D56" s="183" t="s">
        <v>15</v>
      </c>
      <c r="E56" s="32" t="s">
        <v>208</v>
      </c>
      <c r="F56" s="39"/>
      <c r="G56" s="87">
        <f>MIN(MAX(Eff.Inc.Constant+Eff.Inc.Slope*FD.Menu.Choice.Sewerage,UB.EffInc),LB.EffInc)</f>
        <v>0.59000000000000008</v>
      </c>
      <c r="H56" s="89" t="s">
        <v>209</v>
      </c>
      <c r="I56" s="85"/>
      <c r="J56" s="85"/>
      <c r="K56" s="86"/>
      <c r="L56" s="84"/>
      <c r="M56" s="84"/>
      <c r="N56" s="84"/>
      <c r="O56" s="84"/>
      <c r="P56" s="84"/>
      <c r="Q56" s="3"/>
      <c r="R56" s="3"/>
      <c r="S56" s="3"/>
      <c r="T56" s="3"/>
      <c r="U56" s="75"/>
      <c r="V56" s="75"/>
      <c r="W56" s="75"/>
      <c r="X56" s="76"/>
    </row>
    <row r="57" spans="1:24" s="192" customFormat="1">
      <c r="A57" s="3"/>
      <c r="B57" s="3"/>
      <c r="C57" s="3"/>
      <c r="D57" s="30" t="s">
        <v>21</v>
      </c>
      <c r="E57" s="32" t="s">
        <v>210</v>
      </c>
      <c r="F57" s="39"/>
      <c r="G57" s="88">
        <f>MIN(MAX(Allowed.Exp.Constant+Allowed.Exp.Slope*FD.Menu.Choice.Sewerage,LB.AllExp),UB.AllExp)</f>
        <v>95</v>
      </c>
      <c r="H57" s="89" t="s">
        <v>211</v>
      </c>
      <c r="I57" s="85"/>
      <c r="J57" s="85"/>
      <c r="K57" s="86"/>
      <c r="L57" s="84"/>
      <c r="M57" s="84"/>
      <c r="N57" s="84"/>
      <c r="O57" s="84"/>
      <c r="P57" s="84"/>
      <c r="Q57" s="3"/>
      <c r="R57" s="3"/>
      <c r="S57" s="3"/>
      <c r="T57" s="3"/>
      <c r="U57" s="75"/>
      <c r="V57" s="75"/>
      <c r="W57" s="75"/>
      <c r="X57" s="76"/>
    </row>
    <row r="58" spans="1:24" s="192" customFormat="1">
      <c r="A58" s="3"/>
      <c r="B58" s="3"/>
      <c r="C58" s="3"/>
      <c r="D58" s="30" t="s">
        <v>21</v>
      </c>
      <c r="E58" s="32" t="s">
        <v>212</v>
      </c>
      <c r="F58" s="39"/>
      <c r="G58" s="88">
        <f>MIN(MAX(Add.Income.Constant+Add.Income.1stOrder*FD.Menu.Choice.Sewerage+Add.Income.2ndOrder*(FD.Menu.Choice.Sewerage^2),UB.AddInc),LB.AddInc)</f>
        <v>2.5499999999999989</v>
      </c>
      <c r="H58" s="89" t="s">
        <v>213</v>
      </c>
      <c r="I58" s="85"/>
      <c r="J58" s="85"/>
      <c r="K58" s="86"/>
      <c r="L58" s="84"/>
      <c r="M58" s="84"/>
      <c r="N58" s="84"/>
      <c r="O58" s="84"/>
      <c r="P58" s="84"/>
      <c r="Q58" s="3"/>
      <c r="R58" s="3"/>
      <c r="S58" s="3"/>
      <c r="T58" s="3"/>
      <c r="U58" s="75"/>
      <c r="V58" s="75"/>
      <c r="W58" s="75"/>
      <c r="X58" s="76"/>
    </row>
    <row r="59" spans="1:24" s="192" customFormat="1">
      <c r="A59" s="3"/>
      <c r="B59" s="3"/>
      <c r="C59" s="3"/>
      <c r="D59" s="30"/>
      <c r="E59" s="39"/>
      <c r="F59" s="39"/>
      <c r="G59" s="83"/>
      <c r="H59" s="83"/>
      <c r="I59" s="85"/>
      <c r="J59" s="85"/>
      <c r="K59" s="86"/>
      <c r="L59" s="84"/>
      <c r="M59" s="84"/>
      <c r="N59" s="84"/>
      <c r="O59" s="84"/>
      <c r="P59" s="84"/>
      <c r="Q59" s="3"/>
      <c r="R59" s="3"/>
      <c r="S59" s="3"/>
      <c r="T59" s="3"/>
      <c r="U59" s="75"/>
      <c r="V59" s="75"/>
      <c r="W59" s="75"/>
      <c r="X59" s="76"/>
    </row>
    <row r="60" spans="1:24" s="22" customFormat="1" ht="13.7">
      <c r="A60" s="19"/>
      <c r="B60" s="19"/>
      <c r="C60" s="19"/>
      <c r="D60" s="182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5" customFormat="1">
      <c r="A62" s="3"/>
      <c r="B62" s="3"/>
      <c r="C62" s="3"/>
      <c r="D62" s="30"/>
      <c r="E62" s="49" t="s">
        <v>200</v>
      </c>
      <c r="F62" s="39"/>
      <c r="G62" s="39"/>
      <c r="H62" s="83"/>
      <c r="I62" s="85"/>
      <c r="J62" s="85"/>
      <c r="K62" s="86"/>
      <c r="L62" s="84"/>
      <c r="M62" s="84"/>
      <c r="N62" s="84"/>
      <c r="O62" s="84"/>
      <c r="P62" s="84"/>
      <c r="Q62" s="3"/>
      <c r="R62" s="3"/>
      <c r="S62" s="3"/>
      <c r="T62" s="3"/>
      <c r="X62" s="76"/>
    </row>
    <row r="63" spans="1:24" s="75" customFormat="1">
      <c r="A63" s="3"/>
      <c r="B63" s="3"/>
      <c r="C63" s="3"/>
      <c r="D63" s="183" t="s">
        <v>15</v>
      </c>
      <c r="E63" s="32" t="s">
        <v>201</v>
      </c>
      <c r="F63" s="39"/>
      <c r="G63" s="87">
        <f>MIN(MAX(Eff.Inc.Constant+Eff.Inc.Slope*Menu.Choice.Water,UB.EffInc),LB.EffInc)</f>
        <v>0.56059999999999999</v>
      </c>
      <c r="H63" s="89" t="s">
        <v>215</v>
      </c>
      <c r="I63" s="85"/>
      <c r="J63" s="85"/>
      <c r="K63" s="86"/>
      <c r="L63" s="84"/>
      <c r="M63" s="84"/>
      <c r="N63" s="84"/>
      <c r="O63" s="84"/>
      <c r="P63" s="84"/>
      <c r="Q63" s="3"/>
      <c r="R63" s="3"/>
      <c r="S63" s="3"/>
      <c r="T63" s="3"/>
      <c r="X63" s="76"/>
    </row>
    <row r="64" spans="1:24" s="75" customFormat="1">
      <c r="A64" s="3"/>
      <c r="B64" s="3"/>
      <c r="C64" s="3"/>
      <c r="D64" s="30" t="s">
        <v>21</v>
      </c>
      <c r="E64" s="32" t="s">
        <v>203</v>
      </c>
      <c r="F64" s="39"/>
      <c r="G64" s="88">
        <f>MIN(MAX(Allowed.Exp.Constant+Allowed.Exp.Slope*Menu.Choice.Water,LB.AllExp),UB.AllExp)</f>
        <v>98.674999999999997</v>
      </c>
      <c r="H64" s="89" t="s">
        <v>216</v>
      </c>
      <c r="I64" s="85"/>
      <c r="J64" s="199"/>
      <c r="K64" s="86"/>
      <c r="L64" s="84"/>
      <c r="M64" s="84"/>
      <c r="N64" s="84"/>
      <c r="O64" s="84"/>
      <c r="P64" s="84"/>
      <c r="Q64" s="3"/>
      <c r="R64" s="3"/>
      <c r="S64" s="3"/>
      <c r="T64" s="3"/>
      <c r="X64" s="76"/>
    </row>
    <row r="65" spans="1:24" s="75" customFormat="1">
      <c r="A65" s="3"/>
      <c r="B65" s="3"/>
      <c r="C65" s="3"/>
      <c r="D65" s="30" t="s">
        <v>21</v>
      </c>
      <c r="E65" s="32" t="s">
        <v>205</v>
      </c>
      <c r="F65" s="39"/>
      <c r="G65" s="88">
        <f>MIN(MAX(Add.Income.Constant+Add.Income.1stOrder*Menu.Choice.Water+Add.Income.2ndOrder*(Menu.Choice.Water^2),UB.AddInc),LB.AddInc)</f>
        <v>0.71470499999999948</v>
      </c>
      <c r="H65" s="89" t="s">
        <v>217</v>
      </c>
      <c r="I65" s="85"/>
      <c r="J65" s="85"/>
      <c r="K65" s="86"/>
      <c r="L65" s="84"/>
      <c r="M65" s="84"/>
      <c r="N65" s="84"/>
      <c r="O65" s="84"/>
      <c r="P65" s="84"/>
      <c r="Q65" s="3"/>
      <c r="R65" s="3"/>
      <c r="S65" s="3"/>
      <c r="T65" s="3"/>
      <c r="X65" s="76"/>
    </row>
    <row r="66" spans="1:24" s="75" customFormat="1">
      <c r="A66" s="3"/>
      <c r="B66" s="3"/>
      <c r="C66" s="3"/>
      <c r="D66" s="30"/>
      <c r="E66" s="39"/>
      <c r="F66" s="39"/>
      <c r="G66" s="83"/>
      <c r="H66" s="83"/>
      <c r="I66" s="85"/>
      <c r="J66" s="85"/>
      <c r="K66" s="86"/>
      <c r="L66" s="84"/>
      <c r="M66" s="84"/>
      <c r="N66" s="84"/>
      <c r="O66" s="84"/>
      <c r="P66" s="84"/>
      <c r="Q66" s="3"/>
      <c r="R66" s="3"/>
      <c r="S66" s="3"/>
      <c r="T66" s="3"/>
      <c r="X66" s="76"/>
    </row>
    <row r="67" spans="1:24" s="75" customFormat="1">
      <c r="A67" s="3"/>
      <c r="B67" s="3"/>
      <c r="C67" s="3"/>
      <c r="D67" s="30"/>
      <c r="E67" s="49" t="s">
        <v>207</v>
      </c>
      <c r="F67" s="39"/>
      <c r="G67" s="39"/>
      <c r="H67" s="83"/>
      <c r="I67" s="85"/>
      <c r="J67" s="85"/>
      <c r="K67" s="86"/>
      <c r="L67" s="84"/>
      <c r="M67" s="84"/>
      <c r="N67" s="84"/>
      <c r="O67" s="84"/>
      <c r="P67" s="84"/>
      <c r="Q67" s="3"/>
      <c r="R67" s="3"/>
      <c r="S67" s="3"/>
      <c r="T67" s="3"/>
      <c r="X67" s="76"/>
    </row>
    <row r="68" spans="1:24" s="75" customFormat="1">
      <c r="A68" s="3"/>
      <c r="B68" s="3"/>
      <c r="C68" s="3"/>
      <c r="D68" s="183" t="s">
        <v>15</v>
      </c>
      <c r="E68" s="32" t="s">
        <v>208</v>
      </c>
      <c r="F68" s="39"/>
      <c r="G68" s="87">
        <f>MIN(MAX(Eff.Inc.Constant+Eff.Inc.Slope*Menu.Choice.Sewerage,UB.EffInc),LB.EffInc)</f>
        <v>0.59000000000000008</v>
      </c>
      <c r="H68" s="89" t="s">
        <v>218</v>
      </c>
      <c r="I68" s="85"/>
      <c r="J68" s="85"/>
      <c r="K68" s="86"/>
      <c r="L68" s="84"/>
      <c r="M68" s="84"/>
      <c r="N68" s="84"/>
      <c r="O68" s="84"/>
      <c r="P68" s="84"/>
      <c r="Q68" s="3"/>
      <c r="R68" s="3"/>
      <c r="S68" s="3"/>
      <c r="T68" s="3"/>
      <c r="X68" s="76"/>
    </row>
    <row r="69" spans="1:24" s="75" customFormat="1">
      <c r="A69" s="3"/>
      <c r="B69" s="3"/>
      <c r="C69" s="3"/>
      <c r="D69" s="30" t="s">
        <v>21</v>
      </c>
      <c r="E69" s="32" t="s">
        <v>210</v>
      </c>
      <c r="F69" s="39"/>
      <c r="G69" s="88">
        <f>MIN(MAX(Allowed.Exp.Constant+Allowed.Exp.Slope*Menu.Choice.Sewerage,LB.AllExp),UB.AllExp)</f>
        <v>95</v>
      </c>
      <c r="H69" s="89" t="s">
        <v>219</v>
      </c>
      <c r="I69" s="85"/>
      <c r="J69" s="85"/>
      <c r="K69" s="86"/>
      <c r="L69" s="84"/>
      <c r="M69" s="84"/>
      <c r="N69" s="84"/>
      <c r="O69" s="84"/>
      <c r="P69" s="84"/>
      <c r="Q69" s="3"/>
      <c r="R69" s="3"/>
      <c r="S69" s="3"/>
      <c r="T69" s="3"/>
      <c r="X69" s="76"/>
    </row>
    <row r="70" spans="1:24" s="75" customFormat="1">
      <c r="A70" s="3"/>
      <c r="B70" s="3"/>
      <c r="C70" s="3"/>
      <c r="D70" s="30" t="s">
        <v>21</v>
      </c>
      <c r="E70" s="32" t="s">
        <v>212</v>
      </c>
      <c r="F70" s="39"/>
      <c r="G70" s="88">
        <f>MIN(MAX(Add.Income.Constant+Add.Income.1stOrder*Menu.Choice.Sewerage+Add.Income.2ndOrder*(Menu.Choice.Sewerage^2),UB.AddInc),LB.AddInc)</f>
        <v>2.5499999999999989</v>
      </c>
      <c r="H70" s="89" t="s">
        <v>220</v>
      </c>
      <c r="I70" s="85"/>
      <c r="J70" s="85"/>
      <c r="K70" s="86"/>
      <c r="L70" s="84"/>
      <c r="M70" s="84"/>
      <c r="N70" s="84"/>
      <c r="O70" s="84"/>
      <c r="P70" s="84"/>
      <c r="Q70" s="3"/>
      <c r="R70" s="3"/>
      <c r="S70" s="3"/>
      <c r="T70" s="3"/>
      <c r="X70" s="76"/>
    </row>
    <row r="71" spans="1:24" s="75" customFormat="1">
      <c r="A71" s="3"/>
      <c r="B71" s="3"/>
      <c r="C71" s="3"/>
      <c r="D71" s="30"/>
      <c r="E71" s="39"/>
      <c r="F71" s="39"/>
      <c r="G71" s="83"/>
      <c r="H71" s="83"/>
      <c r="I71" s="85"/>
      <c r="J71" s="85"/>
      <c r="K71" s="86"/>
      <c r="L71" s="84"/>
      <c r="M71" s="84"/>
      <c r="N71" s="84"/>
      <c r="O71" s="84"/>
      <c r="P71" s="84"/>
      <c r="Q71" s="3"/>
      <c r="R71" s="3"/>
      <c r="S71" s="3"/>
      <c r="T71" s="3"/>
      <c r="X71" s="76"/>
    </row>
    <row r="72" spans="1:24" s="22" customFormat="1" ht="13.7">
      <c r="A72" s="19"/>
      <c r="B72" s="19"/>
      <c r="C72" s="19"/>
      <c r="D72" s="182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3.7">
      <c r="A74" s="19"/>
      <c r="B74" s="19"/>
      <c r="C74" s="19"/>
      <c r="D74" s="182"/>
      <c r="E74" s="21" t="s">
        <v>222</v>
      </c>
      <c r="F74" s="16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5" customFormat="1">
      <c r="A75" s="3"/>
      <c r="B75" s="3"/>
      <c r="C75" s="3"/>
      <c r="Q75" s="3"/>
      <c r="R75" s="3"/>
      <c r="S75" s="3"/>
      <c r="T75" s="3"/>
      <c r="X75" s="76"/>
    </row>
    <row r="76" spans="1:24" s="75" customFormat="1">
      <c r="A76" s="3"/>
      <c r="B76" s="3"/>
      <c r="C76" s="3"/>
      <c r="D76" s="30"/>
      <c r="E76" s="49" t="s">
        <v>223</v>
      </c>
      <c r="F76" s="161"/>
      <c r="G76" s="3"/>
      <c r="L76" s="3"/>
      <c r="M76" s="3"/>
      <c r="N76" s="3"/>
      <c r="R76" s="76"/>
    </row>
    <row r="77" spans="1:24" s="75" customFormat="1">
      <c r="B77" s="3"/>
      <c r="C77" s="3"/>
      <c r="D77" s="183" t="s">
        <v>15</v>
      </c>
      <c r="E77" s="32" t="s">
        <v>224</v>
      </c>
      <c r="F77" s="3"/>
      <c r="G77" s="201">
        <f>IF(SUM(Baseline.Totex.Water)&lt;&gt;0,SUM(Menu.Totex.Water)/SUM(Baseline.Totex.Water),0)</f>
        <v>1.0008037056667995</v>
      </c>
      <c r="L77" s="3"/>
      <c r="M77" s="3"/>
      <c r="N77" s="3"/>
      <c r="R77" s="76"/>
    </row>
    <row r="78" spans="1:24" s="75" customFormat="1">
      <c r="B78" s="3"/>
      <c r="C78" s="3"/>
      <c r="D78" s="30" t="s">
        <v>21</v>
      </c>
      <c r="E78" s="32" t="s">
        <v>225</v>
      </c>
      <c r="F78" s="39"/>
      <c r="G78" s="88">
        <f>G77*100</f>
        <v>100.08037056667996</v>
      </c>
      <c r="L78" s="3"/>
      <c r="M78" s="3"/>
      <c r="N78" s="3"/>
      <c r="R78" s="76"/>
    </row>
    <row r="79" spans="1:24" s="75" customFormat="1">
      <c r="B79" s="3"/>
      <c r="C79" s="3"/>
      <c r="D79" s="3"/>
      <c r="E79" s="3"/>
      <c r="F79" s="3"/>
      <c r="G79" s="3"/>
      <c r="L79" s="3"/>
      <c r="M79" s="3"/>
      <c r="N79" s="3"/>
      <c r="R79" s="76"/>
    </row>
    <row r="80" spans="1:24" s="75" customFormat="1">
      <c r="B80" s="3"/>
      <c r="C80" s="3"/>
      <c r="D80" s="30" t="s">
        <v>21</v>
      </c>
      <c r="E80" s="32" t="s">
        <v>226</v>
      </c>
      <c r="F80" s="161"/>
      <c r="G80" s="163">
        <f>(AllExp.Coeff.Water-G78)*EffInc.Coeff.Water+AddInc.Coeff.Water</f>
        <v>-7.3145739680787747E-2</v>
      </c>
      <c r="L80" s="3"/>
      <c r="M80" s="3"/>
      <c r="N80" s="3"/>
      <c r="R80" s="76"/>
    </row>
    <row r="81" spans="1:24" s="75" customFormat="1">
      <c r="B81" s="3"/>
      <c r="C81" s="3"/>
      <c r="D81" s="183" t="s">
        <v>15</v>
      </c>
      <c r="E81" s="32" t="s">
        <v>227</v>
      </c>
      <c r="F81" s="39"/>
      <c r="G81" s="200">
        <f>G80/100</f>
        <v>-7.3145739680787749E-4</v>
      </c>
      <c r="L81" s="3"/>
      <c r="M81" s="3"/>
      <c r="N81" s="3"/>
      <c r="R81" s="76"/>
    </row>
    <row r="82" spans="1:24" s="75" customFormat="1">
      <c r="B82" s="3"/>
      <c r="C82" s="3"/>
      <c r="L82" s="3"/>
      <c r="M82" s="3"/>
      <c r="N82" s="3"/>
      <c r="R82" s="76"/>
    </row>
    <row r="83" spans="1:24" s="75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6"/>
    </row>
    <row r="84" spans="1:24" s="75" customFormat="1">
      <c r="B84" s="3"/>
      <c r="C84" s="3"/>
      <c r="D84" s="183" t="s">
        <v>15</v>
      </c>
      <c r="E84" s="32" t="s">
        <v>229</v>
      </c>
      <c r="F84" s="3"/>
      <c r="G84" s="201">
        <f>IF(SUM(Baseline.Totex.Sewerage)&lt;&gt;0,SUM(Menu.Totex.Sewerage)/SUM(Baseline.Totex.Sewerage),0)</f>
        <v>0</v>
      </c>
      <c r="L84" s="3"/>
      <c r="M84" s="3"/>
      <c r="N84" s="3"/>
      <c r="R84" s="76"/>
    </row>
    <row r="85" spans="1:24" s="75" customFormat="1">
      <c r="B85" s="3"/>
      <c r="C85" s="3"/>
      <c r="D85" s="30" t="s">
        <v>21</v>
      </c>
      <c r="E85" s="32" t="s">
        <v>230</v>
      </c>
      <c r="F85" s="39"/>
      <c r="G85" s="88">
        <f>G84*100</f>
        <v>0</v>
      </c>
      <c r="L85" s="3"/>
      <c r="M85" s="3"/>
      <c r="N85" s="3"/>
      <c r="R85" s="76"/>
    </row>
    <row r="86" spans="1:24" s="75" customFormat="1">
      <c r="B86" s="3"/>
      <c r="C86" s="3"/>
      <c r="D86" s="3"/>
      <c r="E86" s="3"/>
      <c r="F86" s="3"/>
      <c r="G86" s="3"/>
      <c r="L86" s="3"/>
      <c r="M86" s="3"/>
      <c r="N86" s="3"/>
      <c r="R86" s="76"/>
    </row>
    <row r="87" spans="1:24" s="75" customFormat="1">
      <c r="B87" s="3"/>
      <c r="C87" s="3"/>
      <c r="D87" s="30" t="s">
        <v>21</v>
      </c>
      <c r="E87" s="32" t="s">
        <v>231</v>
      </c>
      <c r="F87" s="39"/>
      <c r="G87" s="162">
        <f>(AllExp.Coeff.Sewerage-G85)*EffInc.Coeff.Sewerage+AddInc.Coeff.Sewerage</f>
        <v>58.6</v>
      </c>
      <c r="H87" s="79"/>
      <c r="L87" s="3"/>
      <c r="M87" s="3"/>
      <c r="N87" s="3"/>
      <c r="R87" s="76"/>
    </row>
    <row r="88" spans="1:24" s="75" customFormat="1">
      <c r="B88" s="3"/>
      <c r="C88" s="3"/>
      <c r="D88" s="183" t="s">
        <v>15</v>
      </c>
      <c r="E88" s="32" t="s">
        <v>232</v>
      </c>
      <c r="F88" s="39"/>
      <c r="G88" s="200">
        <f>G87/100</f>
        <v>0.58599999999999997</v>
      </c>
      <c r="H88" s="79"/>
      <c r="L88" s="3"/>
      <c r="M88" s="3"/>
      <c r="N88" s="3"/>
      <c r="R88" s="76"/>
    </row>
    <row r="89" spans="1:24" s="75" customFormat="1">
      <c r="A89" s="3"/>
      <c r="B89" s="3"/>
      <c r="C89" s="3"/>
      <c r="Q89" s="3"/>
      <c r="R89" s="3"/>
      <c r="S89" s="3"/>
      <c r="T89" s="3"/>
      <c r="X89" s="76"/>
    </row>
    <row r="90" spans="1:24" s="22" customFormat="1" ht="13.7">
      <c r="A90" s="19"/>
      <c r="B90" s="19"/>
      <c r="C90" s="19"/>
      <c r="D90" s="182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5" customFormat="1">
      <c r="A91" s="3"/>
      <c r="B91" s="3"/>
      <c r="C91" s="3"/>
      <c r="Q91" s="3"/>
      <c r="R91" s="3"/>
      <c r="S91" s="3"/>
      <c r="T91" s="3"/>
      <c r="X91" s="76"/>
    </row>
    <row r="92" spans="1:24" s="75" customFormat="1">
      <c r="A92" s="3"/>
      <c r="B92" s="3"/>
      <c r="C92" s="3"/>
      <c r="E92" s="49" t="s">
        <v>234</v>
      </c>
      <c r="F92" s="161"/>
      <c r="L92" s="3"/>
      <c r="M92" s="3"/>
      <c r="N92" s="3"/>
      <c r="R92" s="76"/>
    </row>
    <row r="93" spans="1:24" s="75" customFormat="1">
      <c r="B93" s="3"/>
      <c r="C93" s="3"/>
      <c r="D93" s="30" t="s">
        <v>41</v>
      </c>
      <c r="E93" s="32" t="s">
        <v>235</v>
      </c>
      <c r="F93" s="33" t="s">
        <v>28</v>
      </c>
      <c r="G93" s="153">
        <f>G81*SUM(Baseline.Totex.Water)</f>
        <v>-0.78806707453925262</v>
      </c>
      <c r="L93" s="3"/>
      <c r="M93" s="3"/>
      <c r="N93" s="3"/>
      <c r="R93" s="76"/>
    </row>
    <row r="94" spans="1:24" s="75" customFormat="1">
      <c r="B94" s="3"/>
      <c r="C94" s="3"/>
      <c r="D94" s="30" t="s">
        <v>41</v>
      </c>
      <c r="E94" s="32" t="s">
        <v>236</v>
      </c>
      <c r="F94" s="33" t="s">
        <v>28</v>
      </c>
      <c r="G94" s="153">
        <f>G88*SUM(Baseline.Totex.Sewerage)</f>
        <v>0</v>
      </c>
      <c r="L94" s="3"/>
      <c r="M94" s="3"/>
      <c r="N94" s="3"/>
      <c r="R94" s="76"/>
    </row>
    <row r="95" spans="1:24" s="75" customFormat="1">
      <c r="B95" s="3"/>
      <c r="C95" s="3"/>
      <c r="D95" s="30"/>
      <c r="E95" s="32"/>
      <c r="F95" s="33"/>
      <c r="G95" s="153"/>
      <c r="L95" s="3"/>
      <c r="M95" s="3"/>
      <c r="N95" s="3"/>
      <c r="R95" s="76"/>
    </row>
    <row r="96" spans="1:24" s="192" customFormat="1">
      <c r="A96" s="75"/>
      <c r="B96" s="3"/>
      <c r="C96" s="3"/>
      <c r="D96" s="75"/>
      <c r="E96" s="49" t="s">
        <v>237</v>
      </c>
      <c r="F96" s="161"/>
      <c r="G96" s="75"/>
      <c r="H96" s="75"/>
      <c r="I96" s="75"/>
      <c r="J96" s="75"/>
      <c r="K96" s="75"/>
      <c r="L96" s="3"/>
      <c r="M96" s="3"/>
      <c r="N96" s="3"/>
      <c r="O96" s="75"/>
      <c r="P96" s="75"/>
      <c r="Q96" s="75"/>
      <c r="R96" s="76"/>
      <c r="S96" s="75"/>
      <c r="T96" s="75"/>
      <c r="U96" s="75"/>
      <c r="V96" s="75"/>
      <c r="W96" s="75"/>
      <c r="X96" s="75"/>
    </row>
    <row r="97" spans="1:24" s="192" customFormat="1">
      <c r="A97" s="75"/>
      <c r="B97" s="3"/>
      <c r="C97" s="3"/>
      <c r="D97" s="30" t="s">
        <v>41</v>
      </c>
      <c r="E97" s="32" t="s">
        <v>238</v>
      </c>
      <c r="F97" s="33" t="s">
        <v>28</v>
      </c>
      <c r="G97" s="75"/>
      <c r="H97" s="75"/>
      <c r="I97" s="75"/>
      <c r="J97" s="75"/>
      <c r="K97" s="75"/>
      <c r="L97" s="153">
        <f>FD.AddInc.Coeff.Water/100*Baseline.Totex.Water</f>
        <v>1.7588592709595459</v>
      </c>
      <c r="M97" s="153">
        <f>FD.AddInc.Coeff.Water/100*Baseline.Totex.Water</f>
        <v>1.77682222906581</v>
      </c>
      <c r="N97" s="153">
        <f>FD.AddInc.Coeff.Water/100*Baseline.Totex.Water</f>
        <v>1.5439543887365135</v>
      </c>
      <c r="O97" s="153">
        <f>FD.AddInc.Coeff.Water/100*Baseline.Totex.Water</f>
        <v>1.378832775503237</v>
      </c>
      <c r="P97" s="153">
        <f>FD.AddInc.Coeff.Water/100*Baseline.Totex.Water</f>
        <v>1.2730068720220769</v>
      </c>
      <c r="Q97" s="75"/>
      <c r="R97" s="76"/>
      <c r="S97" s="75"/>
      <c r="T97" s="75"/>
      <c r="U97" s="75"/>
      <c r="V97" s="75"/>
      <c r="W97" s="75"/>
      <c r="X97" s="75"/>
    </row>
    <row r="98" spans="1:24" s="192" customFormat="1">
      <c r="A98" s="75"/>
      <c r="B98" s="3"/>
      <c r="C98" s="3"/>
      <c r="D98" s="30" t="s">
        <v>41</v>
      </c>
      <c r="E98" s="32" t="s">
        <v>239</v>
      </c>
      <c r="F98" s="33" t="s">
        <v>28</v>
      </c>
      <c r="G98" s="75"/>
      <c r="H98" s="75"/>
      <c r="I98" s="75"/>
      <c r="J98" s="75"/>
      <c r="K98" s="75"/>
      <c r="L98" s="153">
        <f>FD.AddInc.Coeff.Sewerage/100*Baseline.Totex.Sewerage</f>
        <v>0</v>
      </c>
      <c r="M98" s="153">
        <f>FD.AddInc.Coeff.Sewerage/100*Baseline.Totex.Sewerage</f>
        <v>0</v>
      </c>
      <c r="N98" s="153">
        <f>FD.AddInc.Coeff.Sewerage/100*Baseline.Totex.Sewerage</f>
        <v>0</v>
      </c>
      <c r="O98" s="153">
        <f>FD.AddInc.Coeff.Sewerage/100*Baseline.Totex.Sewerage</f>
        <v>0</v>
      </c>
      <c r="P98" s="153">
        <f>FD.AddInc.Coeff.Sewerage/100*Baseline.Totex.Sewerage</f>
        <v>0</v>
      </c>
      <c r="Q98" s="75"/>
      <c r="R98" s="76"/>
      <c r="S98" s="75"/>
      <c r="T98" s="75"/>
      <c r="U98" s="75"/>
      <c r="V98" s="75"/>
      <c r="W98" s="75"/>
      <c r="X98" s="75"/>
    </row>
    <row r="99" spans="1:24" s="75" customFormat="1">
      <c r="B99" s="3"/>
      <c r="C99" s="3"/>
      <c r="D99" s="30"/>
      <c r="E99" s="32"/>
      <c r="F99" s="33"/>
      <c r="G99" s="153"/>
      <c r="L99" s="3"/>
      <c r="M99" s="3"/>
      <c r="N99" s="3"/>
      <c r="R99" s="76"/>
    </row>
    <row r="100" spans="1:24" s="192" customFormat="1">
      <c r="A100" s="75"/>
      <c r="B100" s="3"/>
      <c r="C100" s="3"/>
      <c r="D100" s="75"/>
      <c r="E100" s="49" t="s">
        <v>240</v>
      </c>
      <c r="F100" s="161"/>
      <c r="G100" s="75"/>
      <c r="H100" s="75"/>
      <c r="I100" s="75"/>
      <c r="J100" s="75"/>
      <c r="K100" s="75"/>
      <c r="L100" s="3"/>
      <c r="M100" s="3"/>
      <c r="N100" s="3"/>
      <c r="O100" s="75"/>
      <c r="P100" s="75"/>
      <c r="Q100" s="75"/>
      <c r="R100" s="76"/>
      <c r="S100" s="75"/>
      <c r="T100" s="75"/>
      <c r="U100" s="75"/>
      <c r="V100" s="75"/>
      <c r="W100" s="75"/>
      <c r="X100" s="75"/>
    </row>
    <row r="101" spans="1:24" s="192" customFormat="1">
      <c r="A101" s="75"/>
      <c r="B101" s="3"/>
      <c r="C101" s="3"/>
      <c r="D101" s="30" t="s">
        <v>41</v>
      </c>
      <c r="E101" s="32" t="s">
        <v>241</v>
      </c>
      <c r="F101" s="33" t="s">
        <v>28</v>
      </c>
      <c r="G101" s="153">
        <f>G93-SUM(L97:P97)</f>
        <v>-8.519542610826436</v>
      </c>
      <c r="H101" s="75"/>
      <c r="I101" s="75"/>
      <c r="J101" s="75"/>
      <c r="K101" s="75"/>
      <c r="L101" s="3"/>
      <c r="M101" s="3"/>
      <c r="N101" s="3"/>
      <c r="O101" s="75"/>
      <c r="P101" s="75"/>
      <c r="Q101" s="75"/>
      <c r="R101" s="76"/>
      <c r="S101" s="75"/>
      <c r="T101" s="75"/>
      <c r="U101" s="75"/>
      <c r="V101" s="75"/>
      <c r="W101" s="75"/>
      <c r="X101" s="75"/>
    </row>
    <row r="102" spans="1:24" s="192" customFormat="1">
      <c r="A102" s="75"/>
      <c r="B102" s="3"/>
      <c r="C102" s="3"/>
      <c r="D102" s="30" t="s">
        <v>41</v>
      </c>
      <c r="E102" s="32" t="s">
        <v>242</v>
      </c>
      <c r="F102" s="33" t="s">
        <v>28</v>
      </c>
      <c r="G102" s="153">
        <f>G94-SUM(L98:P98)</f>
        <v>0</v>
      </c>
      <c r="H102" s="75"/>
      <c r="I102" s="75"/>
      <c r="J102" s="75"/>
      <c r="K102" s="75"/>
      <c r="L102" s="3"/>
      <c r="M102" s="3"/>
      <c r="N102" s="3"/>
      <c r="O102" s="75"/>
      <c r="P102" s="75"/>
      <c r="Q102" s="75"/>
      <c r="R102" s="76"/>
      <c r="S102" s="75"/>
      <c r="T102" s="75"/>
      <c r="U102" s="75"/>
      <c r="V102" s="75"/>
      <c r="W102" s="75"/>
      <c r="X102" s="75"/>
    </row>
    <row r="103" spans="1:24" s="75" customFormat="1">
      <c r="B103" s="3"/>
      <c r="C103" s="3"/>
      <c r="D103" s="30"/>
      <c r="E103" s="32"/>
      <c r="F103" s="33"/>
      <c r="G103" s="153"/>
      <c r="H103" s="75" t="s">
        <v>243</v>
      </c>
      <c r="L103" s="3"/>
      <c r="M103" s="3"/>
      <c r="N103" s="3"/>
      <c r="R103" s="76"/>
    </row>
    <row r="104" spans="1:24" s="75" customFormat="1">
      <c r="B104" s="3"/>
      <c r="C104" s="3"/>
      <c r="E104" s="49" t="s">
        <v>244</v>
      </c>
      <c r="F104" s="161"/>
      <c r="G104" s="153"/>
      <c r="L104" s="153"/>
      <c r="M104" s="153"/>
      <c r="N104" s="153"/>
      <c r="O104" s="153"/>
      <c r="P104" s="153"/>
      <c r="R104" s="3"/>
      <c r="S104" s="3"/>
      <c r="T104" s="3"/>
      <c r="X104" s="76"/>
    </row>
    <row r="105" spans="1:24" s="75" customFormat="1">
      <c r="B105" s="3"/>
      <c r="C105" s="3"/>
      <c r="D105" s="30" t="s">
        <v>41</v>
      </c>
      <c r="E105" s="32" t="s">
        <v>245</v>
      </c>
      <c r="F105" s="33" t="s">
        <v>28</v>
      </c>
      <c r="G105" s="153"/>
      <c r="L105" s="153">
        <f>IF(SUM(Baseline.Totex.Water)=0,0,$G101*(Baseline.Totex.Water/SUM(Baseline.Totex.Water)))</f>
        <v>-1.9381392898493122</v>
      </c>
      <c r="M105" s="153">
        <f>IF(SUM(Baseline.Totex.Water)=0,0,$G101*(Baseline.Totex.Water/SUM(Baseline.Totex.Water)))</f>
        <v>-1.9579332071015292</v>
      </c>
      <c r="N105" s="153">
        <f>IF(SUM(Baseline.Totex.Water)=0,0,$G101*(Baseline.Totex.Water/SUM(Baseline.Totex.Water)))</f>
        <v>-1.7013292148797168</v>
      </c>
      <c r="O105" s="153">
        <f>IF(SUM(Baseline.Totex.Water)=0,0,$G101*(Baseline.Totex.Water/SUM(Baseline.Totex.Water)))</f>
        <v>-1.5193768031690724</v>
      </c>
      <c r="P105" s="153">
        <f>IF(SUM(Baseline.Totex.Water)=0,0,$G101*(Baseline.Totex.Water/SUM(Baseline.Totex.Water)))</f>
        <v>-1.4027640958268059</v>
      </c>
      <c r="R105" s="3"/>
      <c r="S105" s="3"/>
      <c r="T105" s="3"/>
      <c r="X105" s="76"/>
    </row>
    <row r="106" spans="1:24" s="75" customFormat="1">
      <c r="B106" s="3"/>
      <c r="C106" s="3"/>
      <c r="D106" s="30" t="s">
        <v>41</v>
      </c>
      <c r="E106" s="32" t="s">
        <v>246</v>
      </c>
      <c r="F106" s="33" t="s">
        <v>28</v>
      </c>
      <c r="G106" s="153"/>
      <c r="L106" s="153">
        <f>IF(SUM(Baseline.Totex.Sewerage)=0,0,$G102*(Baseline.Totex.Sewerage/SUM(Baseline.Totex.Sewerage)))</f>
        <v>0</v>
      </c>
      <c r="M106" s="153">
        <f>IF(SUM(Baseline.Totex.Sewerage)=0,0,$G102*(Baseline.Totex.Sewerage/SUM(Baseline.Totex.Sewerage)))</f>
        <v>0</v>
      </c>
      <c r="N106" s="153">
        <f>IF(SUM(Baseline.Totex.Sewerage)=0,0,$G102*(Baseline.Totex.Sewerage/SUM(Baseline.Totex.Sewerage)))</f>
        <v>0</v>
      </c>
      <c r="O106" s="153">
        <f>IF(SUM(Baseline.Totex.Sewerage)=0,0,$G102*(Baseline.Totex.Sewerage/SUM(Baseline.Totex.Sewerage)))</f>
        <v>0</v>
      </c>
      <c r="P106" s="153">
        <f>IF(SUM(Baseline.Totex.Sewerage)=0,0,$G102*(Baseline.Totex.Sewerage/SUM(Baseline.Totex.Sewerage)))</f>
        <v>0</v>
      </c>
      <c r="R106" s="3"/>
      <c r="S106" s="3"/>
      <c r="T106" s="3"/>
      <c r="X106" s="76"/>
    </row>
    <row r="107" spans="1:24" s="75" customFormat="1">
      <c r="B107" s="3"/>
      <c r="C107" s="3"/>
      <c r="D107" s="30"/>
      <c r="E107" s="32"/>
      <c r="F107" s="33"/>
      <c r="G107" s="153"/>
      <c r="L107" s="153"/>
      <c r="M107" s="153"/>
      <c r="N107" s="153"/>
      <c r="O107" s="153"/>
      <c r="P107" s="153"/>
      <c r="R107" s="3"/>
      <c r="S107" s="3"/>
      <c r="T107" s="3"/>
      <c r="X107" s="76"/>
    </row>
    <row r="108" spans="1:24" s="192" customFormat="1">
      <c r="A108" s="75"/>
      <c r="B108" s="3"/>
      <c r="C108" s="3"/>
      <c r="D108" s="75"/>
      <c r="E108" s="49" t="s">
        <v>247</v>
      </c>
      <c r="F108" s="161"/>
      <c r="G108" s="153"/>
      <c r="H108" s="75"/>
      <c r="I108" s="75"/>
      <c r="J108" s="75"/>
      <c r="K108" s="75"/>
      <c r="L108" s="153"/>
      <c r="M108" s="153"/>
      <c r="N108" s="153"/>
      <c r="O108" s="153"/>
      <c r="P108" s="153"/>
      <c r="Q108" s="75"/>
      <c r="R108" s="3"/>
      <c r="S108" s="3"/>
      <c r="T108" s="3"/>
      <c r="U108" s="75"/>
      <c r="V108" s="75"/>
      <c r="W108" s="75"/>
      <c r="X108" s="76"/>
    </row>
    <row r="109" spans="1:24" s="192" customFormat="1">
      <c r="A109" s="75"/>
      <c r="B109" s="3"/>
      <c r="C109" s="3"/>
      <c r="D109" s="30" t="s">
        <v>41</v>
      </c>
      <c r="E109" s="32" t="s">
        <v>245</v>
      </c>
      <c r="F109" s="33" t="s">
        <v>28</v>
      </c>
      <c r="G109" s="153"/>
      <c r="H109" s="75"/>
      <c r="I109" s="75"/>
      <c r="J109" s="75"/>
      <c r="K109" s="75"/>
      <c r="L109" s="153">
        <f>L105*(1+WACC)^Calcs!L7</f>
        <v>-2.2413001035366964</v>
      </c>
      <c r="M109" s="153">
        <f>M105*(1+WACC)^Calcs!M7</f>
        <v>-2.1834041999621037</v>
      </c>
      <c r="N109" s="153">
        <f>N105*(1+WACC)^Calcs!N7</f>
        <v>-1.8295566964759857</v>
      </c>
      <c r="O109" s="153">
        <f>O105*(1+WACC)^Calcs!O7</f>
        <v>-1.575593744886328</v>
      </c>
      <c r="P109" s="153">
        <f>P105*(1+WACC)^Calcs!P7</f>
        <v>-1.4027640958268059</v>
      </c>
      <c r="Q109" s="75"/>
      <c r="R109" s="3"/>
      <c r="S109" s="3"/>
      <c r="T109" s="3"/>
      <c r="U109" s="75"/>
      <c r="V109" s="75"/>
      <c r="W109" s="75"/>
      <c r="X109" s="76"/>
    </row>
    <row r="110" spans="1:24" s="192" customFormat="1">
      <c r="A110" s="75"/>
      <c r="B110" s="3"/>
      <c r="C110" s="3"/>
      <c r="D110" s="30" t="s">
        <v>41</v>
      </c>
      <c r="E110" s="32" t="s">
        <v>246</v>
      </c>
      <c r="F110" s="33" t="s">
        <v>28</v>
      </c>
      <c r="G110" s="153"/>
      <c r="H110" s="75"/>
      <c r="I110" s="75"/>
      <c r="J110" s="75"/>
      <c r="K110" s="75"/>
      <c r="L110" s="153">
        <f>L106*(1+WACC)^Calcs!L7</f>
        <v>0</v>
      </c>
      <c r="M110" s="153">
        <f>M106*(1+WACC)^Calcs!M7</f>
        <v>0</v>
      </c>
      <c r="N110" s="153">
        <f>N106*(1+WACC)^Calcs!N7</f>
        <v>0</v>
      </c>
      <c r="O110" s="153">
        <f>O106*(1+WACC)^Calcs!O7</f>
        <v>0</v>
      </c>
      <c r="P110" s="153">
        <f>P106*(1+WACC)^Calcs!P7</f>
        <v>0</v>
      </c>
      <c r="Q110" s="75"/>
      <c r="R110" s="3"/>
      <c r="S110" s="3"/>
      <c r="T110" s="3"/>
      <c r="U110" s="75"/>
      <c r="V110" s="75"/>
      <c r="W110" s="75"/>
      <c r="X110" s="76"/>
    </row>
    <row r="111" spans="1:24" s="192" customFormat="1">
      <c r="A111" s="3"/>
      <c r="B111" s="3"/>
      <c r="C111" s="3"/>
      <c r="D111" s="30"/>
      <c r="E111" s="32"/>
      <c r="F111" s="33"/>
      <c r="G111" s="153"/>
      <c r="H111" s="75"/>
      <c r="I111" s="75"/>
      <c r="J111" s="75"/>
      <c r="K111" s="75"/>
      <c r="L111" s="153"/>
      <c r="M111" s="153"/>
      <c r="N111" s="153"/>
      <c r="O111" s="153"/>
      <c r="P111" s="153"/>
      <c r="Q111" s="75"/>
      <c r="R111" s="3"/>
      <c r="S111" s="3"/>
      <c r="T111" s="3"/>
      <c r="U111" s="75"/>
      <c r="V111" s="75"/>
      <c r="W111" s="75"/>
      <c r="X111" s="76"/>
    </row>
    <row r="112" spans="1:24" s="192" customFormat="1">
      <c r="A112" s="3"/>
      <c r="B112" s="3"/>
      <c r="C112" s="3"/>
      <c r="D112" s="75"/>
      <c r="E112" s="151" t="s">
        <v>127</v>
      </c>
      <c r="F112" s="75"/>
      <c r="G112" s="75"/>
      <c r="H112" s="154"/>
      <c r="I112" s="75"/>
      <c r="J112" s="153"/>
      <c r="K112" s="153"/>
      <c r="L112" s="153"/>
      <c r="M112" s="153"/>
      <c r="N112" s="153"/>
      <c r="O112" s="153"/>
      <c r="P112" s="153"/>
      <c r="Q112" s="75"/>
      <c r="R112" s="3"/>
      <c r="S112" s="3"/>
      <c r="T112" s="3"/>
      <c r="U112" s="75"/>
      <c r="V112" s="75"/>
      <c r="W112" s="75"/>
      <c r="X112" s="76"/>
    </row>
    <row r="113" spans="1:24" s="192" customFormat="1">
      <c r="A113" s="75"/>
      <c r="B113" s="3"/>
      <c r="C113" s="3"/>
      <c r="D113" s="184" t="s">
        <v>41</v>
      </c>
      <c r="E113" s="152" t="s">
        <v>248</v>
      </c>
      <c r="F113" s="33" t="s">
        <v>28</v>
      </c>
      <c r="G113" s="75"/>
      <c r="H113" s="75"/>
      <c r="I113" s="75"/>
      <c r="J113" s="75"/>
      <c r="K113" s="75"/>
      <c r="L113" s="77"/>
      <c r="M113" s="75"/>
      <c r="N113" s="75"/>
      <c r="O113" s="75"/>
      <c r="P113" s="88">
        <f>SUM(L109:P109)</f>
        <v>-9.2326188406879197</v>
      </c>
      <c r="Q113" s="75"/>
      <c r="R113" s="3"/>
      <c r="S113" s="3"/>
      <c r="T113" s="3"/>
      <c r="U113" s="75"/>
      <c r="V113" s="75"/>
      <c r="W113" s="75"/>
      <c r="X113" s="76"/>
    </row>
    <row r="114" spans="1:24" s="192" customFormat="1">
      <c r="A114" s="75"/>
      <c r="B114" s="3"/>
      <c r="C114" s="3"/>
      <c r="D114" s="184" t="s">
        <v>41</v>
      </c>
      <c r="E114" s="152" t="s">
        <v>249</v>
      </c>
      <c r="F114" s="33" t="s">
        <v>28</v>
      </c>
      <c r="G114" s="75"/>
      <c r="H114" s="75"/>
      <c r="I114" s="75"/>
      <c r="J114" s="75"/>
      <c r="K114" s="75"/>
      <c r="L114" s="77"/>
      <c r="M114" s="75"/>
      <c r="N114" s="75"/>
      <c r="O114" s="75"/>
      <c r="P114" s="88">
        <f>SUM(L110:P110)</f>
        <v>0</v>
      </c>
      <c r="Q114" s="75"/>
      <c r="R114" s="3"/>
      <c r="S114" s="3"/>
      <c r="T114" s="3"/>
      <c r="U114" s="75"/>
      <c r="V114" s="75"/>
      <c r="W114" s="75"/>
      <c r="X114" s="76"/>
    </row>
    <row r="115" spans="1:24" s="192" customFormat="1">
      <c r="A115" s="3"/>
      <c r="B115" s="3"/>
      <c r="C115" s="3"/>
      <c r="D115" s="184"/>
      <c r="E115" s="152"/>
      <c r="F115" s="33"/>
      <c r="G115" s="75"/>
      <c r="H115" s="75"/>
      <c r="I115" s="75"/>
      <c r="J115" s="75"/>
      <c r="K115" s="75"/>
      <c r="L115" s="77"/>
      <c r="M115" s="75"/>
      <c r="N115" s="75"/>
      <c r="O115" s="75"/>
      <c r="P115" s="75"/>
      <c r="Q115" s="75"/>
      <c r="R115" s="3"/>
      <c r="S115" s="3"/>
      <c r="T115" s="3"/>
      <c r="U115" s="75"/>
      <c r="V115" s="75"/>
      <c r="W115" s="75"/>
      <c r="X115" s="76"/>
    </row>
    <row r="116" spans="1:24" s="22" customFormat="1" ht="13.7">
      <c r="A116" s="19"/>
      <c r="B116" s="19"/>
      <c r="C116" s="19"/>
      <c r="D116" s="182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92" customFormat="1">
      <c r="A117" s="3"/>
      <c r="B117" s="3"/>
      <c r="C117" s="3"/>
      <c r="D117" s="30"/>
      <c r="E117" s="32"/>
      <c r="F117" s="33"/>
      <c r="G117" s="153"/>
      <c r="H117" s="75"/>
      <c r="I117" s="75"/>
      <c r="J117" s="75"/>
      <c r="K117" s="75"/>
      <c r="L117" s="153"/>
      <c r="M117" s="153"/>
      <c r="N117" s="153"/>
      <c r="O117" s="153"/>
      <c r="P117" s="153"/>
      <c r="Q117" s="75"/>
      <c r="R117" s="3"/>
      <c r="S117" s="3"/>
      <c r="T117" s="3"/>
      <c r="U117" s="75"/>
      <c r="V117" s="75"/>
      <c r="W117" s="75"/>
      <c r="X117" s="76"/>
    </row>
    <row r="118" spans="1:24" s="192" customFormat="1">
      <c r="A118" s="3"/>
      <c r="B118" s="3"/>
      <c r="C118" s="3"/>
      <c r="E118" s="212"/>
      <c r="F118" s="213"/>
      <c r="G118" s="214"/>
      <c r="L118" s="214"/>
      <c r="M118" s="214"/>
      <c r="N118" s="214"/>
      <c r="O118" s="214"/>
      <c r="P118" s="214"/>
      <c r="Q118" s="193"/>
      <c r="R118" s="193"/>
      <c r="S118" s="193"/>
      <c r="T118" s="193"/>
      <c r="W118" s="75"/>
      <c r="X118" s="215"/>
    </row>
    <row r="119" spans="1:24" s="192" customFormat="1">
      <c r="A119" s="3"/>
      <c r="B119" s="3"/>
      <c r="C119" s="3"/>
      <c r="D119" s="189"/>
      <c r="E119" s="216"/>
      <c r="F119" s="217"/>
      <c r="L119" s="218"/>
      <c r="M119" s="218"/>
      <c r="N119" s="218"/>
      <c r="O119" s="218"/>
      <c r="P119" s="218"/>
      <c r="Q119" s="213"/>
      <c r="R119" s="193"/>
      <c r="S119" s="193"/>
      <c r="T119" s="193"/>
      <c r="W119" s="75"/>
      <c r="X119" s="215"/>
    </row>
    <row r="120" spans="1:24" s="192" customFormat="1">
      <c r="A120" s="3"/>
      <c r="B120" s="3"/>
      <c r="C120" s="3"/>
      <c r="D120" s="189"/>
      <c r="E120" s="216"/>
      <c r="F120" s="217"/>
      <c r="K120" s="218"/>
      <c r="L120" s="218"/>
      <c r="M120" s="218"/>
      <c r="N120" s="218"/>
      <c r="O120" s="218"/>
      <c r="P120" s="218"/>
      <c r="Q120" s="213"/>
      <c r="R120" s="193"/>
      <c r="S120" s="193"/>
      <c r="T120" s="193"/>
      <c r="W120" s="75"/>
      <c r="X120" s="215"/>
    </row>
    <row r="121" spans="1:24" s="192" customFormat="1">
      <c r="A121" s="3"/>
      <c r="B121" s="3"/>
      <c r="C121" s="3"/>
      <c r="D121" s="30"/>
      <c r="E121" s="32"/>
      <c r="F121" s="33"/>
      <c r="G121" s="153"/>
      <c r="H121" s="75"/>
      <c r="I121" s="75"/>
      <c r="J121" s="75"/>
      <c r="K121" s="75"/>
      <c r="L121" s="153"/>
      <c r="M121" s="153"/>
      <c r="N121" s="153"/>
      <c r="O121" s="153"/>
      <c r="P121" s="153"/>
      <c r="Q121" s="75"/>
      <c r="R121" s="3"/>
      <c r="S121" s="3"/>
      <c r="T121" s="3"/>
      <c r="U121" s="75"/>
      <c r="V121" s="75"/>
      <c r="W121" s="75"/>
      <c r="X121" s="76"/>
    </row>
    <row r="122" spans="1:24" s="192" customFormat="1">
      <c r="A122" s="3"/>
      <c r="B122" s="3"/>
      <c r="C122" s="3"/>
      <c r="D122" s="75"/>
      <c r="E122" s="49" t="s">
        <v>251</v>
      </c>
      <c r="F122" s="161"/>
      <c r="G122" s="77"/>
      <c r="H122" s="75"/>
      <c r="I122" s="75"/>
      <c r="J122" s="75"/>
      <c r="K122" s="75"/>
      <c r="L122" s="77"/>
      <c r="M122" s="77"/>
      <c r="N122" s="77"/>
      <c r="O122" s="77"/>
      <c r="P122" s="77"/>
      <c r="Q122" s="75"/>
      <c r="R122" s="3"/>
      <c r="S122" s="3"/>
      <c r="T122" s="3"/>
      <c r="U122" s="75"/>
      <c r="V122" s="75"/>
      <c r="W122" s="75"/>
      <c r="X122" s="76"/>
    </row>
    <row r="123" spans="1:24" s="206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5"/>
      <c r="H123" s="75"/>
      <c r="I123" s="75"/>
      <c r="J123" s="75"/>
      <c r="K123" s="75"/>
      <c r="L123" s="153"/>
      <c r="M123" s="153"/>
      <c r="N123" s="153">
        <f>BR.IDoK.Water/Indexation.Average</f>
        <v>0</v>
      </c>
      <c r="O123" s="153">
        <f>BR.IDoK.Water/Indexation.Average</f>
        <v>0</v>
      </c>
      <c r="P123" s="153">
        <f>BR.IDoK.Water/Indexation.Average</f>
        <v>0</v>
      </c>
      <c r="Q123" s="75"/>
      <c r="R123" s="3"/>
      <c r="S123" s="3"/>
      <c r="T123" s="3"/>
      <c r="U123" s="75"/>
      <c r="V123" s="75"/>
      <c r="W123" s="75"/>
      <c r="X123" s="76"/>
    </row>
    <row r="124" spans="1:24" s="192" customFormat="1">
      <c r="A124" s="3"/>
      <c r="B124" s="3"/>
      <c r="C124" s="3"/>
      <c r="D124" s="30"/>
      <c r="E124" s="32"/>
      <c r="F124" s="33"/>
      <c r="G124" s="75"/>
      <c r="H124" s="75"/>
      <c r="I124" s="75"/>
      <c r="J124" s="75"/>
      <c r="K124" s="153"/>
      <c r="L124" s="153"/>
      <c r="M124" s="153"/>
      <c r="N124" s="153"/>
      <c r="O124" s="153"/>
      <c r="P124" s="153"/>
      <c r="Q124" s="75"/>
      <c r="R124" s="3"/>
      <c r="S124" s="3"/>
      <c r="T124" s="3"/>
      <c r="U124" s="75"/>
      <c r="V124" s="75"/>
      <c r="W124" s="75"/>
      <c r="X124" s="76"/>
    </row>
    <row r="125" spans="1:24" s="192" customFormat="1">
      <c r="A125" s="3"/>
      <c r="B125" s="3"/>
      <c r="C125" s="3"/>
      <c r="D125" s="75"/>
      <c r="E125" s="49" t="s">
        <v>253</v>
      </c>
      <c r="F125" s="161"/>
      <c r="G125" s="153"/>
      <c r="H125" s="75"/>
      <c r="I125" s="75"/>
      <c r="J125" s="75"/>
      <c r="K125" s="75"/>
      <c r="L125" s="153"/>
      <c r="M125" s="153"/>
      <c r="N125" s="153"/>
      <c r="O125" s="153"/>
      <c r="P125" s="153"/>
      <c r="Q125" s="75"/>
      <c r="R125" s="3"/>
      <c r="S125" s="3"/>
      <c r="T125" s="3"/>
      <c r="U125" s="75"/>
      <c r="V125" s="75"/>
      <c r="W125" s="75"/>
      <c r="X125" s="76"/>
    </row>
    <row r="126" spans="1:24" s="192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53"/>
      <c r="H126" s="75"/>
      <c r="I126" s="75"/>
      <c r="J126" s="75"/>
      <c r="K126" s="75"/>
      <c r="L126" s="153">
        <f>(L123)*(1+WACC)^Calcs!L7</f>
        <v>0</v>
      </c>
      <c r="M126" s="153">
        <f>(M123)*(1+WACC)^Calcs!M7</f>
        <v>0</v>
      </c>
      <c r="N126" s="153">
        <f>(N123)*(1+WACC)^Calcs!N7</f>
        <v>0</v>
      </c>
      <c r="O126" s="153">
        <f>(O123)*(1+WACC)^Calcs!O7</f>
        <v>0</v>
      </c>
      <c r="P126" s="153">
        <f>(P123)*(1+WACC)^Calcs!P7</f>
        <v>0</v>
      </c>
      <c r="Q126" s="75"/>
      <c r="R126" s="3"/>
      <c r="S126" s="3"/>
      <c r="T126" s="3"/>
      <c r="U126" s="75"/>
      <c r="V126" s="75"/>
      <c r="W126" s="75"/>
      <c r="X126" s="76"/>
    </row>
    <row r="127" spans="1:24" s="192" customFormat="1">
      <c r="A127" s="3"/>
      <c r="B127" s="3"/>
      <c r="C127" s="3"/>
      <c r="D127" s="189"/>
      <c r="E127" s="216"/>
      <c r="F127" s="217"/>
      <c r="G127" s="218"/>
      <c r="L127" s="218"/>
      <c r="M127" s="218"/>
      <c r="N127" s="218"/>
      <c r="O127" s="218"/>
      <c r="P127" s="218"/>
      <c r="R127" s="193"/>
      <c r="S127" s="193"/>
      <c r="T127" s="193"/>
      <c r="W127" s="75"/>
      <c r="X127" s="215"/>
    </row>
    <row r="128" spans="1:24" s="192" customFormat="1">
      <c r="A128" s="3"/>
      <c r="B128" s="3"/>
      <c r="C128" s="3"/>
      <c r="D128" s="30"/>
      <c r="E128" s="32"/>
      <c r="F128" s="33"/>
      <c r="G128" s="153"/>
      <c r="H128" s="75"/>
      <c r="I128" s="75"/>
      <c r="J128" s="75"/>
      <c r="K128" s="75"/>
      <c r="L128" s="153"/>
      <c r="M128" s="153"/>
      <c r="N128" s="153"/>
      <c r="O128" s="153"/>
      <c r="P128" s="153"/>
      <c r="Q128" s="75"/>
      <c r="R128" s="3"/>
      <c r="S128" s="3"/>
      <c r="T128" s="3"/>
      <c r="U128" s="75"/>
      <c r="V128" s="75"/>
      <c r="W128" s="75"/>
      <c r="X128" s="76"/>
    </row>
    <row r="129" spans="1:24" s="192" customFormat="1">
      <c r="A129" s="3"/>
      <c r="B129" s="3"/>
      <c r="C129" s="3"/>
      <c r="D129" s="75"/>
      <c r="E129" s="151" t="s">
        <v>255</v>
      </c>
      <c r="F129" s="75"/>
      <c r="G129" s="75"/>
      <c r="H129" s="154"/>
      <c r="I129" s="75"/>
      <c r="J129" s="153"/>
      <c r="K129" s="153"/>
      <c r="L129" s="153"/>
      <c r="M129" s="153"/>
      <c r="N129" s="153"/>
      <c r="O129" s="153"/>
      <c r="P129" s="153"/>
      <c r="Q129" s="75"/>
      <c r="R129" s="3"/>
      <c r="S129" s="3"/>
      <c r="T129" s="3"/>
      <c r="U129" s="75"/>
      <c r="V129" s="75"/>
      <c r="W129" s="75"/>
      <c r="X129" s="76"/>
    </row>
    <row r="130" spans="1:24" s="192" customFormat="1">
      <c r="A130" s="3"/>
      <c r="B130" s="3"/>
      <c r="C130" s="3"/>
      <c r="D130" s="184" t="s">
        <v>41</v>
      </c>
      <c r="E130" s="32" t="s">
        <v>254</v>
      </c>
      <c r="F130" s="33" t="s">
        <v>28</v>
      </c>
      <c r="G130" s="75"/>
      <c r="H130" s="75"/>
      <c r="I130" s="75"/>
      <c r="J130" s="75"/>
      <c r="K130" s="75"/>
      <c r="L130" s="77"/>
      <c r="M130" s="75"/>
      <c r="N130" s="75"/>
      <c r="O130" s="75"/>
      <c r="P130" s="88">
        <f>SUM(L126:P126)</f>
        <v>0</v>
      </c>
      <c r="Q130" s="75"/>
      <c r="R130" s="3"/>
      <c r="S130" s="3"/>
      <c r="T130" s="3"/>
      <c r="U130" s="75"/>
      <c r="V130" s="75"/>
      <c r="W130" s="75"/>
      <c r="X130" s="76"/>
    </row>
    <row r="131" spans="1:24" s="192" customFormat="1">
      <c r="A131" s="3"/>
      <c r="B131" s="3"/>
      <c r="C131" s="3"/>
      <c r="D131" s="219"/>
      <c r="E131" s="216"/>
      <c r="F131" s="217"/>
      <c r="L131" s="214"/>
      <c r="R131" s="193"/>
      <c r="S131" s="193"/>
      <c r="T131" s="193"/>
      <c r="W131" s="75"/>
      <c r="X131" s="215"/>
    </row>
    <row r="132" spans="1:24" s="192" customFormat="1">
      <c r="A132" s="3"/>
      <c r="B132" s="3"/>
      <c r="C132" s="3"/>
      <c r="D132" s="30"/>
      <c r="E132" s="32"/>
      <c r="F132" s="33"/>
      <c r="G132" s="153"/>
      <c r="H132" s="75"/>
      <c r="I132" s="75"/>
      <c r="J132" s="75"/>
      <c r="K132" s="75"/>
      <c r="L132" s="153"/>
      <c r="M132" s="153"/>
      <c r="N132" s="153"/>
      <c r="O132" s="153"/>
      <c r="P132" s="153"/>
      <c r="Q132" s="75"/>
      <c r="R132" s="3"/>
      <c r="S132" s="3"/>
      <c r="T132" s="3"/>
      <c r="U132" s="75"/>
      <c r="V132" s="75"/>
      <c r="W132" s="75"/>
      <c r="X132" s="76"/>
    </row>
    <row r="133" spans="1:24" s="22" customFormat="1" ht="13.7">
      <c r="A133" s="19"/>
      <c r="B133" s="19"/>
      <c r="C133" s="19"/>
      <c r="D133" s="182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92" customFormat="1">
      <c r="A134" s="3"/>
      <c r="B134" s="3"/>
      <c r="C134" s="3"/>
      <c r="D134" s="30"/>
      <c r="E134" s="32"/>
      <c r="F134" s="33"/>
      <c r="G134" s="153"/>
      <c r="H134" s="75"/>
      <c r="I134" s="75"/>
      <c r="J134" s="75"/>
      <c r="K134" s="75"/>
      <c r="L134" s="153"/>
      <c r="M134" s="153"/>
      <c r="N134" s="153"/>
      <c r="O134" s="153"/>
      <c r="P134" s="153"/>
      <c r="Q134" s="75"/>
      <c r="R134" s="3"/>
      <c r="S134" s="3"/>
      <c r="T134" s="3"/>
      <c r="U134" s="75"/>
      <c r="V134" s="75"/>
      <c r="W134" s="75"/>
      <c r="X134" s="76"/>
    </row>
    <row r="135" spans="1:24" s="206" customFormat="1">
      <c r="A135" s="3"/>
      <c r="B135" s="3"/>
      <c r="C135" s="3"/>
      <c r="D135" s="25"/>
      <c r="E135" s="27" t="s">
        <v>257</v>
      </c>
      <c r="F135" s="33"/>
      <c r="G135" s="153"/>
      <c r="H135" s="75"/>
      <c r="I135" s="75"/>
      <c r="J135" s="75"/>
      <c r="K135" s="75"/>
      <c r="L135" s="153"/>
      <c r="M135" s="153"/>
      <c r="N135" s="153"/>
      <c r="O135" s="153"/>
      <c r="P135" s="153"/>
      <c r="Q135" s="75"/>
      <c r="R135" s="3"/>
      <c r="S135" s="3"/>
      <c r="T135" s="3"/>
      <c r="U135" s="75"/>
      <c r="V135" s="210"/>
      <c r="W135" s="211" t="s">
        <v>258</v>
      </c>
      <c r="X135" s="76"/>
    </row>
    <row r="136" spans="1:24" s="206" customFormat="1">
      <c r="A136" s="75"/>
      <c r="B136" s="3"/>
      <c r="C136" s="3"/>
      <c r="D136" s="30" t="s">
        <v>41</v>
      </c>
      <c r="E136" s="32" t="s">
        <v>259</v>
      </c>
      <c r="F136" s="33" t="s">
        <v>28</v>
      </c>
      <c r="G136" s="153"/>
      <c r="H136" s="75"/>
      <c r="I136" s="75"/>
      <c r="J136" s="75"/>
      <c r="K136" s="75"/>
      <c r="L136" s="153">
        <f>Baseline.Totex.Water*(FD.AllExp.Coeff.Water/100)</f>
        <v>241.83870595932328</v>
      </c>
      <c r="M136" s="153">
        <f>Baseline.Totex.Water*(FD.AllExp.Coeff.Water/100)</f>
        <v>244.30856731511582</v>
      </c>
      <c r="N136" s="153">
        <f>Baseline.Totex.Water*(FD.AllExp.Coeff.Water/100)</f>
        <v>212.28982761568787</v>
      </c>
      <c r="O136" s="153">
        <f>Baseline.Totex.Water*(FD.AllExp.Coeff.Water/100)</f>
        <v>189.58602297959203</v>
      </c>
      <c r="P136" s="153">
        <f>Baseline.Totex.Water*(FD.AllExp.Coeff.Water/100)</f>
        <v>175.03522862246425</v>
      </c>
      <c r="Q136" s="75"/>
      <c r="R136" s="3"/>
      <c r="S136" s="3"/>
      <c r="T136" s="3"/>
      <c r="U136" s="75"/>
      <c r="V136" s="210"/>
      <c r="W136" s="210"/>
      <c r="X136" s="76"/>
    </row>
    <row r="137" spans="1:24" s="206" customFormat="1">
      <c r="A137" s="75"/>
      <c r="B137" s="3"/>
      <c r="C137" s="3"/>
      <c r="D137" s="30" t="s">
        <v>41</v>
      </c>
      <c r="E137" s="32" t="s">
        <v>260</v>
      </c>
      <c r="F137" s="33" t="s">
        <v>28</v>
      </c>
      <c r="G137" s="153"/>
      <c r="H137" s="75"/>
      <c r="I137" s="75"/>
      <c r="J137" s="75"/>
      <c r="K137" s="75"/>
      <c r="L137" s="153">
        <f>Baseline.Totex.Sewerage*(FD.AllExp.Coeff.Sewerage/100)</f>
        <v>0</v>
      </c>
      <c r="M137" s="153">
        <f>Baseline.Totex.Sewerage*(FD.AllExp.Coeff.Sewerage/100)</f>
        <v>0</v>
      </c>
      <c r="N137" s="153">
        <f>Baseline.Totex.Sewerage*(FD.AllExp.Coeff.Sewerage/100)</f>
        <v>0</v>
      </c>
      <c r="O137" s="153">
        <f>Baseline.Totex.Sewerage*(FD.AllExp.Coeff.Sewerage/100)</f>
        <v>0</v>
      </c>
      <c r="P137" s="153">
        <f>Baseline.Totex.Sewerage*(FD.AllExp.Coeff.Sewerage/100)</f>
        <v>0</v>
      </c>
      <c r="Q137" s="75"/>
      <c r="R137" s="3"/>
      <c r="S137" s="3"/>
      <c r="T137" s="3"/>
      <c r="U137" s="75"/>
      <c r="V137" s="210"/>
      <c r="W137" s="75"/>
      <c r="X137" s="76"/>
    </row>
    <row r="138" spans="1:24" s="206" customFormat="1">
      <c r="A138" s="75"/>
      <c r="B138" s="3"/>
      <c r="C138" s="3"/>
      <c r="D138" s="30"/>
      <c r="E138" s="32"/>
      <c r="F138" s="33"/>
      <c r="G138" s="153"/>
      <c r="H138" s="75"/>
      <c r="I138" s="75"/>
      <c r="J138" s="75"/>
      <c r="K138" s="75"/>
      <c r="L138" s="153"/>
      <c r="M138" s="153"/>
      <c r="N138" s="153"/>
      <c r="O138" s="153"/>
      <c r="P138" s="153"/>
      <c r="Q138" s="75"/>
      <c r="R138" s="3"/>
      <c r="S138" s="3"/>
      <c r="T138" s="3"/>
      <c r="U138" s="75"/>
      <c r="V138" s="210"/>
      <c r="W138" s="75"/>
      <c r="X138" s="76"/>
    </row>
    <row r="139" spans="1:24" s="206" customFormat="1">
      <c r="A139" s="75"/>
      <c r="B139" s="3"/>
      <c r="C139" s="3"/>
      <c r="D139" s="30"/>
      <c r="E139" s="27" t="s">
        <v>47</v>
      </c>
      <c r="F139" s="33"/>
      <c r="G139" s="153"/>
      <c r="H139" s="75"/>
      <c r="I139" s="75"/>
      <c r="J139" s="75"/>
      <c r="K139" s="75"/>
      <c r="L139" s="153"/>
      <c r="M139" s="153"/>
      <c r="N139" s="153"/>
      <c r="O139" s="153"/>
      <c r="P139" s="153"/>
      <c r="Q139" s="75"/>
      <c r="R139" s="3"/>
      <c r="S139" s="3"/>
      <c r="T139" s="3"/>
      <c r="U139" s="75"/>
      <c r="V139" s="210"/>
      <c r="W139" s="211" t="s">
        <v>261</v>
      </c>
      <c r="X139" s="76"/>
    </row>
    <row r="140" spans="1:24" s="206" customFormat="1">
      <c r="A140" s="75"/>
      <c r="B140" s="3"/>
      <c r="C140" s="3"/>
      <c r="D140" s="30" t="s">
        <v>41</v>
      </c>
      <c r="E140" s="32" t="s">
        <v>48</v>
      </c>
      <c r="F140" s="33" t="s">
        <v>28</v>
      </c>
      <c r="G140" s="210"/>
      <c r="H140" s="75"/>
      <c r="I140" s="75"/>
      <c r="J140" s="75"/>
      <c r="K140" s="75"/>
      <c r="L140" s="153">
        <f>Inputs!L46</f>
        <v>244.183820208876</v>
      </c>
      <c r="M140" s="153">
        <f>Inputs!M46</f>
        <v>246.52068156466899</v>
      </c>
      <c r="N140" s="153">
        <f>Inputs!N46</f>
        <v>214.50194186524101</v>
      </c>
      <c r="O140" s="153">
        <f>Inputs!O46</f>
        <v>191.79813722914599</v>
      </c>
      <c r="P140" s="153">
        <f>Inputs!P46</f>
        <v>177.24734287201699</v>
      </c>
      <c r="Q140" s="75"/>
      <c r="R140" s="3"/>
      <c r="S140" s="3"/>
      <c r="T140" s="3"/>
      <c r="U140" s="75"/>
      <c r="V140" s="210"/>
      <c r="W140" s="75"/>
      <c r="X140" s="76"/>
    </row>
    <row r="141" spans="1:24" s="206" customFormat="1">
      <c r="A141" s="75"/>
      <c r="B141" s="3"/>
      <c r="C141" s="3"/>
      <c r="D141" s="30" t="s">
        <v>41</v>
      </c>
      <c r="E141" s="32" t="s">
        <v>50</v>
      </c>
      <c r="F141" s="33" t="s">
        <v>28</v>
      </c>
      <c r="G141" s="153"/>
      <c r="H141" s="75"/>
      <c r="I141" s="75"/>
      <c r="J141" s="75"/>
      <c r="K141" s="75"/>
      <c r="L141" s="153">
        <f>Inputs!L47</f>
        <v>0</v>
      </c>
      <c r="M141" s="153">
        <f>Inputs!M47</f>
        <v>0</v>
      </c>
      <c r="N141" s="153">
        <f>Inputs!N47</f>
        <v>0</v>
      </c>
      <c r="O141" s="153">
        <f>Inputs!O47</f>
        <v>0</v>
      </c>
      <c r="P141" s="153">
        <f>Inputs!P47</f>
        <v>0</v>
      </c>
      <c r="Q141" s="75"/>
      <c r="R141" s="3"/>
      <c r="S141" s="3"/>
      <c r="T141" s="3"/>
      <c r="U141" s="75"/>
      <c r="V141" s="75"/>
      <c r="W141" s="75"/>
      <c r="X141" s="76"/>
    </row>
    <row r="142" spans="1:24" s="206" customFormat="1">
      <c r="A142" s="75"/>
      <c r="B142" s="3"/>
      <c r="C142" s="3"/>
      <c r="D142" s="30"/>
      <c r="E142" s="32"/>
      <c r="F142" s="33"/>
      <c r="G142" s="153"/>
      <c r="H142" s="75"/>
      <c r="I142" s="75"/>
      <c r="J142" s="75"/>
      <c r="K142" s="75"/>
      <c r="L142" s="153"/>
      <c r="M142" s="153"/>
      <c r="N142" s="153"/>
      <c r="O142" s="153"/>
      <c r="P142" s="153"/>
      <c r="Q142" s="75"/>
      <c r="R142" s="3"/>
      <c r="S142" s="3"/>
      <c r="T142" s="3"/>
      <c r="U142" s="75"/>
      <c r="V142" s="75"/>
      <c r="W142" s="75"/>
      <c r="X142" s="76"/>
    </row>
    <row r="143" spans="1:24" s="206" customFormat="1">
      <c r="A143" s="75"/>
      <c r="B143" s="3"/>
      <c r="C143" s="3"/>
      <c r="D143" s="30"/>
      <c r="E143" s="27" t="s">
        <v>262</v>
      </c>
      <c r="F143" s="33"/>
      <c r="G143" s="153"/>
      <c r="H143" s="75"/>
      <c r="I143" s="75"/>
      <c r="J143" s="75"/>
      <c r="K143" s="75"/>
      <c r="L143" s="153"/>
      <c r="M143" s="153"/>
      <c r="N143" s="153"/>
      <c r="O143" s="153"/>
      <c r="P143" s="153"/>
      <c r="Q143" s="75"/>
      <c r="R143" s="3"/>
      <c r="S143" s="3"/>
      <c r="T143" s="3"/>
      <c r="U143" s="75"/>
      <c r="V143" s="75"/>
      <c r="W143" s="75"/>
      <c r="X143" s="76"/>
    </row>
    <row r="144" spans="1:24" s="206" customFormat="1">
      <c r="A144" s="75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5"/>
      <c r="I144" s="75"/>
      <c r="J144" s="75"/>
      <c r="K144" s="75"/>
      <c r="L144" s="153">
        <f>L140-L136</f>
        <v>2.3451142495527222</v>
      </c>
      <c r="M144" s="153">
        <f t="shared" ref="M144:P144" si="5">M140-M136</f>
        <v>2.2121142495531672</v>
      </c>
      <c r="N144" s="153">
        <f t="shared" si="5"/>
        <v>2.2121142495531387</v>
      </c>
      <c r="O144" s="153">
        <f t="shared" si="5"/>
        <v>2.212114249553963</v>
      </c>
      <c r="P144" s="153">
        <f t="shared" si="5"/>
        <v>2.2121142495527408</v>
      </c>
      <c r="Q144" s="75"/>
      <c r="R144" s="3"/>
      <c r="S144" s="3"/>
      <c r="T144" s="3"/>
      <c r="U144" s="75"/>
      <c r="V144" s="75"/>
      <c r="W144" s="75"/>
      <c r="X144" s="76"/>
    </row>
    <row r="145" spans="1:24" s="206" customFormat="1">
      <c r="A145" s="75"/>
      <c r="B145" s="3"/>
      <c r="C145" s="3"/>
      <c r="D145" s="30" t="s">
        <v>41</v>
      </c>
      <c r="E145" s="32" t="s">
        <v>264</v>
      </c>
      <c r="F145" s="33" t="s">
        <v>28</v>
      </c>
      <c r="G145" s="153"/>
      <c r="H145" s="75"/>
      <c r="I145" s="75"/>
      <c r="J145" s="75"/>
      <c r="K145" s="75"/>
      <c r="L145" s="153">
        <f>L141-L137</f>
        <v>0</v>
      </c>
      <c r="M145" s="153">
        <f t="shared" ref="M145:P145" si="6">M141-M137</f>
        <v>0</v>
      </c>
      <c r="N145" s="153">
        <f t="shared" si="6"/>
        <v>0</v>
      </c>
      <c r="O145" s="153">
        <f t="shared" si="6"/>
        <v>0</v>
      </c>
      <c r="P145" s="153">
        <f t="shared" si="6"/>
        <v>0</v>
      </c>
      <c r="Q145" s="75"/>
      <c r="R145" s="3"/>
      <c r="S145" s="3"/>
      <c r="T145" s="3"/>
      <c r="U145" s="75"/>
      <c r="V145" s="75"/>
      <c r="W145" s="75"/>
      <c r="X145" s="76"/>
    </row>
    <row r="146" spans="1:24" s="206" customFormat="1">
      <c r="A146" s="75"/>
      <c r="B146" s="3"/>
      <c r="C146" s="3"/>
      <c r="D146" s="30"/>
      <c r="E146" s="32"/>
      <c r="F146" s="33"/>
      <c r="G146" s="153"/>
      <c r="H146" s="75"/>
      <c r="I146" s="75"/>
      <c r="J146" s="75"/>
      <c r="K146" s="75"/>
      <c r="L146" s="153"/>
      <c r="M146" s="153"/>
      <c r="N146" s="153"/>
      <c r="O146" s="153"/>
      <c r="P146" s="153"/>
      <c r="Q146" s="75"/>
      <c r="R146" s="3"/>
      <c r="S146" s="3"/>
      <c r="T146" s="3"/>
      <c r="U146" s="75"/>
      <c r="V146" s="75"/>
      <c r="W146" s="75"/>
      <c r="X146" s="76"/>
    </row>
    <row r="147" spans="1:24" s="192" customFormat="1">
      <c r="A147" s="75"/>
      <c r="B147" s="3"/>
      <c r="C147" s="3"/>
      <c r="D147" s="30"/>
      <c r="E147" s="27" t="s">
        <v>265</v>
      </c>
      <c r="F147" s="33"/>
      <c r="G147" s="153"/>
      <c r="H147" s="75"/>
      <c r="I147" s="75"/>
      <c r="J147" s="75"/>
      <c r="K147" s="75"/>
      <c r="L147" s="153"/>
      <c r="M147" s="153"/>
      <c r="N147" s="153"/>
      <c r="O147" s="153"/>
      <c r="P147" s="153"/>
      <c r="Q147" s="75"/>
      <c r="R147" s="3"/>
      <c r="S147" s="3"/>
      <c r="T147" s="3"/>
      <c r="U147" s="75"/>
      <c r="V147" s="75"/>
      <c r="W147" s="75"/>
      <c r="X147" s="76"/>
    </row>
    <row r="148" spans="1:24" s="192" customFormat="1">
      <c r="A148" s="75"/>
      <c r="B148" s="3"/>
      <c r="C148" s="3"/>
      <c r="D148" s="30" t="s">
        <v>41</v>
      </c>
      <c r="E148" s="32" t="s">
        <v>266</v>
      </c>
      <c r="F148" s="33" t="s">
        <v>28</v>
      </c>
      <c r="G148" s="153"/>
      <c r="H148" s="75"/>
      <c r="I148" s="75"/>
      <c r="J148" s="75"/>
      <c r="K148" s="75"/>
      <c r="L148" s="153">
        <f>Baseline.Totex.Water*(AllExp.Coeff.Water/100)</f>
        <v>241.85216994386636</v>
      </c>
      <c r="M148" s="153">
        <f>Baseline.Totex.Water*(AllExp.Coeff.Water/100)</f>
        <v>244.32216880525374</v>
      </c>
      <c r="N148" s="153">
        <f>Baseline.Totex.Water*(AllExp.Coeff.Water/100)</f>
        <v>212.30164651352032</v>
      </c>
      <c r="O148" s="153">
        <f>Baseline.Totex.Water*(AllExp.Coeff.Water/100)</f>
        <v>189.59657787928376</v>
      </c>
      <c r="P148" s="153">
        <f>Baseline.Totex.Water*(AllExp.Coeff.Water/100)</f>
        <v>175.04497342986932</v>
      </c>
      <c r="Q148" s="89" t="s">
        <v>267</v>
      </c>
      <c r="R148" s="3"/>
      <c r="S148" s="3"/>
      <c r="T148" s="3"/>
      <c r="U148" s="75"/>
      <c r="V148" s="75"/>
      <c r="W148" s="75"/>
      <c r="X148" s="76"/>
    </row>
    <row r="149" spans="1:24" s="192" customFormat="1">
      <c r="A149" s="75"/>
      <c r="B149" s="3"/>
      <c r="C149" s="3"/>
      <c r="D149" s="30" t="s">
        <v>41</v>
      </c>
      <c r="E149" s="32" t="s">
        <v>268</v>
      </c>
      <c r="F149" s="33" t="s">
        <v>28</v>
      </c>
      <c r="G149" s="153"/>
      <c r="H149" s="75"/>
      <c r="I149" s="75"/>
      <c r="J149" s="75"/>
      <c r="K149" s="75"/>
      <c r="L149" s="153">
        <f>Baseline.Totex.Sewerage*(AllExp.Coeff.Sewerage/100)</f>
        <v>0</v>
      </c>
      <c r="M149" s="153">
        <f>Baseline.Totex.Sewerage*(AllExp.Coeff.Sewerage/100)</f>
        <v>0</v>
      </c>
      <c r="N149" s="153">
        <f>Baseline.Totex.Sewerage*(AllExp.Coeff.Sewerage/100)</f>
        <v>0</v>
      </c>
      <c r="O149" s="153">
        <f>Baseline.Totex.Sewerage*(AllExp.Coeff.Sewerage/100)</f>
        <v>0</v>
      </c>
      <c r="P149" s="153">
        <f>Baseline.Totex.Sewerage*(AllExp.Coeff.Sewerage/100)</f>
        <v>0</v>
      </c>
      <c r="Q149" s="89" t="s">
        <v>269</v>
      </c>
      <c r="R149" s="3"/>
      <c r="S149" s="3"/>
      <c r="T149" s="3"/>
      <c r="U149" s="75"/>
      <c r="V149" s="75"/>
      <c r="W149" s="75"/>
      <c r="X149" s="76"/>
    </row>
    <row r="150" spans="1:24" s="192" customFormat="1">
      <c r="A150" s="75"/>
      <c r="B150" s="3"/>
      <c r="C150" s="3"/>
      <c r="D150" s="30"/>
      <c r="E150" s="32"/>
      <c r="F150" s="33"/>
      <c r="G150" s="153"/>
      <c r="H150" s="75"/>
      <c r="I150" s="75"/>
      <c r="J150" s="75"/>
      <c r="K150" s="75"/>
      <c r="L150" s="153"/>
      <c r="M150" s="153"/>
      <c r="N150" s="153"/>
      <c r="O150" s="153"/>
      <c r="P150" s="153"/>
      <c r="Q150" s="75"/>
      <c r="R150" s="3"/>
      <c r="S150" s="3"/>
      <c r="T150" s="3"/>
      <c r="U150" s="75"/>
      <c r="V150" s="75"/>
      <c r="W150" s="75"/>
      <c r="X150" s="76"/>
    </row>
    <row r="151" spans="1:24" s="192" customFormat="1">
      <c r="A151" s="75"/>
      <c r="B151" s="3"/>
      <c r="C151" s="3"/>
      <c r="D151" s="30"/>
      <c r="E151" s="27" t="s">
        <v>270</v>
      </c>
      <c r="F151" s="33"/>
      <c r="G151" s="153"/>
      <c r="H151" s="75"/>
      <c r="I151" s="75"/>
      <c r="J151" s="75"/>
      <c r="K151" s="75"/>
      <c r="L151" s="153"/>
      <c r="M151" s="153"/>
      <c r="N151" s="153"/>
      <c r="O151" s="153"/>
      <c r="P151" s="153"/>
      <c r="Q151" s="75"/>
      <c r="R151" s="3"/>
      <c r="S151" s="3"/>
      <c r="T151" s="3"/>
      <c r="U151" s="75"/>
      <c r="V151" s="75"/>
      <c r="W151" s="75"/>
      <c r="X151" s="76"/>
    </row>
    <row r="152" spans="1:24" s="192" customFormat="1">
      <c r="A152" s="75"/>
      <c r="B152" s="3"/>
      <c r="C152" s="3"/>
      <c r="D152" s="30" t="s">
        <v>41</v>
      </c>
      <c r="E152" s="32" t="s">
        <v>271</v>
      </c>
      <c r="F152" s="33" t="s">
        <v>28</v>
      </c>
      <c r="G152" s="153"/>
      <c r="H152" s="75"/>
      <c r="I152" s="75"/>
      <c r="J152" s="75"/>
      <c r="K152" s="75"/>
      <c r="L152" s="153">
        <f>L148+L144</f>
        <v>244.19728419341908</v>
      </c>
      <c r="M152" s="153">
        <f t="shared" ref="M152:P152" si="7">M148+M144</f>
        <v>246.53428305480691</v>
      </c>
      <c r="N152" s="153">
        <f t="shared" si="7"/>
        <v>214.51376076307346</v>
      </c>
      <c r="O152" s="153">
        <f t="shared" si="7"/>
        <v>191.80869212883772</v>
      </c>
      <c r="P152" s="153">
        <f t="shared" si="7"/>
        <v>177.25708767942206</v>
      </c>
      <c r="Q152" s="75"/>
      <c r="R152" s="3"/>
      <c r="S152" s="3"/>
      <c r="T152" s="3"/>
      <c r="U152" s="75"/>
      <c r="V152" s="75"/>
      <c r="W152" s="75"/>
      <c r="X152" s="76"/>
    </row>
    <row r="153" spans="1:24" s="192" customFormat="1">
      <c r="A153" s="75"/>
      <c r="B153" s="3"/>
      <c r="C153" s="3"/>
      <c r="D153" s="30" t="s">
        <v>41</v>
      </c>
      <c r="E153" s="32" t="s">
        <v>272</v>
      </c>
      <c r="F153" s="33" t="s">
        <v>28</v>
      </c>
      <c r="G153" s="153"/>
      <c r="H153" s="75"/>
      <c r="I153" s="75"/>
      <c r="J153" s="75"/>
      <c r="K153" s="75"/>
      <c r="L153" s="153">
        <f>L149+L145</f>
        <v>0</v>
      </c>
      <c r="M153" s="153">
        <f t="shared" ref="M153:P153" si="8">M149+M145</f>
        <v>0</v>
      </c>
      <c r="N153" s="153">
        <f t="shared" si="8"/>
        <v>0</v>
      </c>
      <c r="O153" s="153">
        <f t="shared" si="8"/>
        <v>0</v>
      </c>
      <c r="P153" s="153">
        <f t="shared" si="8"/>
        <v>0</v>
      </c>
      <c r="Q153" s="75"/>
      <c r="R153" s="3"/>
      <c r="S153" s="3"/>
      <c r="T153" s="3"/>
      <c r="U153" s="75"/>
      <c r="V153" s="75"/>
      <c r="W153" s="75"/>
      <c r="X153" s="76"/>
    </row>
    <row r="154" spans="1:24" s="192" customFormat="1">
      <c r="A154" s="75"/>
      <c r="B154" s="3"/>
      <c r="C154" s="3"/>
      <c r="D154" s="30"/>
      <c r="E154" s="32"/>
      <c r="F154" s="33"/>
      <c r="G154" s="153"/>
      <c r="H154" s="75"/>
      <c r="I154" s="75"/>
      <c r="J154" s="75"/>
      <c r="K154" s="75"/>
      <c r="L154" s="153"/>
      <c r="M154" s="153"/>
      <c r="N154" s="153"/>
      <c r="O154" s="153"/>
      <c r="P154" s="153"/>
      <c r="Q154" s="75"/>
      <c r="R154" s="3"/>
      <c r="S154" s="3"/>
      <c r="T154" s="3"/>
      <c r="U154" s="75"/>
      <c r="V154" s="75"/>
      <c r="W154" s="75"/>
      <c r="X154" s="76"/>
    </row>
    <row r="155" spans="1:24" s="192" customFormat="1">
      <c r="A155" s="75"/>
      <c r="B155" s="3"/>
      <c r="C155" s="3"/>
      <c r="D155" s="30"/>
      <c r="E155" s="27" t="s">
        <v>273</v>
      </c>
      <c r="F155" s="33"/>
      <c r="G155" s="153"/>
      <c r="H155" s="75"/>
      <c r="I155" s="75"/>
      <c r="J155" s="75"/>
      <c r="K155" s="75"/>
      <c r="L155" s="153"/>
      <c r="M155" s="153"/>
      <c r="N155" s="153"/>
      <c r="O155" s="153"/>
      <c r="P155" s="153"/>
      <c r="Q155" s="75"/>
      <c r="R155" s="3"/>
      <c r="S155" s="3"/>
      <c r="T155" s="3"/>
      <c r="U155" s="75"/>
      <c r="V155" s="75"/>
      <c r="W155" s="75"/>
      <c r="X155" s="76"/>
    </row>
    <row r="156" spans="1:24" s="192" customFormat="1">
      <c r="A156" s="75"/>
      <c r="B156" s="3"/>
      <c r="C156" s="3"/>
      <c r="D156" s="30" t="s">
        <v>41</v>
      </c>
      <c r="E156" s="32" t="s">
        <v>274</v>
      </c>
      <c r="F156" s="33" t="s">
        <v>28</v>
      </c>
      <c r="G156" s="153"/>
      <c r="H156" s="75"/>
      <c r="I156" s="75"/>
      <c r="J156" s="75"/>
      <c r="K156" s="75"/>
      <c r="L156" s="153">
        <f t="shared" ref="L156:P157" si="9">L148-L136</f>
        <v>1.3463984543079732E-2</v>
      </c>
      <c r="M156" s="153">
        <f t="shared" si="9"/>
        <v>1.3601490137915562E-2</v>
      </c>
      <c r="N156" s="153">
        <f t="shared" si="9"/>
        <v>1.1818897832455377E-2</v>
      </c>
      <c r="O156" s="153">
        <f t="shared" si="9"/>
        <v>1.0554899691726405E-2</v>
      </c>
      <c r="P156" s="153">
        <f t="shared" si="9"/>
        <v>9.7448074050703326E-3</v>
      </c>
      <c r="Q156" s="75"/>
      <c r="R156" s="3"/>
      <c r="S156" s="3"/>
      <c r="T156" s="3"/>
      <c r="U156" s="75"/>
      <c r="V156" s="75"/>
      <c r="W156" s="75"/>
      <c r="X156" s="76"/>
    </row>
    <row r="157" spans="1:24" s="192" customFormat="1">
      <c r="A157" s="75"/>
      <c r="B157" s="3"/>
      <c r="C157" s="3"/>
      <c r="D157" s="30" t="s">
        <v>41</v>
      </c>
      <c r="E157" s="32" t="s">
        <v>275</v>
      </c>
      <c r="F157" s="33" t="s">
        <v>28</v>
      </c>
      <c r="G157" s="153"/>
      <c r="H157" s="75"/>
      <c r="I157" s="75"/>
      <c r="J157" s="75"/>
      <c r="K157" s="75"/>
      <c r="L157" s="153">
        <f t="shared" si="9"/>
        <v>0</v>
      </c>
      <c r="M157" s="153">
        <f t="shared" si="9"/>
        <v>0</v>
      </c>
      <c r="N157" s="153">
        <f t="shared" si="9"/>
        <v>0</v>
      </c>
      <c r="O157" s="153">
        <f t="shared" si="9"/>
        <v>0</v>
      </c>
      <c r="P157" s="153">
        <f t="shared" si="9"/>
        <v>0</v>
      </c>
      <c r="Q157" s="75"/>
      <c r="R157" s="3"/>
      <c r="S157" s="3"/>
      <c r="T157" s="3"/>
      <c r="U157" s="75"/>
      <c r="V157" s="75"/>
      <c r="W157" s="75"/>
      <c r="X157" s="76"/>
    </row>
    <row r="158" spans="1:24" s="192" customFormat="1">
      <c r="A158" s="3"/>
      <c r="B158" s="3"/>
      <c r="C158" s="3"/>
      <c r="D158" s="30"/>
      <c r="E158" s="32"/>
      <c r="F158" s="33"/>
      <c r="G158" s="153"/>
      <c r="H158" s="75"/>
      <c r="I158" s="75"/>
      <c r="J158" s="75"/>
      <c r="K158" s="75"/>
      <c r="L158" s="153"/>
      <c r="M158" s="153"/>
      <c r="N158" s="153"/>
      <c r="O158" s="153"/>
      <c r="P158" s="153"/>
      <c r="Q158" s="75"/>
      <c r="R158" s="3"/>
      <c r="S158" s="3"/>
      <c r="T158" s="3"/>
      <c r="U158" s="75"/>
      <c r="V158" s="75"/>
      <c r="W158" s="75"/>
      <c r="X158" s="76"/>
    </row>
    <row r="159" spans="1:24" s="22" customFormat="1" ht="13.7">
      <c r="A159" s="19"/>
      <c r="B159" s="19"/>
      <c r="C159" s="19"/>
      <c r="D159" s="182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5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6"/>
    </row>
    <row r="161" spans="1:24" s="75" customFormat="1">
      <c r="B161" s="3"/>
      <c r="C161" s="3"/>
      <c r="E161" s="49" t="s">
        <v>277</v>
      </c>
      <c r="F161" s="161"/>
      <c r="G161" s="77"/>
      <c r="L161" s="77"/>
      <c r="M161" s="77"/>
      <c r="N161" s="77"/>
      <c r="O161" s="77"/>
      <c r="P161" s="77"/>
      <c r="Q161" s="3"/>
      <c r="R161" s="3"/>
      <c r="S161" s="3"/>
      <c r="T161" s="3"/>
      <c r="X161" s="76"/>
    </row>
    <row r="162" spans="1:24" s="75" customFormat="1">
      <c r="B162" s="3"/>
      <c r="C162" s="3"/>
      <c r="D162" s="30" t="s">
        <v>41</v>
      </c>
      <c r="E162" s="32" t="s">
        <v>278</v>
      </c>
      <c r="F162" s="33" t="s">
        <v>28</v>
      </c>
      <c r="L162" s="218">
        <f>(Actual.Totex.Water-SUM(Inputs!L60:L64))/Indexation.Average+TransitionExp.Water-L148</f>
        <v>-31.312788471427382</v>
      </c>
      <c r="M162" s="218">
        <f>(Actual.Totex.Water-SUM(Inputs!M60:M64))/Indexation.Average-M148</f>
        <v>-0.60989518029799683</v>
      </c>
      <c r="N162" s="218">
        <f>(Actual.Totex.Water-SUM(Inputs!N60:N64))/Indexation.Average-N148</f>
        <v>11.428123258221746</v>
      </c>
      <c r="O162" s="218">
        <f>(Actual.Totex.Water-SUM(Inputs!O60:O64))/Indexation.Average-O148</f>
        <v>15.859716589650475</v>
      </c>
      <c r="P162" s="218">
        <f>(Actual.Totex.Water-SUM(Inputs!P60:P64))/Indexation.Average-P148</f>
        <v>19.776207825330488</v>
      </c>
      <c r="Q162" s="161"/>
      <c r="R162" s="3"/>
      <c r="S162" s="3"/>
      <c r="T162" s="3"/>
      <c r="W162" s="211" t="s">
        <v>279</v>
      </c>
      <c r="X162" s="76"/>
    </row>
    <row r="163" spans="1:24" s="75" customFormat="1">
      <c r="B163" s="3"/>
      <c r="C163" s="3"/>
      <c r="D163" s="30" t="s">
        <v>41</v>
      </c>
      <c r="E163" s="32" t="s">
        <v>280</v>
      </c>
      <c r="F163" s="33" t="s">
        <v>28</v>
      </c>
      <c r="K163" s="153"/>
      <c r="L163" s="218">
        <f>(Actual.Totex.Sewerage-SUM(Inputs!L66:L72))/Indexation.Average+TransitionExp.Sewerage-L149</f>
        <v>0</v>
      </c>
      <c r="M163" s="218">
        <f>(Actual.Totex.Sewerage-SUM(Inputs!M66:M72))/Indexation.Average-M149</f>
        <v>0</v>
      </c>
      <c r="N163" s="218">
        <f>(Actual.Totex.Sewerage-SUM(Inputs!N66:N72))/Indexation.Average-N149</f>
        <v>0</v>
      </c>
      <c r="O163" s="218">
        <f>(Actual.Totex.Sewerage-SUM(Inputs!O66:O72))/Indexation.Average-O149</f>
        <v>0</v>
      </c>
      <c r="P163" s="218">
        <f>(Actual.Totex.Sewerage-SUM(Inputs!P66:P72))/Indexation.Average-P149</f>
        <v>0</v>
      </c>
      <c r="Q163" s="161"/>
      <c r="R163" s="3"/>
      <c r="S163" s="3"/>
      <c r="T163" s="3"/>
      <c r="X163" s="76"/>
    </row>
    <row r="164" spans="1:24" s="75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6"/>
    </row>
    <row r="165" spans="1:24" s="75" customFormat="1">
      <c r="B165" s="3"/>
      <c r="C165" s="3"/>
      <c r="E165" s="49" t="s">
        <v>281</v>
      </c>
      <c r="G165" s="77"/>
      <c r="L165" s="77"/>
      <c r="M165" s="77"/>
      <c r="N165" s="77"/>
      <c r="O165" s="77"/>
      <c r="P165" s="77"/>
      <c r="Q165" s="3"/>
      <c r="R165" s="3"/>
      <c r="S165" s="3"/>
      <c r="T165" s="3"/>
      <c r="X165" s="76"/>
    </row>
    <row r="166" spans="1:24" s="75" customFormat="1">
      <c r="B166" s="3"/>
      <c r="C166" s="3"/>
      <c r="D166" s="30" t="s">
        <v>41</v>
      </c>
      <c r="E166" s="32" t="s">
        <v>282</v>
      </c>
      <c r="F166" s="33" t="s">
        <v>28</v>
      </c>
      <c r="G166" s="153"/>
      <c r="L166" s="153">
        <f>L162+L156</f>
        <v>-31.299324486884302</v>
      </c>
      <c r="M166" s="153">
        <f t="shared" ref="L166:P167" si="10">M162+M156</f>
        <v>-0.59629369016008127</v>
      </c>
      <c r="N166" s="153">
        <f t="shared" si="10"/>
        <v>11.439942156054201</v>
      </c>
      <c r="O166" s="153">
        <f t="shared" si="10"/>
        <v>15.870271489342201</v>
      </c>
      <c r="P166" s="153">
        <f t="shared" si="10"/>
        <v>19.785952632735558</v>
      </c>
      <c r="Q166" s="89" t="s">
        <v>283</v>
      </c>
      <c r="R166" s="3"/>
      <c r="S166" s="3"/>
      <c r="T166" s="3"/>
      <c r="X166" s="76"/>
    </row>
    <row r="167" spans="1:24" s="75" customFormat="1">
      <c r="B167" s="3"/>
      <c r="C167" s="3"/>
      <c r="D167" s="30" t="s">
        <v>41</v>
      </c>
      <c r="E167" s="32" t="s">
        <v>284</v>
      </c>
      <c r="F167" s="33" t="s">
        <v>28</v>
      </c>
      <c r="G167" s="153"/>
      <c r="L167" s="153">
        <f t="shared" si="10"/>
        <v>0</v>
      </c>
      <c r="M167" s="153">
        <f t="shared" si="10"/>
        <v>0</v>
      </c>
      <c r="N167" s="153">
        <f t="shared" si="10"/>
        <v>0</v>
      </c>
      <c r="O167" s="153">
        <f t="shared" si="10"/>
        <v>0</v>
      </c>
      <c r="P167" s="153">
        <f t="shared" si="10"/>
        <v>0</v>
      </c>
      <c r="Q167" s="89" t="s">
        <v>285</v>
      </c>
      <c r="R167" s="3"/>
      <c r="S167" s="3"/>
      <c r="T167" s="3"/>
      <c r="X167" s="76"/>
    </row>
    <row r="168" spans="1:24" s="75" customFormat="1">
      <c r="B168" s="3"/>
      <c r="C168" s="3"/>
      <c r="D168" s="30"/>
      <c r="E168" s="32"/>
      <c r="F168" s="33"/>
      <c r="G168" s="153"/>
      <c r="L168" s="153"/>
      <c r="M168" s="153"/>
      <c r="N168" s="153"/>
      <c r="O168" s="153"/>
      <c r="P168" s="153"/>
      <c r="Q168" s="89"/>
      <c r="R168" s="3"/>
      <c r="S168" s="3"/>
      <c r="T168" s="3"/>
      <c r="X168" s="76"/>
    </row>
    <row r="169" spans="1:24" s="75" customFormat="1">
      <c r="B169" s="3"/>
      <c r="C169" s="3"/>
      <c r="E169" s="49" t="s">
        <v>286</v>
      </c>
      <c r="J169" s="153"/>
      <c r="K169" s="153"/>
      <c r="L169" s="153"/>
      <c r="M169" s="153"/>
      <c r="N169" s="153"/>
      <c r="O169" s="153"/>
      <c r="P169" s="153"/>
      <c r="Q169" s="153"/>
      <c r="R169" s="153"/>
      <c r="S169" s="3"/>
      <c r="T169" s="3"/>
      <c r="X169" s="76"/>
    </row>
    <row r="170" spans="1:24" s="75" customFormat="1">
      <c r="B170" s="3"/>
      <c r="D170" s="30" t="s">
        <v>41</v>
      </c>
      <c r="E170" s="32" t="s">
        <v>287</v>
      </c>
      <c r="F170" s="33" t="s">
        <v>28</v>
      </c>
      <c r="J170" s="153"/>
      <c r="K170" s="153"/>
      <c r="L170" s="153">
        <f>L166*(1+WACC)^Calcs!L7</f>
        <v>-36.195117440984653</v>
      </c>
      <c r="M170" s="153">
        <f>M166*(1+WACC)^Calcs!M7</f>
        <v>-0.66496147201762534</v>
      </c>
      <c r="N170" s="153">
        <f>N166*(1+WACC)^Calcs!N7</f>
        <v>12.302159156413847</v>
      </c>
      <c r="O170" s="153">
        <f>O166*(1+WACC)^Calcs!O7</f>
        <v>16.457471534447862</v>
      </c>
      <c r="P170" s="153">
        <f>P166*(1+WACC)^Calcs!P7</f>
        <v>19.785952632735558</v>
      </c>
      <c r="Q170" s="153"/>
      <c r="R170" s="153"/>
      <c r="S170" s="3"/>
      <c r="T170" s="3"/>
      <c r="X170" s="76"/>
    </row>
    <row r="171" spans="1:24" s="75" customFormat="1">
      <c r="B171" s="3"/>
      <c r="C171" s="3"/>
      <c r="D171" s="30" t="s">
        <v>41</v>
      </c>
      <c r="E171" s="32" t="s">
        <v>288</v>
      </c>
      <c r="F171" s="33" t="s">
        <v>28</v>
      </c>
      <c r="J171" s="153"/>
      <c r="K171" s="153"/>
      <c r="L171" s="153">
        <f>L167*(1+WACC)^Calcs!L7</f>
        <v>0</v>
      </c>
      <c r="M171" s="153">
        <f>M167*(1+WACC)^Calcs!M7</f>
        <v>0</v>
      </c>
      <c r="N171" s="153">
        <f>N167*(1+WACC)^Calcs!N7</f>
        <v>0</v>
      </c>
      <c r="O171" s="153">
        <f>O167*(1+WACC)^Calcs!O7</f>
        <v>0</v>
      </c>
      <c r="P171" s="153">
        <f>P167*(1+WACC)^Calcs!P7</f>
        <v>0</v>
      </c>
      <c r="Q171" s="153"/>
      <c r="R171" s="153"/>
      <c r="S171" s="3"/>
      <c r="T171" s="3"/>
      <c r="X171" s="76"/>
    </row>
    <row r="172" spans="1:24" s="75" customFormat="1">
      <c r="B172" s="3"/>
      <c r="C172" s="3"/>
      <c r="D172" s="30"/>
      <c r="E172" s="32"/>
      <c r="F172" s="33"/>
      <c r="J172" s="153"/>
      <c r="K172" s="153"/>
      <c r="L172" s="153"/>
      <c r="M172" s="153"/>
      <c r="N172" s="153"/>
      <c r="O172" s="153"/>
      <c r="P172" s="153"/>
      <c r="Q172" s="153"/>
      <c r="R172" s="153"/>
      <c r="S172" s="3"/>
      <c r="T172" s="3"/>
      <c r="X172" s="76"/>
    </row>
    <row r="173" spans="1:24" s="75" customFormat="1">
      <c r="B173" s="3"/>
      <c r="C173" s="3"/>
      <c r="E173" s="151" t="s">
        <v>289</v>
      </c>
      <c r="H173" s="154"/>
      <c r="J173" s="153"/>
      <c r="K173" s="153"/>
      <c r="L173" s="153"/>
      <c r="M173" s="153"/>
      <c r="N173" s="153"/>
      <c r="O173" s="153"/>
      <c r="P173" s="153"/>
      <c r="Q173" s="153"/>
      <c r="R173" s="153"/>
      <c r="S173" s="3"/>
      <c r="T173" s="3"/>
      <c r="X173" s="76"/>
    </row>
    <row r="174" spans="1:24" s="75" customFormat="1">
      <c r="B174" s="3"/>
      <c r="C174" s="3"/>
      <c r="D174" s="184" t="s">
        <v>41</v>
      </c>
      <c r="E174" s="152" t="s">
        <v>290</v>
      </c>
      <c r="F174" s="33" t="s">
        <v>28</v>
      </c>
      <c r="L174" s="77"/>
      <c r="P174" s="88">
        <f>SUM(L170:P170)</f>
        <v>11.685504410594991</v>
      </c>
      <c r="Q174" s="89"/>
      <c r="R174" s="3"/>
      <c r="S174" s="3"/>
      <c r="T174" s="3"/>
      <c r="X174" s="76"/>
    </row>
    <row r="175" spans="1:24" s="75" customFormat="1">
      <c r="B175" s="3"/>
      <c r="C175" s="3"/>
      <c r="D175" s="184" t="s">
        <v>41</v>
      </c>
      <c r="E175" s="152" t="s">
        <v>291</v>
      </c>
      <c r="F175" s="33" t="s">
        <v>28</v>
      </c>
      <c r="L175" s="77"/>
      <c r="P175" s="88">
        <f>SUM(L171:P171)</f>
        <v>0</v>
      </c>
      <c r="Q175" s="89"/>
      <c r="R175" s="3"/>
      <c r="S175" s="3"/>
      <c r="T175" s="3"/>
      <c r="X175" s="76"/>
    </row>
    <row r="176" spans="1:24" s="75" customFormat="1">
      <c r="A176" s="3"/>
      <c r="B176" s="3"/>
      <c r="C176" s="3"/>
      <c r="D176" s="184"/>
      <c r="E176" s="152"/>
      <c r="F176" s="33"/>
      <c r="L176" s="77"/>
      <c r="Q176" s="89"/>
      <c r="R176" s="3"/>
      <c r="S176" s="3"/>
      <c r="T176" s="3"/>
      <c r="X176" s="76"/>
    </row>
    <row r="177" spans="1:24" s="22" customFormat="1" ht="13.7">
      <c r="A177" s="19"/>
      <c r="B177" s="19"/>
      <c r="C177" s="19"/>
      <c r="D177" s="182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5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6"/>
    </row>
    <row r="179" spans="1:24" s="75" customFormat="1">
      <c r="A179" s="3"/>
      <c r="B179" s="3"/>
      <c r="C179" s="3"/>
      <c r="E179" s="49" t="s">
        <v>293</v>
      </c>
      <c r="G179" s="77"/>
      <c r="L179" s="77"/>
      <c r="M179" s="77"/>
      <c r="N179" s="77"/>
      <c r="O179" s="77"/>
      <c r="P179" s="77"/>
      <c r="Q179" s="3"/>
      <c r="R179" s="3"/>
      <c r="S179" s="3"/>
      <c r="T179" s="3"/>
      <c r="X179" s="76"/>
    </row>
    <row r="180" spans="1:24" s="75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53"/>
      <c r="L180" s="223">
        <f>(Inputs!L72/Indexation.Average)-Inputs!L151</f>
        <v>0</v>
      </c>
      <c r="M180" s="223">
        <f>(Inputs!M72/Indexation.Average)-Inputs!M151</f>
        <v>0</v>
      </c>
      <c r="N180" s="223">
        <f>(Inputs!N72/Indexation.Average)-Inputs!N151</f>
        <v>0</v>
      </c>
      <c r="O180" s="223">
        <f>(Inputs!O72/Indexation.Average)-Inputs!O151</f>
        <v>0</v>
      </c>
      <c r="P180" s="223">
        <f>(Inputs!P72/Indexation.Average)-Inputs!P151</f>
        <v>0</v>
      </c>
      <c r="Q180" s="89"/>
      <c r="R180" s="3"/>
      <c r="S180" s="3"/>
      <c r="T180" s="3"/>
      <c r="X180" s="76"/>
    </row>
    <row r="181" spans="1:24" s="75" customFormat="1">
      <c r="A181" s="3"/>
      <c r="B181" s="3"/>
      <c r="C181" s="3"/>
      <c r="D181" s="30"/>
      <c r="E181" s="32"/>
      <c r="F181" s="33"/>
      <c r="G181" s="153"/>
      <c r="L181" s="153"/>
      <c r="M181" s="153"/>
      <c r="N181" s="153"/>
      <c r="O181" s="153"/>
      <c r="P181" s="153"/>
      <c r="Q181" s="89"/>
      <c r="R181" s="3"/>
      <c r="S181" s="3"/>
      <c r="T181" s="3"/>
      <c r="X181" s="76"/>
    </row>
    <row r="182" spans="1:24" s="75" customFormat="1">
      <c r="A182" s="3"/>
      <c r="B182" s="3"/>
      <c r="C182" s="3"/>
      <c r="E182" s="49" t="s">
        <v>295</v>
      </c>
      <c r="J182" s="153"/>
      <c r="K182" s="153"/>
      <c r="L182" s="153"/>
      <c r="M182" s="153"/>
      <c r="N182" s="153"/>
      <c r="O182" s="153"/>
      <c r="P182" s="153"/>
      <c r="Q182" s="153"/>
      <c r="R182" s="153"/>
      <c r="S182" s="3"/>
      <c r="T182" s="3"/>
      <c r="X182" s="76"/>
    </row>
    <row r="183" spans="1:24" s="75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53"/>
      <c r="K183" s="153"/>
      <c r="L183" s="223">
        <f>L180*(1+WACC)^Calcs!L7</f>
        <v>0</v>
      </c>
      <c r="M183" s="223">
        <f>M180*(1+WACC)^Calcs!M7</f>
        <v>0</v>
      </c>
      <c r="N183" s="223">
        <f>N180*(1+WACC)^Calcs!N7</f>
        <v>0</v>
      </c>
      <c r="O183" s="223">
        <f>O180*(1+WACC)^Calcs!O7</f>
        <v>0</v>
      </c>
      <c r="P183" s="223">
        <f>P180*(1+WACC)^Calcs!P7</f>
        <v>0</v>
      </c>
      <c r="Q183" s="153"/>
      <c r="R183" s="153"/>
      <c r="S183" s="3"/>
      <c r="T183" s="3"/>
      <c r="X183" s="76"/>
    </row>
    <row r="184" spans="1:24" s="75" customFormat="1">
      <c r="A184" s="3"/>
      <c r="B184" s="3"/>
      <c r="C184" s="3"/>
      <c r="D184" s="30"/>
      <c r="E184" s="32"/>
      <c r="F184" s="33"/>
      <c r="J184" s="153"/>
      <c r="K184" s="153"/>
      <c r="L184" s="153"/>
      <c r="M184" s="153"/>
      <c r="N184" s="153"/>
      <c r="O184" s="153"/>
      <c r="P184" s="153"/>
      <c r="Q184" s="153"/>
      <c r="R184" s="153"/>
      <c r="S184" s="3"/>
      <c r="T184" s="3"/>
      <c r="X184" s="76"/>
    </row>
    <row r="185" spans="1:24" s="75" customFormat="1">
      <c r="A185" s="3"/>
      <c r="B185" s="3"/>
      <c r="C185" s="3"/>
      <c r="E185" s="151" t="s">
        <v>297</v>
      </c>
      <c r="H185" s="154"/>
      <c r="J185" s="153"/>
      <c r="K185" s="153"/>
      <c r="L185" s="153"/>
      <c r="M185" s="153"/>
      <c r="N185" s="153"/>
      <c r="O185" s="153"/>
      <c r="P185" s="153"/>
      <c r="Q185" s="153"/>
      <c r="R185" s="153"/>
      <c r="S185" s="3"/>
      <c r="T185" s="3"/>
      <c r="X185" s="76"/>
    </row>
    <row r="186" spans="1:24" s="75" customFormat="1">
      <c r="A186" s="3"/>
      <c r="B186" s="3"/>
      <c r="C186" s="3"/>
      <c r="D186" s="184" t="s">
        <v>41</v>
      </c>
      <c r="E186" s="152" t="s">
        <v>298</v>
      </c>
      <c r="F186" s="33" t="s">
        <v>28</v>
      </c>
      <c r="L186" s="77"/>
      <c r="P186" s="224">
        <f>SUM(L183:P183)</f>
        <v>0</v>
      </c>
      <c r="Q186" s="89"/>
      <c r="R186" s="3"/>
      <c r="S186" s="3"/>
      <c r="T186" s="3"/>
      <c r="X186" s="76"/>
    </row>
    <row r="187" spans="1:24" s="75" customFormat="1">
      <c r="A187" s="3"/>
      <c r="B187" s="3"/>
      <c r="C187" s="3"/>
      <c r="D187" s="184"/>
      <c r="E187" s="152"/>
      <c r="F187" s="33"/>
      <c r="L187" s="77"/>
      <c r="Q187" s="89"/>
      <c r="R187" s="3"/>
      <c r="S187" s="3"/>
      <c r="T187" s="3"/>
      <c r="X187" s="76"/>
    </row>
    <row r="188" spans="1:24" s="22" customFormat="1" ht="13.7">
      <c r="A188" s="19"/>
      <c r="B188" s="19"/>
      <c r="C188" s="19"/>
      <c r="D188" s="182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3.7">
      <c r="A190" s="19"/>
      <c r="B190" s="19"/>
      <c r="C190" s="19"/>
      <c r="D190" s="182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5" customFormat="1">
      <c r="A191" s="3"/>
      <c r="B191" s="3"/>
      <c r="C191" s="3"/>
      <c r="L191" s="77"/>
      <c r="Q191" s="3"/>
      <c r="R191" s="3"/>
      <c r="S191" s="3"/>
      <c r="T191" s="3"/>
      <c r="X191" s="76"/>
    </row>
    <row r="192" spans="1:24">
      <c r="A192" s="75"/>
      <c r="D192" s="28" t="s">
        <v>88</v>
      </c>
      <c r="E192" s="91" t="s">
        <v>301</v>
      </c>
      <c r="F192" s="33"/>
      <c r="G192" s="180">
        <f>IF(SUM(Baseline.Totex.Water)&lt;&gt;0,SUMPRODUCT(PAYG.Water,Baseline.Totex.Water)/SUM(Baseline.Totex.Water),0)</f>
        <v>0.75192719751414572</v>
      </c>
      <c r="H192" s="89" t="s">
        <v>302</v>
      </c>
    </row>
    <row r="193" spans="1:24">
      <c r="A193" s="75"/>
      <c r="D193" s="28" t="s">
        <v>88</v>
      </c>
      <c r="E193" s="91" t="s">
        <v>303</v>
      </c>
      <c r="F193" s="33"/>
      <c r="G193" s="204">
        <f>IF(SUM(Baseline.Totex.Sewerage)&lt;&gt;0,SUMPRODUCT(PAYG.Sewerage,Baseline.Totex.Sewerage)/SUM(Baseline.Totex.Sewerage),0)</f>
        <v>0</v>
      </c>
      <c r="H193" s="89" t="s">
        <v>304</v>
      </c>
    </row>
    <row r="194" spans="1:24"/>
    <row r="195" spans="1:24" s="22" customFormat="1" ht="13.7">
      <c r="A195" s="19"/>
      <c r="B195" s="19"/>
      <c r="C195" s="19"/>
      <c r="D195" s="182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5" customFormat="1">
      <c r="A196" s="3"/>
      <c r="B196" s="3"/>
      <c r="C196" s="3"/>
      <c r="L196" s="77"/>
      <c r="Q196" s="3"/>
      <c r="R196" s="3"/>
      <c r="S196" s="3"/>
      <c r="T196" s="3"/>
      <c r="X196" s="76"/>
    </row>
    <row r="197" spans="1:24" s="193" customFormat="1">
      <c r="A197" s="75"/>
      <c r="B197" s="3"/>
      <c r="C197" s="3"/>
      <c r="D197" s="184" t="s">
        <v>41</v>
      </c>
      <c r="E197" s="91" t="s">
        <v>306</v>
      </c>
      <c r="F197" s="33" t="s">
        <v>28</v>
      </c>
      <c r="G197" s="91"/>
      <c r="H197" s="3"/>
      <c r="I197" s="3"/>
      <c r="J197" s="3"/>
      <c r="K197" s="3"/>
      <c r="L197" s="3"/>
      <c r="M197" s="3"/>
      <c r="N197" s="3"/>
      <c r="O197" s="3"/>
      <c r="P197" s="88">
        <f>Total.Adj.Water*WeightedPAYG.Water+P130+P113</f>
        <v>-0.44597025769003906</v>
      </c>
      <c r="Q197" s="3"/>
      <c r="R197" s="3"/>
      <c r="S197" s="3"/>
      <c r="T197" s="3"/>
      <c r="U197" s="3"/>
      <c r="V197" s="3"/>
      <c r="W197" s="3"/>
      <c r="X197" s="74"/>
    </row>
    <row r="198" spans="1:24" s="193" customFormat="1">
      <c r="A198" s="75"/>
      <c r="B198" s="3"/>
      <c r="C198" s="3"/>
      <c r="D198" s="184" t="s">
        <v>41</v>
      </c>
      <c r="E198" s="91" t="s">
        <v>307</v>
      </c>
      <c r="F198" s="33" t="s">
        <v>28</v>
      </c>
      <c r="G198" s="91"/>
      <c r="H198" s="3"/>
      <c r="I198" s="3"/>
      <c r="J198" s="3"/>
      <c r="K198" s="3"/>
      <c r="L198" s="3"/>
      <c r="M198" s="3"/>
      <c r="N198" s="3"/>
      <c r="O198" s="3"/>
      <c r="P198" s="220">
        <f>Total.Adj.Sewerage*WeightedPAYG.Sewerage+P114</f>
        <v>0</v>
      </c>
      <c r="Q198" s="3"/>
      <c r="R198" s="3"/>
      <c r="S198" s="3"/>
      <c r="T198" s="3"/>
      <c r="U198" s="3"/>
      <c r="V198" s="3"/>
      <c r="W198" s="3"/>
      <c r="X198" s="74"/>
    </row>
    <row r="199" spans="1:24"/>
    <row r="200" spans="1:24" s="22" customFormat="1" ht="13.7">
      <c r="A200" s="19"/>
      <c r="B200" s="19"/>
      <c r="C200" s="19"/>
      <c r="D200" s="182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5" customFormat="1">
      <c r="A201" s="3"/>
      <c r="B201" s="3"/>
      <c r="C201" s="3"/>
      <c r="L201" s="77"/>
      <c r="Q201" s="3"/>
      <c r="R201" s="3"/>
      <c r="S201" s="3"/>
      <c r="T201" s="3"/>
      <c r="X201" s="76"/>
    </row>
    <row r="202" spans="1:24">
      <c r="A202" s="75"/>
      <c r="D202" s="184" t="s">
        <v>41</v>
      </c>
      <c r="E202" s="91" t="s">
        <v>309</v>
      </c>
      <c r="F202" s="33" t="s">
        <v>28</v>
      </c>
      <c r="P202" s="88">
        <f>Total.Adj.Water*(1-WeightedPAYG.Water)</f>
        <v>2.8988558275971101</v>
      </c>
    </row>
    <row r="203" spans="1:24">
      <c r="A203" s="75"/>
      <c r="D203" s="184" t="s">
        <v>41</v>
      </c>
      <c r="E203" s="91" t="s">
        <v>310</v>
      </c>
      <c r="F203" s="33" t="s">
        <v>28</v>
      </c>
      <c r="P203" s="88">
        <f>Total.Adj.Sewerage*(1-WeightedPAYG.Sewerage)+P186</f>
        <v>0</v>
      </c>
    </row>
    <row r="204" spans="1:24"/>
    <row r="205" spans="1:24" ht="13" thickBot="1"/>
    <row r="206" spans="1:24" ht="13" thickBot="1">
      <c r="A206" s="92" t="s">
        <v>311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</row>
    <row r="207" spans="1:24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</sheetData>
  <pageMargins left="0.70866141732283472" right="0.70866141732283472" top="0.74803149606299213" bottom="0.74803149606299213" header="0.31496062992125984" footer="0.31496062992125984"/>
  <pageSetup paperSize="9" scale="18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51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859375" style="7" customWidth="1"/>
    <col min="4" max="4" width="9.5859375" style="7" customWidth="1"/>
    <col min="5" max="5" width="29.41015625" style="7" customWidth="1"/>
    <col min="6" max="6" width="17.87890625" style="7" customWidth="1"/>
    <col min="7" max="7" width="11.5859375" style="7" customWidth="1"/>
    <col min="8" max="8" width="4.1171875" style="7" customWidth="1"/>
    <col min="9" max="21" width="13.1171875" style="7" customWidth="1"/>
    <col min="22" max="22" width="15.87890625" style="7" bestFit="1" customWidth="1"/>
    <col min="23" max="16384" width="9.1171875" style="7" hidden="1"/>
  </cols>
  <sheetData>
    <row r="1" spans="1:24" ht="33">
      <c r="A1" s="94"/>
      <c r="B1" s="94"/>
      <c r="C1" s="94"/>
      <c r="D1" s="1" t="s">
        <v>312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4" ht="13.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2.7">
      <c r="E3" s="7" t="s">
        <v>1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96" t="s">
        <v>313</v>
      </c>
    </row>
    <row r="4" spans="1:24" ht="12.7">
      <c r="V4" s="96"/>
    </row>
    <row r="5" spans="1:24" ht="12.7">
      <c r="E5" s="7" t="s">
        <v>2</v>
      </c>
      <c r="I5" s="97">
        <f t="shared" ref="I5:U5" si="1">Calendar.Years</f>
        <v>2012</v>
      </c>
      <c r="J5" s="97">
        <f t="shared" si="1"/>
        <v>2013</v>
      </c>
      <c r="K5" s="97">
        <f t="shared" si="1"/>
        <v>2014</v>
      </c>
      <c r="L5" s="97">
        <f t="shared" si="1"/>
        <v>2015</v>
      </c>
      <c r="M5" s="97">
        <f t="shared" si="1"/>
        <v>2016</v>
      </c>
      <c r="N5" s="97">
        <f t="shared" si="1"/>
        <v>2017</v>
      </c>
      <c r="O5" s="97">
        <f t="shared" si="1"/>
        <v>2018</v>
      </c>
      <c r="P5" s="97">
        <f t="shared" si="1"/>
        <v>2019</v>
      </c>
      <c r="Q5" s="97">
        <f t="shared" si="1"/>
        <v>2020</v>
      </c>
      <c r="R5" s="97">
        <f t="shared" si="1"/>
        <v>2021</v>
      </c>
      <c r="S5" s="97">
        <f t="shared" si="1"/>
        <v>2022</v>
      </c>
      <c r="T5" s="97">
        <f t="shared" si="1"/>
        <v>2023</v>
      </c>
      <c r="U5" s="97">
        <f t="shared" si="1"/>
        <v>2024</v>
      </c>
      <c r="V5" s="96" t="s">
        <v>314</v>
      </c>
    </row>
    <row r="6" spans="1:24" ht="12.7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4" ht="12.7"/>
    <row r="8" spans="1:24" ht="12.7"/>
    <row r="9" spans="1:24" s="22" customFormat="1" ht="13.7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5" customFormat="1" ht="12.7">
      <c r="A10" s="3"/>
      <c r="B10" s="3"/>
      <c r="C10" s="3"/>
      <c r="L10" s="77"/>
      <c r="Q10" s="3"/>
      <c r="R10" s="3"/>
      <c r="S10" s="3"/>
      <c r="T10" s="3"/>
      <c r="X10" s="76"/>
    </row>
    <row r="11" spans="1:24" s="3" customFormat="1" ht="12.7">
      <c r="A11" s="72"/>
      <c r="D11" s="30" t="s">
        <v>41</v>
      </c>
      <c r="E11" s="91" t="s">
        <v>306</v>
      </c>
      <c r="F11" s="33" t="s">
        <v>28</v>
      </c>
      <c r="P11" s="88">
        <f>Calcs!P197</f>
        <v>-0.44597025769003906</v>
      </c>
      <c r="X11" s="74"/>
    </row>
    <row r="12" spans="1:24" s="3" customFormat="1" ht="12.7">
      <c r="A12" s="72"/>
      <c r="D12" s="30" t="s">
        <v>41</v>
      </c>
      <c r="E12" s="91" t="s">
        <v>307</v>
      </c>
      <c r="F12" s="33" t="s">
        <v>28</v>
      </c>
      <c r="P12" s="88">
        <f>Calcs!P198</f>
        <v>0</v>
      </c>
      <c r="X12" s="74"/>
    </row>
    <row r="13" spans="1:24" s="3" customFormat="1" ht="12.7">
      <c r="E13" s="91"/>
      <c r="F13" s="33"/>
      <c r="P13" s="153"/>
      <c r="X13" s="74"/>
    </row>
    <row r="14" spans="1:24" s="3" customFormat="1" ht="12.7">
      <c r="A14" s="72"/>
      <c r="D14" s="30" t="s">
        <v>41</v>
      </c>
      <c r="E14" s="78" t="s">
        <v>316</v>
      </c>
      <c r="F14" s="33" t="s">
        <v>28</v>
      </c>
      <c r="P14" s="156">
        <f>SUM(P11:P12)</f>
        <v>-0.44597025769003906</v>
      </c>
      <c r="X14" s="74"/>
    </row>
    <row r="15" spans="1:24" s="3" customFormat="1" ht="12.7">
      <c r="E15" s="91"/>
      <c r="F15" s="91"/>
      <c r="G15" s="91"/>
      <c r="X15" s="74"/>
    </row>
    <row r="16" spans="1:24" s="22" customFormat="1" ht="13.7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75" customFormat="1" ht="12.7">
      <c r="A17" s="3"/>
      <c r="B17" s="3"/>
      <c r="C17" s="3"/>
      <c r="L17" s="77"/>
      <c r="Q17" s="3"/>
      <c r="R17" s="3"/>
      <c r="S17" s="3"/>
      <c r="T17" s="3"/>
      <c r="X17" s="76"/>
    </row>
    <row r="18" spans="1:24" s="3" customFormat="1" ht="12.7">
      <c r="A18" s="72"/>
      <c r="D18" s="30" t="s">
        <v>41</v>
      </c>
      <c r="E18" s="91" t="s">
        <v>309</v>
      </c>
      <c r="F18" s="33" t="s">
        <v>28</v>
      </c>
      <c r="P18" s="88">
        <f>Calcs!P202</f>
        <v>2.8988558275971101</v>
      </c>
      <c r="X18" s="74"/>
    </row>
    <row r="19" spans="1:24" s="3" customFormat="1" ht="12.7">
      <c r="A19" s="72"/>
      <c r="D19" s="30" t="s">
        <v>41</v>
      </c>
      <c r="E19" s="91" t="s">
        <v>310</v>
      </c>
      <c r="F19" s="33" t="s">
        <v>28</v>
      </c>
      <c r="P19" s="88">
        <f>Calcs!P203</f>
        <v>0</v>
      </c>
      <c r="X19" s="74"/>
    </row>
    <row r="20" spans="1:24" customFormat="1" ht="14.35">
      <c r="G20" s="7"/>
    </row>
    <row r="21" spans="1:24" s="3" customFormat="1" ht="12.7">
      <c r="A21" s="72"/>
      <c r="D21" s="30" t="s">
        <v>41</v>
      </c>
      <c r="E21" s="78" t="s">
        <v>318</v>
      </c>
      <c r="F21" s="33" t="s">
        <v>28</v>
      </c>
      <c r="P21" s="156">
        <f>SUM(P18:P19)</f>
        <v>2.8988558275971101</v>
      </c>
      <c r="X21" s="74"/>
    </row>
    <row r="22" spans="1:24" ht="13" thickBot="1"/>
    <row r="23" spans="1:24" ht="13" thickBot="1">
      <c r="A23" s="104" t="s">
        <v>311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4" ht="12.7"/>
    <row r="25" spans="1:24" ht="12.7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91" t="s">
        <v>318</v>
      </c>
      <c r="F41" s="33" t="s">
        <v>28</v>
      </c>
      <c r="G41" s="3"/>
      <c r="H41" s="3"/>
      <c r="I41" s="3"/>
      <c r="J41" s="3"/>
      <c r="K41" s="3"/>
      <c r="L41" s="3"/>
      <c r="M41" s="3"/>
      <c r="N41" s="3"/>
      <c r="O41" s="3"/>
      <c r="P41" s="47">
        <f>SUM(P18:P19)</f>
        <v>2.8988558275971101</v>
      </c>
    </row>
    <row r="42" spans="4:16" ht="0" hidden="1" customHeight="1"/>
    <row r="43" spans="4:16" ht="0" hidden="1" customHeight="1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5" spans="4:16" ht="0" hidden="1" customHeight="1"/>
    <row r="46" spans="4:16" ht="0" hidden="1" customHeight="1">
      <c r="E46" s="7" t="s">
        <v>319</v>
      </c>
    </row>
    <row r="47" spans="4:16" ht="0" hidden="1" customHeight="1">
      <c r="E47" s="7" t="s">
        <v>320</v>
      </c>
    </row>
    <row r="48" spans="4:16" ht="0" hidden="1" customHeight="1">
      <c r="E48" s="7" t="s">
        <v>321</v>
      </c>
    </row>
    <row r="51" spans="5:5" ht="0" hidden="1" customHeight="1">
      <c r="E51" s="7" t="s">
        <v>322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9"/>
  <sheetViews>
    <sheetView showGridLines="0" zoomScale="80" zoomScaleNormal="80" workbookViewId="0">
      <pane xSplit="5" ySplit="5" topLeftCell="F6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4.5859375" style="3" customWidth="1"/>
    <col min="4" max="4" width="11.5859375" style="3" customWidth="1"/>
    <col min="5" max="5" width="53.1171875" style="3" customWidth="1"/>
    <col min="6" max="7" width="2.5859375" style="3" customWidth="1"/>
    <col min="8" max="21" width="11" style="3" customWidth="1"/>
    <col min="22" max="22" width="22.41015625" style="134" bestFit="1" customWidth="1"/>
    <col min="23" max="26" width="8.87890625" style="3" hidden="1" customWidth="1"/>
    <col min="27" max="259" width="0" style="3" hidden="1" customWidth="1"/>
    <col min="260" max="16384" width="0" style="3" hidden="1"/>
  </cols>
  <sheetData>
    <row r="1" spans="1:24" s="72" customFormat="1" ht="33">
      <c r="A1" s="106"/>
      <c r="B1" s="106"/>
      <c r="C1" s="107"/>
      <c r="D1" s="1" t="s">
        <v>323</v>
      </c>
      <c r="E1" s="1"/>
      <c r="F1" s="1"/>
      <c r="G1" s="1"/>
      <c r="H1" s="1"/>
      <c r="I1" s="108"/>
      <c r="J1" s="108"/>
      <c r="K1" s="109"/>
      <c r="L1" s="109"/>
      <c r="M1" s="108"/>
      <c r="N1" s="108"/>
      <c r="O1" s="108"/>
      <c r="P1" s="108"/>
      <c r="Q1" s="108"/>
      <c r="R1" s="108"/>
      <c r="S1" s="108"/>
      <c r="T1" s="108"/>
      <c r="U1" s="110"/>
      <c r="V1" s="111"/>
      <c r="W1" s="112"/>
      <c r="X1" s="113"/>
    </row>
    <row r="2" spans="1:24" s="72" customFormat="1" ht="12.7">
      <c r="C2" s="114"/>
      <c r="E2" s="114"/>
      <c r="F2" s="114"/>
      <c r="G2" s="114"/>
      <c r="H2" s="145"/>
      <c r="I2" s="126"/>
      <c r="J2" s="126"/>
      <c r="K2" s="126"/>
      <c r="L2" s="126"/>
      <c r="M2" s="126"/>
      <c r="S2" s="3"/>
      <c r="T2" s="3"/>
      <c r="U2" s="3"/>
      <c r="V2" s="3"/>
      <c r="W2" s="112"/>
      <c r="X2" s="113"/>
    </row>
    <row r="3" spans="1:24" s="119" customFormat="1" ht="13.7">
      <c r="A3" s="115"/>
      <c r="B3" s="115"/>
      <c r="C3" s="116"/>
      <c r="D3" s="115"/>
      <c r="E3" s="117" t="s">
        <v>1</v>
      </c>
      <c r="F3" s="117"/>
      <c r="G3" s="117"/>
      <c r="H3" s="95" t="s">
        <v>324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118"/>
    </row>
    <row r="4" spans="1:24" s="122" customFormat="1" ht="18" customHeight="1">
      <c r="A4" s="72"/>
      <c r="B4" s="72"/>
      <c r="C4" s="114"/>
      <c r="D4" s="72"/>
      <c r="E4" s="120"/>
      <c r="F4" s="120"/>
      <c r="G4" s="12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1"/>
    </row>
    <row r="5" spans="1:24" s="115" customFormat="1" ht="12.7">
      <c r="C5" s="116"/>
      <c r="E5" s="115" t="s">
        <v>325</v>
      </c>
      <c r="H5" s="123">
        <v>2011</v>
      </c>
      <c r="I5" s="123">
        <f t="shared" ref="I5:U5" si="1">Calendar.Years</f>
        <v>2012</v>
      </c>
      <c r="J5" s="123">
        <f t="shared" si="1"/>
        <v>2013</v>
      </c>
      <c r="K5" s="123">
        <f t="shared" si="1"/>
        <v>2014</v>
      </c>
      <c r="L5" s="123">
        <f t="shared" si="1"/>
        <v>2015</v>
      </c>
      <c r="M5" s="123">
        <f t="shared" si="1"/>
        <v>2016</v>
      </c>
      <c r="N5" s="123">
        <f t="shared" si="1"/>
        <v>2017</v>
      </c>
      <c r="O5" s="123">
        <f t="shared" si="1"/>
        <v>2018</v>
      </c>
      <c r="P5" s="123">
        <f t="shared" si="1"/>
        <v>2019</v>
      </c>
      <c r="Q5" s="123">
        <f t="shared" si="1"/>
        <v>2020</v>
      </c>
      <c r="R5" s="123">
        <f t="shared" si="1"/>
        <v>2021</v>
      </c>
      <c r="S5" s="123">
        <f t="shared" si="1"/>
        <v>2022</v>
      </c>
      <c r="T5" s="123">
        <f t="shared" si="1"/>
        <v>2023</v>
      </c>
      <c r="U5" s="123">
        <f t="shared" si="1"/>
        <v>2024</v>
      </c>
      <c r="V5" s="124"/>
    </row>
    <row r="6" spans="1:24" s="72" customFormat="1" ht="12.7">
      <c r="C6" s="114"/>
      <c r="E6" s="7" t="s">
        <v>3</v>
      </c>
      <c r="H6" s="99">
        <v>-3</v>
      </c>
      <c r="I6" s="99">
        <v>-2</v>
      </c>
      <c r="J6" s="99">
        <v>-1</v>
      </c>
      <c r="K6" s="99">
        <v>0</v>
      </c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  <c r="V6" s="125"/>
    </row>
    <row r="7" spans="1:24" s="72" customFormat="1" ht="12.75" customHeight="1">
      <c r="C7" s="114"/>
      <c r="F7" s="120"/>
      <c r="G7" s="120"/>
      <c r="I7" s="126" t="s">
        <v>326</v>
      </c>
      <c r="J7" s="126" t="s">
        <v>326</v>
      </c>
      <c r="K7" s="126" t="s">
        <v>326</v>
      </c>
      <c r="L7" s="126" t="s">
        <v>326</v>
      </c>
      <c r="M7" s="126" t="s">
        <v>326</v>
      </c>
      <c r="N7" s="126" t="s">
        <v>326</v>
      </c>
      <c r="O7" s="126" t="s">
        <v>326</v>
      </c>
      <c r="P7" s="126" t="s">
        <v>326</v>
      </c>
      <c r="Q7" s="126" t="s">
        <v>326</v>
      </c>
      <c r="R7" s="126" t="s">
        <v>326</v>
      </c>
      <c r="S7" s="126" t="s">
        <v>326</v>
      </c>
      <c r="T7" s="126" t="s">
        <v>326</v>
      </c>
      <c r="U7" s="126" t="s">
        <v>326</v>
      </c>
      <c r="V7" s="125"/>
    </row>
    <row r="8" spans="1:24" s="72" customFormat="1" ht="12.75" customHeight="1">
      <c r="A8" s="100"/>
      <c r="B8" s="101"/>
      <c r="C8" s="101"/>
      <c r="D8" s="102"/>
      <c r="E8" s="103" t="s">
        <v>327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24" s="72" customFormat="1" ht="12.75" customHeight="1">
      <c r="C9" s="114"/>
      <c r="E9" s="120"/>
      <c r="F9" s="120"/>
      <c r="G9" s="120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5"/>
    </row>
    <row r="10" spans="1:24" s="72" customFormat="1" ht="12.75" customHeight="1">
      <c r="C10" s="114"/>
      <c r="E10" s="120" t="s">
        <v>328</v>
      </c>
      <c r="F10" s="120"/>
      <c r="G10" s="120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5"/>
    </row>
    <row r="11" spans="1:24" s="72" customFormat="1" ht="12.7">
      <c r="B11" s="16">
        <v>1</v>
      </c>
      <c r="C11" s="114"/>
      <c r="D11" s="72" t="s">
        <v>329</v>
      </c>
      <c r="E11" s="127" t="s">
        <v>330</v>
      </c>
      <c r="F11" s="127"/>
      <c r="G11" s="127"/>
      <c r="I11" s="128">
        <f>InpActive!G34</f>
        <v>242.5</v>
      </c>
      <c r="J11" s="128">
        <f>InpActive!H34</f>
        <v>249.5</v>
      </c>
      <c r="K11" s="128">
        <f>InpActive!I34</f>
        <v>255.7</v>
      </c>
      <c r="L11" s="128">
        <f>InpActive!J34</f>
        <v>258</v>
      </c>
      <c r="M11" s="128">
        <f>InpActive!K34</f>
        <v>261.39999999999998</v>
      </c>
      <c r="N11" s="128">
        <f>InpActive!L34</f>
        <v>270.60000000000002</v>
      </c>
      <c r="O11" s="128">
        <f>InpActive!M34</f>
        <v>279.7</v>
      </c>
      <c r="P11" s="128">
        <f>InpActive!N34</f>
        <v>288.10000000000002</v>
      </c>
      <c r="Q11" s="128">
        <f>InpActive!O34</f>
        <v>296.7</v>
      </c>
      <c r="R11" s="128"/>
      <c r="S11" s="128"/>
      <c r="T11" s="128"/>
      <c r="U11" s="128"/>
      <c r="V11" s="125"/>
    </row>
    <row r="12" spans="1:24" s="72" customFormat="1" ht="12.7">
      <c r="B12" s="16">
        <v>2</v>
      </c>
      <c r="C12" s="114"/>
      <c r="D12" s="72" t="s">
        <v>329</v>
      </c>
      <c r="E12" s="127" t="s">
        <v>331</v>
      </c>
      <c r="F12" s="127"/>
      <c r="G12" s="127"/>
      <c r="I12" s="128">
        <f>InpActive!G35</f>
        <v>242.4</v>
      </c>
      <c r="J12" s="128">
        <f>InpActive!H35</f>
        <v>250</v>
      </c>
      <c r="K12" s="128">
        <f>InpActive!I35</f>
        <v>255.9</v>
      </c>
      <c r="L12" s="128">
        <f>InpActive!J35</f>
        <v>258.5</v>
      </c>
      <c r="M12" s="128">
        <f>InpActive!K35</f>
        <v>262.10000000000002</v>
      </c>
      <c r="N12" s="128">
        <f>InpActive!L35</f>
        <v>271.7</v>
      </c>
      <c r="O12" s="128">
        <f>InpActive!M35</f>
        <v>280.7</v>
      </c>
      <c r="P12" s="128">
        <f>InpActive!N35</f>
        <v>289.10000000000002</v>
      </c>
      <c r="Q12" s="128">
        <f>InpActive!O35</f>
        <v>297.8</v>
      </c>
      <c r="R12" s="128"/>
      <c r="S12" s="128"/>
      <c r="T12" s="128"/>
      <c r="U12" s="128"/>
      <c r="V12" s="125"/>
    </row>
    <row r="13" spans="1:24" s="72" customFormat="1" ht="12.7">
      <c r="B13" s="16">
        <v>3</v>
      </c>
      <c r="C13" s="114"/>
      <c r="D13" s="72" t="s">
        <v>329</v>
      </c>
      <c r="E13" s="127" t="s">
        <v>332</v>
      </c>
      <c r="F13" s="127"/>
      <c r="G13" s="127"/>
      <c r="I13" s="128">
        <f>InpActive!G36</f>
        <v>241.8</v>
      </c>
      <c r="J13" s="128">
        <f>InpActive!H36</f>
        <v>249.7</v>
      </c>
      <c r="K13" s="128">
        <f>InpActive!I36</f>
        <v>256.3</v>
      </c>
      <c r="L13" s="128">
        <f>InpActive!J36</f>
        <v>258.89999999999998</v>
      </c>
      <c r="M13" s="128">
        <f>InpActive!K36</f>
        <v>263.10000000000002</v>
      </c>
      <c r="N13" s="128">
        <f>InpActive!L36</f>
        <v>272.3</v>
      </c>
      <c r="O13" s="128">
        <f>InpActive!M36</f>
        <v>281.5</v>
      </c>
      <c r="P13" s="128">
        <f>InpActive!N36</f>
        <v>289.89999999999998</v>
      </c>
      <c r="Q13" s="128">
        <f>InpActive!O36</f>
        <v>298.60000000000002</v>
      </c>
      <c r="R13" s="128"/>
      <c r="S13" s="128"/>
      <c r="T13" s="128"/>
      <c r="U13" s="128"/>
      <c r="V13" s="125"/>
    </row>
    <row r="14" spans="1:24" s="72" customFormat="1" ht="12.7">
      <c r="B14" s="16">
        <v>4</v>
      </c>
      <c r="C14" s="114"/>
      <c r="D14" s="72" t="s">
        <v>329</v>
      </c>
      <c r="E14" s="127" t="s">
        <v>333</v>
      </c>
      <c r="F14" s="127"/>
      <c r="G14" s="127"/>
      <c r="I14" s="128">
        <f>InpActive!G37</f>
        <v>242.1</v>
      </c>
      <c r="J14" s="128">
        <f>InpActive!H37</f>
        <v>249.7</v>
      </c>
      <c r="K14" s="128">
        <f>InpActive!I37</f>
        <v>256</v>
      </c>
      <c r="L14" s="128">
        <f>InpActive!J37</f>
        <v>258.60000000000002</v>
      </c>
      <c r="M14" s="128">
        <f>InpActive!K37</f>
        <v>263.39999999999998</v>
      </c>
      <c r="N14" s="128">
        <f>InpActive!L37</f>
        <v>272.89999999999998</v>
      </c>
      <c r="O14" s="128">
        <f>InpActive!M37</f>
        <v>281.7</v>
      </c>
      <c r="P14" s="128">
        <f>InpActive!N37</f>
        <v>290.2</v>
      </c>
      <c r="Q14" s="128">
        <f>InpActive!O37</f>
        <v>298.89999999999998</v>
      </c>
      <c r="R14" s="128"/>
      <c r="S14" s="128"/>
      <c r="T14" s="128"/>
      <c r="U14" s="128"/>
      <c r="V14" s="125"/>
    </row>
    <row r="15" spans="1:24" s="72" customFormat="1" ht="12.7">
      <c r="B15" s="16">
        <v>5</v>
      </c>
      <c r="C15" s="114"/>
      <c r="D15" s="72" t="s">
        <v>329</v>
      </c>
      <c r="E15" s="127" t="s">
        <v>334</v>
      </c>
      <c r="F15" s="127"/>
      <c r="G15" s="127"/>
      <c r="I15" s="128">
        <f>InpActive!G38</f>
        <v>243</v>
      </c>
      <c r="J15" s="128">
        <f>InpActive!H38</f>
        <v>251</v>
      </c>
      <c r="K15" s="128">
        <f>InpActive!I38</f>
        <v>257</v>
      </c>
      <c r="L15" s="128">
        <f>InpActive!J38</f>
        <v>259.8</v>
      </c>
      <c r="M15" s="128">
        <f>InpActive!K38</f>
        <v>264.39999999999998</v>
      </c>
      <c r="N15" s="128">
        <f>InpActive!L38</f>
        <v>274.7</v>
      </c>
      <c r="O15" s="128">
        <f>InpActive!M38</f>
        <v>284.2</v>
      </c>
      <c r="P15" s="128">
        <f>InpActive!N38</f>
        <v>292.7</v>
      </c>
      <c r="Q15" s="128">
        <f>InpActive!O38</f>
        <v>301.5</v>
      </c>
      <c r="R15" s="128"/>
      <c r="S15" s="128"/>
      <c r="T15" s="128"/>
      <c r="U15" s="128"/>
      <c r="V15" s="125"/>
    </row>
    <row r="16" spans="1:24" s="72" customFormat="1" ht="12.7">
      <c r="B16" s="16">
        <v>6</v>
      </c>
      <c r="C16" s="114"/>
      <c r="D16" s="72" t="s">
        <v>329</v>
      </c>
      <c r="E16" s="127" t="s">
        <v>335</v>
      </c>
      <c r="F16" s="127"/>
      <c r="G16" s="127"/>
      <c r="I16" s="128">
        <f>InpActive!G39</f>
        <v>244.2</v>
      </c>
      <c r="J16" s="128">
        <f>InpActive!H39</f>
        <v>251.9</v>
      </c>
      <c r="K16" s="128">
        <f>InpActive!I39</f>
        <v>257.60000000000002</v>
      </c>
      <c r="L16" s="128">
        <f>InpActive!J39</f>
        <v>259.60000000000002</v>
      </c>
      <c r="M16" s="128">
        <f>InpActive!K39</f>
        <v>264.89999999999998</v>
      </c>
      <c r="N16" s="128">
        <f>InpActive!L39</f>
        <v>275.10000000000002</v>
      </c>
      <c r="O16" s="128">
        <f>InpActive!M39</f>
        <v>284.10000000000002</v>
      </c>
      <c r="P16" s="128">
        <f>InpActive!N39</f>
        <v>292.60000000000002</v>
      </c>
      <c r="Q16" s="128">
        <f>InpActive!O39</f>
        <v>301.39999999999998</v>
      </c>
      <c r="R16" s="128"/>
      <c r="S16" s="128"/>
      <c r="T16" s="128"/>
      <c r="U16" s="128"/>
      <c r="V16" s="125"/>
    </row>
    <row r="17" spans="2:22" s="72" customFormat="1" ht="12.7">
      <c r="B17" s="16">
        <v>7</v>
      </c>
      <c r="C17" s="114"/>
      <c r="D17" s="72" t="s">
        <v>329</v>
      </c>
      <c r="E17" s="127" t="s">
        <v>336</v>
      </c>
      <c r="F17" s="127"/>
      <c r="G17" s="127"/>
      <c r="I17" s="128">
        <f>InpActive!G40</f>
        <v>245.6</v>
      </c>
      <c r="J17" s="128">
        <f>InpActive!H40</f>
        <v>251.9</v>
      </c>
      <c r="K17" s="128">
        <f>InpActive!I40</f>
        <v>257.7</v>
      </c>
      <c r="L17" s="128">
        <f>InpActive!J40</f>
        <v>259.5</v>
      </c>
      <c r="M17" s="128">
        <f>InpActive!K40</f>
        <v>264.8</v>
      </c>
      <c r="N17" s="128">
        <f>InpActive!L40</f>
        <v>275.3</v>
      </c>
      <c r="O17" s="128">
        <f>InpActive!M40</f>
        <v>284.5</v>
      </c>
      <c r="P17" s="128">
        <f>InpActive!N40</f>
        <v>293</v>
      </c>
      <c r="Q17" s="128">
        <f>InpActive!O40</f>
        <v>301.8</v>
      </c>
      <c r="R17" s="128"/>
      <c r="S17" s="128"/>
      <c r="T17" s="128"/>
      <c r="U17" s="128"/>
      <c r="V17" s="125"/>
    </row>
    <row r="18" spans="2:22" s="72" customFormat="1" ht="12.7">
      <c r="B18" s="16">
        <v>8</v>
      </c>
      <c r="C18" s="114"/>
      <c r="D18" s="72" t="s">
        <v>329</v>
      </c>
      <c r="E18" s="127" t="s">
        <v>337</v>
      </c>
      <c r="F18" s="127"/>
      <c r="G18" s="127"/>
      <c r="H18" s="128">
        <f>InpActive!F41</f>
        <v>238.5</v>
      </c>
      <c r="I18" s="128">
        <f>InpActive!G41</f>
        <v>245.6</v>
      </c>
      <c r="J18" s="128">
        <f>InpActive!H41</f>
        <v>252.1</v>
      </c>
      <c r="K18" s="128">
        <f>InpActive!I41</f>
        <v>257.10000000000002</v>
      </c>
      <c r="L18" s="128">
        <f>InpActive!J41</f>
        <v>259.8</v>
      </c>
      <c r="M18" s="128">
        <f>InpActive!K41</f>
        <v>265.5</v>
      </c>
      <c r="N18" s="128">
        <f>InpActive!L41</f>
        <v>275.8</v>
      </c>
      <c r="O18" s="128">
        <f>InpActive!M41</f>
        <v>284.60000000000002</v>
      </c>
      <c r="P18" s="128">
        <f>InpActive!N41</f>
        <v>293.10000000000002</v>
      </c>
      <c r="Q18" s="128">
        <f>InpActive!O41</f>
        <v>301.89999999999998</v>
      </c>
      <c r="R18" s="128"/>
      <c r="S18" s="128"/>
      <c r="T18" s="128"/>
      <c r="U18" s="128"/>
      <c r="V18" s="125"/>
    </row>
    <row r="19" spans="2:22" s="72" customFormat="1" ht="12.7">
      <c r="B19" s="16">
        <v>9</v>
      </c>
      <c r="C19" s="114"/>
      <c r="D19" s="72" t="s">
        <v>329</v>
      </c>
      <c r="E19" s="127" t="s">
        <v>338</v>
      </c>
      <c r="F19" s="127"/>
      <c r="G19" s="127"/>
      <c r="I19" s="128">
        <f>InpActive!G42</f>
        <v>246.8</v>
      </c>
      <c r="J19" s="128">
        <f>InpActive!H42</f>
        <v>253.4</v>
      </c>
      <c r="K19" s="128">
        <f>InpActive!I42</f>
        <v>257.5</v>
      </c>
      <c r="L19" s="128">
        <f>InpActive!J42</f>
        <v>260.60000000000002</v>
      </c>
      <c r="M19" s="128">
        <f>InpActive!K42</f>
        <v>267.10000000000002</v>
      </c>
      <c r="N19" s="128">
        <f>InpActive!L42</f>
        <v>278.10000000000002</v>
      </c>
      <c r="O19" s="128">
        <f>InpActive!M42</f>
        <v>285.60000000000002</v>
      </c>
      <c r="P19" s="128">
        <f>InpActive!N42</f>
        <v>294.2</v>
      </c>
      <c r="Q19" s="128">
        <f>InpActive!O42</f>
        <v>303</v>
      </c>
      <c r="R19" s="128"/>
      <c r="S19" s="128"/>
      <c r="T19" s="128"/>
      <c r="U19" s="128"/>
      <c r="V19" s="125"/>
    </row>
    <row r="20" spans="2:22" s="72" customFormat="1" ht="12.7">
      <c r="B20" s="16">
        <v>10</v>
      </c>
      <c r="C20" s="114"/>
      <c r="D20" s="72" t="s">
        <v>329</v>
      </c>
      <c r="E20" s="127" t="s">
        <v>339</v>
      </c>
      <c r="F20" s="127"/>
      <c r="G20" s="127"/>
      <c r="I20" s="128">
        <f>InpActive!G43</f>
        <v>245.8</v>
      </c>
      <c r="J20" s="128">
        <f>InpActive!H43</f>
        <v>252.6</v>
      </c>
      <c r="K20" s="128">
        <f>InpActive!I43</f>
        <v>255.4</v>
      </c>
      <c r="L20" s="128">
        <f>InpActive!J43</f>
        <v>258.8</v>
      </c>
      <c r="M20" s="128">
        <f>InpActive!K43</f>
        <v>265.5</v>
      </c>
      <c r="N20" s="128">
        <f>InpActive!L43</f>
        <v>276</v>
      </c>
      <c r="O20" s="128">
        <f>InpActive!M43</f>
        <v>283</v>
      </c>
      <c r="P20" s="128">
        <f>InpActive!N43</f>
        <v>291.5</v>
      </c>
      <c r="Q20" s="128">
        <f>InpActive!O43</f>
        <v>300.2</v>
      </c>
      <c r="R20" s="128"/>
      <c r="S20" s="128"/>
      <c r="T20" s="128"/>
      <c r="U20" s="128"/>
      <c r="V20" s="125"/>
    </row>
    <row r="21" spans="2:22" s="72" customFormat="1" ht="12.7">
      <c r="B21" s="16">
        <v>11</v>
      </c>
      <c r="C21" s="114"/>
      <c r="D21" s="72" t="s">
        <v>329</v>
      </c>
      <c r="E21" s="127" t="s">
        <v>340</v>
      </c>
      <c r="F21" s="127"/>
      <c r="G21" s="127"/>
      <c r="I21" s="128">
        <f>InpActive!G44</f>
        <v>247.6</v>
      </c>
      <c r="J21" s="128">
        <f>InpActive!H44</f>
        <v>254.2</v>
      </c>
      <c r="K21" s="128">
        <f>InpActive!I44</f>
        <v>256.7</v>
      </c>
      <c r="L21" s="128">
        <f>InpActive!J44</f>
        <v>260</v>
      </c>
      <c r="M21" s="128">
        <f>InpActive!K44</f>
        <v>268.39999999999998</v>
      </c>
      <c r="N21" s="128">
        <f>InpActive!L44</f>
        <v>278.10000000000002</v>
      </c>
      <c r="O21" s="128">
        <f>InpActive!M44</f>
        <v>286.39999999999998</v>
      </c>
      <c r="P21" s="128">
        <f>InpActive!N44</f>
        <v>295</v>
      </c>
      <c r="Q21" s="128">
        <f>InpActive!O44</f>
        <v>303.89999999999998</v>
      </c>
      <c r="R21" s="128"/>
      <c r="S21" s="128"/>
      <c r="T21" s="128"/>
      <c r="U21" s="128"/>
      <c r="V21" s="125"/>
    </row>
    <row r="22" spans="2:22" s="72" customFormat="1" ht="12.7">
      <c r="B22" s="16">
        <v>12</v>
      </c>
      <c r="C22" s="114"/>
      <c r="D22" s="72" t="s">
        <v>329</v>
      </c>
      <c r="E22" s="127" t="s">
        <v>341</v>
      </c>
      <c r="F22" s="127"/>
      <c r="G22" s="127"/>
      <c r="I22" s="128">
        <f>InpActive!G45</f>
        <v>248.7</v>
      </c>
      <c r="J22" s="128">
        <f>InpActive!H45</f>
        <v>254.8</v>
      </c>
      <c r="K22" s="128">
        <f>InpActive!I45</f>
        <v>257.10000000000002</v>
      </c>
      <c r="L22" s="128">
        <f>InpActive!J45</f>
        <v>261.10000000000002</v>
      </c>
      <c r="M22" s="128">
        <f>InpActive!K45</f>
        <v>269.3</v>
      </c>
      <c r="N22" s="128">
        <f>InpActive!L45</f>
        <v>278.3</v>
      </c>
      <c r="O22" s="128">
        <f>InpActive!M45</f>
        <v>286.60000000000002</v>
      </c>
      <c r="P22" s="128">
        <f>InpActive!N45</f>
        <v>295.2</v>
      </c>
      <c r="Q22" s="128">
        <f>InpActive!O45</f>
        <v>304.10000000000002</v>
      </c>
      <c r="R22" s="128"/>
      <c r="S22" s="128"/>
      <c r="T22" s="128"/>
      <c r="U22" s="128"/>
      <c r="V22" s="125"/>
    </row>
    <row r="23" spans="2:22" s="72" customFormat="1" ht="12.7">
      <c r="B23" s="114"/>
      <c r="C23" s="114"/>
      <c r="D23" s="91"/>
      <c r="E23" s="127" t="s">
        <v>342</v>
      </c>
      <c r="F23" s="127"/>
      <c r="G23" s="127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5"/>
    </row>
    <row r="24" spans="2:22" s="130" customFormat="1" ht="12.7">
      <c r="C24" s="131"/>
      <c r="D24" s="130" t="s">
        <v>343</v>
      </c>
      <c r="E24" s="130" t="s">
        <v>344</v>
      </c>
      <c r="I24" s="146" t="s">
        <v>326</v>
      </c>
      <c r="J24" s="146" t="s">
        <v>326</v>
      </c>
      <c r="K24" s="146" t="s">
        <v>326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32"/>
    </row>
    <row r="25" spans="2:22" s="130" customFormat="1" ht="12.7">
      <c r="C25" s="131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32"/>
    </row>
    <row r="26" spans="2:22" s="130" customFormat="1" ht="12.7">
      <c r="C26" s="131" t="s">
        <v>345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32" t="s">
        <v>346</v>
      </c>
    </row>
    <row r="27" spans="2:22" s="72" customFormat="1" ht="12.75" customHeight="1">
      <c r="C27" s="114"/>
      <c r="I27" s="126" t="s">
        <v>326</v>
      </c>
      <c r="J27" s="126" t="s">
        <v>326</v>
      </c>
      <c r="K27" s="126" t="s">
        <v>326</v>
      </c>
      <c r="L27" s="126" t="s">
        <v>326</v>
      </c>
      <c r="M27" s="126" t="s">
        <v>326</v>
      </c>
      <c r="N27" s="126" t="s">
        <v>326</v>
      </c>
      <c r="O27" s="126" t="s">
        <v>326</v>
      </c>
      <c r="P27" s="126" t="s">
        <v>326</v>
      </c>
      <c r="Q27" s="126" t="s">
        <v>326</v>
      </c>
      <c r="R27" s="126" t="s">
        <v>326</v>
      </c>
      <c r="S27" s="126" t="s">
        <v>326</v>
      </c>
      <c r="T27" s="126" t="s">
        <v>326</v>
      </c>
      <c r="U27" s="126" t="s">
        <v>326</v>
      </c>
      <c r="V27" s="125"/>
    </row>
    <row r="28" spans="2:22" s="72" customFormat="1" ht="12.75" customHeight="1">
      <c r="E28" s="120" t="s">
        <v>347</v>
      </c>
      <c r="F28" s="120"/>
      <c r="G28" s="120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5"/>
    </row>
    <row r="29" spans="2:22" ht="12.75" customHeight="1">
      <c r="B29" s="16">
        <v>1</v>
      </c>
      <c r="C29" s="114"/>
      <c r="D29" s="91" t="s">
        <v>329</v>
      </c>
      <c r="E29" s="127" t="s">
        <v>330</v>
      </c>
      <c r="F29" s="127"/>
      <c r="G29" s="127"/>
      <c r="H29" s="16">
        <v>0</v>
      </c>
      <c r="I29" s="133">
        <f>IF(I11&lt;&gt;0,I11,H29*SUM(1,I$24))</f>
        <v>242.5</v>
      </c>
      <c r="J29" s="133">
        <f t="shared" ref="J29:U29" si="2">IF(J11&lt;&gt;0,J11,I29*SUM(1,J$24))</f>
        <v>249.5</v>
      </c>
      <c r="K29" s="133">
        <f t="shared" si="2"/>
        <v>255.7</v>
      </c>
      <c r="L29" s="133">
        <f t="shared" si="2"/>
        <v>258</v>
      </c>
      <c r="M29" s="133">
        <f t="shared" si="2"/>
        <v>261.39999999999998</v>
      </c>
      <c r="N29" s="133">
        <f t="shared" si="2"/>
        <v>270.60000000000002</v>
      </c>
      <c r="O29" s="133">
        <f t="shared" si="2"/>
        <v>279.7</v>
      </c>
      <c r="P29" s="133">
        <f t="shared" si="2"/>
        <v>288.10000000000002</v>
      </c>
      <c r="Q29" s="133">
        <f t="shared" si="2"/>
        <v>296.7</v>
      </c>
      <c r="R29" s="133">
        <f t="shared" si="2"/>
        <v>296.7</v>
      </c>
      <c r="S29" s="133">
        <f t="shared" si="2"/>
        <v>296.7</v>
      </c>
      <c r="T29" s="133">
        <f t="shared" si="2"/>
        <v>296.7</v>
      </c>
      <c r="U29" s="133">
        <f t="shared" si="2"/>
        <v>296.7</v>
      </c>
    </row>
    <row r="30" spans="2:22" ht="12.75" customHeight="1">
      <c r="B30" s="16">
        <v>2</v>
      </c>
      <c r="C30" s="114"/>
      <c r="D30" s="91" t="s">
        <v>329</v>
      </c>
      <c r="E30" s="127" t="s">
        <v>331</v>
      </c>
      <c r="F30" s="127"/>
      <c r="G30" s="127"/>
      <c r="H30" s="16">
        <v>0</v>
      </c>
      <c r="I30" s="133">
        <f t="shared" ref="I30:U40" si="3">IF(I12&lt;&gt;0,I12,H30*SUM(1,I$24))</f>
        <v>242.4</v>
      </c>
      <c r="J30" s="133">
        <f t="shared" si="3"/>
        <v>250</v>
      </c>
      <c r="K30" s="133">
        <f t="shared" si="3"/>
        <v>255.9</v>
      </c>
      <c r="L30" s="133">
        <f t="shared" si="3"/>
        <v>258.5</v>
      </c>
      <c r="M30" s="133">
        <f t="shared" si="3"/>
        <v>262.10000000000002</v>
      </c>
      <c r="N30" s="133">
        <f t="shared" si="3"/>
        <v>271.7</v>
      </c>
      <c r="O30" s="133">
        <f t="shared" si="3"/>
        <v>280.7</v>
      </c>
      <c r="P30" s="133">
        <f t="shared" si="3"/>
        <v>289.10000000000002</v>
      </c>
      <c r="Q30" s="133">
        <f t="shared" si="3"/>
        <v>297.8</v>
      </c>
      <c r="R30" s="133">
        <f t="shared" si="3"/>
        <v>297.8</v>
      </c>
      <c r="S30" s="133">
        <f t="shared" si="3"/>
        <v>297.8</v>
      </c>
      <c r="T30" s="133">
        <f t="shared" si="3"/>
        <v>297.8</v>
      </c>
      <c r="U30" s="133">
        <f t="shared" si="3"/>
        <v>297.8</v>
      </c>
    </row>
    <row r="31" spans="2:22" ht="12.75" customHeight="1">
      <c r="B31" s="16">
        <v>3</v>
      </c>
      <c r="C31" s="114"/>
      <c r="D31" s="91" t="s">
        <v>329</v>
      </c>
      <c r="E31" s="127" t="s">
        <v>332</v>
      </c>
      <c r="F31" s="127"/>
      <c r="G31" s="127"/>
      <c r="H31" s="16">
        <v>0</v>
      </c>
      <c r="I31" s="133">
        <f t="shared" si="3"/>
        <v>241.8</v>
      </c>
      <c r="J31" s="133">
        <f t="shared" si="3"/>
        <v>249.7</v>
      </c>
      <c r="K31" s="133">
        <f t="shared" si="3"/>
        <v>256.3</v>
      </c>
      <c r="L31" s="133">
        <f t="shared" si="3"/>
        <v>258.89999999999998</v>
      </c>
      <c r="M31" s="133">
        <f t="shared" si="3"/>
        <v>263.10000000000002</v>
      </c>
      <c r="N31" s="133">
        <f t="shared" si="3"/>
        <v>272.3</v>
      </c>
      <c r="O31" s="133">
        <f t="shared" si="3"/>
        <v>281.5</v>
      </c>
      <c r="P31" s="133">
        <f t="shared" si="3"/>
        <v>289.89999999999998</v>
      </c>
      <c r="Q31" s="133">
        <f t="shared" si="3"/>
        <v>298.60000000000002</v>
      </c>
      <c r="R31" s="133">
        <f t="shared" si="3"/>
        <v>298.60000000000002</v>
      </c>
      <c r="S31" s="133">
        <f t="shared" si="3"/>
        <v>298.60000000000002</v>
      </c>
      <c r="T31" s="133">
        <f t="shared" si="3"/>
        <v>298.60000000000002</v>
      </c>
      <c r="U31" s="133">
        <f t="shared" si="3"/>
        <v>298.60000000000002</v>
      </c>
    </row>
    <row r="32" spans="2:22" ht="12.75" customHeight="1">
      <c r="B32" s="16">
        <v>4</v>
      </c>
      <c r="C32" s="114"/>
      <c r="D32" s="91" t="s">
        <v>329</v>
      </c>
      <c r="E32" s="127" t="s">
        <v>333</v>
      </c>
      <c r="F32" s="127"/>
      <c r="G32" s="127"/>
      <c r="H32" s="16">
        <v>0</v>
      </c>
      <c r="I32" s="133">
        <f t="shared" si="3"/>
        <v>242.1</v>
      </c>
      <c r="J32" s="133">
        <f t="shared" si="3"/>
        <v>249.7</v>
      </c>
      <c r="K32" s="133">
        <f t="shared" si="3"/>
        <v>256</v>
      </c>
      <c r="L32" s="133">
        <f t="shared" si="3"/>
        <v>258.60000000000002</v>
      </c>
      <c r="M32" s="133">
        <f t="shared" si="3"/>
        <v>263.39999999999998</v>
      </c>
      <c r="N32" s="133">
        <f t="shared" si="3"/>
        <v>272.89999999999998</v>
      </c>
      <c r="O32" s="133">
        <f t="shared" si="3"/>
        <v>281.7</v>
      </c>
      <c r="P32" s="133">
        <f t="shared" si="3"/>
        <v>290.2</v>
      </c>
      <c r="Q32" s="133">
        <f t="shared" si="3"/>
        <v>298.89999999999998</v>
      </c>
      <c r="R32" s="133">
        <f t="shared" si="3"/>
        <v>298.89999999999998</v>
      </c>
      <c r="S32" s="133">
        <f t="shared" si="3"/>
        <v>298.89999999999998</v>
      </c>
      <c r="T32" s="133">
        <f t="shared" si="3"/>
        <v>298.89999999999998</v>
      </c>
      <c r="U32" s="133">
        <f t="shared" si="3"/>
        <v>298.89999999999998</v>
      </c>
    </row>
    <row r="33" spans="2:22" ht="12.75" customHeight="1">
      <c r="B33" s="16">
        <v>5</v>
      </c>
      <c r="C33" s="114"/>
      <c r="D33" s="91" t="s">
        <v>329</v>
      </c>
      <c r="E33" s="127" t="s">
        <v>334</v>
      </c>
      <c r="F33" s="127"/>
      <c r="G33" s="127"/>
      <c r="H33" s="16">
        <v>0</v>
      </c>
      <c r="I33" s="133">
        <f t="shared" si="3"/>
        <v>243</v>
      </c>
      <c r="J33" s="133">
        <f t="shared" si="3"/>
        <v>251</v>
      </c>
      <c r="K33" s="133">
        <f t="shared" si="3"/>
        <v>257</v>
      </c>
      <c r="L33" s="133">
        <f t="shared" si="3"/>
        <v>259.8</v>
      </c>
      <c r="M33" s="133">
        <f t="shared" si="3"/>
        <v>264.39999999999998</v>
      </c>
      <c r="N33" s="133">
        <f t="shared" si="3"/>
        <v>274.7</v>
      </c>
      <c r="O33" s="133">
        <f t="shared" si="3"/>
        <v>284.2</v>
      </c>
      <c r="P33" s="133">
        <f t="shared" si="3"/>
        <v>292.7</v>
      </c>
      <c r="Q33" s="133">
        <f t="shared" si="3"/>
        <v>301.5</v>
      </c>
      <c r="R33" s="133">
        <f t="shared" si="3"/>
        <v>301.5</v>
      </c>
      <c r="S33" s="133">
        <f t="shared" si="3"/>
        <v>301.5</v>
      </c>
      <c r="T33" s="133">
        <f t="shared" si="3"/>
        <v>301.5</v>
      </c>
      <c r="U33" s="133">
        <f t="shared" si="3"/>
        <v>301.5</v>
      </c>
    </row>
    <row r="34" spans="2:22" ht="12.75" customHeight="1">
      <c r="B34" s="16">
        <v>6</v>
      </c>
      <c r="C34" s="114"/>
      <c r="D34" s="91" t="s">
        <v>329</v>
      </c>
      <c r="E34" s="127" t="s">
        <v>335</v>
      </c>
      <c r="F34" s="127"/>
      <c r="G34" s="127"/>
      <c r="H34" s="16">
        <v>0</v>
      </c>
      <c r="I34" s="133">
        <f t="shared" si="3"/>
        <v>244.2</v>
      </c>
      <c r="J34" s="133">
        <f t="shared" si="3"/>
        <v>251.9</v>
      </c>
      <c r="K34" s="133">
        <f t="shared" si="3"/>
        <v>257.60000000000002</v>
      </c>
      <c r="L34" s="133">
        <f t="shared" si="3"/>
        <v>259.60000000000002</v>
      </c>
      <c r="M34" s="133">
        <f t="shared" si="3"/>
        <v>264.89999999999998</v>
      </c>
      <c r="N34" s="133">
        <f t="shared" si="3"/>
        <v>275.10000000000002</v>
      </c>
      <c r="O34" s="133">
        <f t="shared" si="3"/>
        <v>284.10000000000002</v>
      </c>
      <c r="P34" s="133">
        <f t="shared" si="3"/>
        <v>292.60000000000002</v>
      </c>
      <c r="Q34" s="133">
        <f t="shared" si="3"/>
        <v>301.39999999999998</v>
      </c>
      <c r="R34" s="133">
        <f t="shared" si="3"/>
        <v>301.39999999999998</v>
      </c>
      <c r="S34" s="133">
        <f t="shared" si="3"/>
        <v>301.39999999999998</v>
      </c>
      <c r="T34" s="133">
        <f t="shared" si="3"/>
        <v>301.39999999999998</v>
      </c>
      <c r="U34" s="133">
        <f t="shared" si="3"/>
        <v>301.39999999999998</v>
      </c>
    </row>
    <row r="35" spans="2:22" ht="12.75" customHeight="1">
      <c r="B35" s="16">
        <v>7</v>
      </c>
      <c r="C35" s="114"/>
      <c r="D35" s="91" t="s">
        <v>329</v>
      </c>
      <c r="E35" s="127" t="s">
        <v>336</v>
      </c>
      <c r="F35" s="127"/>
      <c r="G35" s="127"/>
      <c r="H35" s="16">
        <v>0</v>
      </c>
      <c r="I35" s="133">
        <f t="shared" si="3"/>
        <v>245.6</v>
      </c>
      <c r="J35" s="133">
        <f t="shared" si="3"/>
        <v>251.9</v>
      </c>
      <c r="K35" s="133">
        <f t="shared" si="3"/>
        <v>257.7</v>
      </c>
      <c r="L35" s="133">
        <f t="shared" si="3"/>
        <v>259.5</v>
      </c>
      <c r="M35" s="133">
        <f t="shared" si="3"/>
        <v>264.8</v>
      </c>
      <c r="N35" s="133">
        <f t="shared" si="3"/>
        <v>275.3</v>
      </c>
      <c r="O35" s="133">
        <f t="shared" si="3"/>
        <v>284.5</v>
      </c>
      <c r="P35" s="133">
        <f t="shared" si="3"/>
        <v>293</v>
      </c>
      <c r="Q35" s="133">
        <f t="shared" si="3"/>
        <v>301.8</v>
      </c>
      <c r="R35" s="133">
        <f t="shared" si="3"/>
        <v>301.8</v>
      </c>
      <c r="S35" s="133">
        <f t="shared" si="3"/>
        <v>301.8</v>
      </c>
      <c r="T35" s="133">
        <f t="shared" si="3"/>
        <v>301.8</v>
      </c>
      <c r="U35" s="133">
        <f t="shared" si="3"/>
        <v>301.8</v>
      </c>
    </row>
    <row r="36" spans="2:22" ht="12.75" customHeight="1">
      <c r="B36" s="16">
        <v>8</v>
      </c>
      <c r="C36" s="114"/>
      <c r="D36" s="91" t="s">
        <v>329</v>
      </c>
      <c r="E36" s="127" t="s">
        <v>337</v>
      </c>
      <c r="F36" s="127"/>
      <c r="G36" s="127"/>
      <c r="H36" s="135">
        <f>H18</f>
        <v>238.5</v>
      </c>
      <c r="I36" s="133">
        <f t="shared" si="3"/>
        <v>245.6</v>
      </c>
      <c r="J36" s="133">
        <f t="shared" si="3"/>
        <v>252.1</v>
      </c>
      <c r="K36" s="133">
        <f t="shared" si="3"/>
        <v>257.10000000000002</v>
      </c>
      <c r="L36" s="133">
        <f t="shared" si="3"/>
        <v>259.8</v>
      </c>
      <c r="M36" s="133">
        <f t="shared" si="3"/>
        <v>265.5</v>
      </c>
      <c r="N36" s="133">
        <f t="shared" si="3"/>
        <v>275.8</v>
      </c>
      <c r="O36" s="133">
        <f t="shared" si="3"/>
        <v>284.60000000000002</v>
      </c>
      <c r="P36" s="133">
        <f t="shared" si="3"/>
        <v>293.10000000000002</v>
      </c>
      <c r="Q36" s="133">
        <f t="shared" si="3"/>
        <v>301.89999999999998</v>
      </c>
      <c r="R36" s="133">
        <f t="shared" si="3"/>
        <v>301.89999999999998</v>
      </c>
      <c r="S36" s="133">
        <f t="shared" si="3"/>
        <v>301.89999999999998</v>
      </c>
      <c r="T36" s="133">
        <f t="shared" si="3"/>
        <v>301.89999999999998</v>
      </c>
      <c r="U36" s="133">
        <f t="shared" si="3"/>
        <v>301.89999999999998</v>
      </c>
    </row>
    <row r="37" spans="2:22" ht="12.75" customHeight="1">
      <c r="B37" s="16">
        <v>9</v>
      </c>
      <c r="C37" s="114"/>
      <c r="D37" s="91" t="s">
        <v>329</v>
      </c>
      <c r="E37" s="127" t="s">
        <v>338</v>
      </c>
      <c r="F37" s="127"/>
      <c r="G37" s="127"/>
      <c r="H37" s="16">
        <v>0</v>
      </c>
      <c r="I37" s="133">
        <f t="shared" si="3"/>
        <v>246.8</v>
      </c>
      <c r="J37" s="133">
        <f t="shared" si="3"/>
        <v>253.4</v>
      </c>
      <c r="K37" s="133">
        <f t="shared" si="3"/>
        <v>257.5</v>
      </c>
      <c r="L37" s="133">
        <f t="shared" si="3"/>
        <v>260.60000000000002</v>
      </c>
      <c r="M37" s="133">
        <f t="shared" si="3"/>
        <v>267.10000000000002</v>
      </c>
      <c r="N37" s="133">
        <f t="shared" si="3"/>
        <v>278.10000000000002</v>
      </c>
      <c r="O37" s="133">
        <f t="shared" si="3"/>
        <v>285.60000000000002</v>
      </c>
      <c r="P37" s="133">
        <f t="shared" si="3"/>
        <v>294.2</v>
      </c>
      <c r="Q37" s="133">
        <f t="shared" si="3"/>
        <v>303</v>
      </c>
      <c r="R37" s="133">
        <f t="shared" si="3"/>
        <v>303</v>
      </c>
      <c r="S37" s="133">
        <f t="shared" si="3"/>
        <v>303</v>
      </c>
      <c r="T37" s="133">
        <f t="shared" si="3"/>
        <v>303</v>
      </c>
      <c r="U37" s="133">
        <f t="shared" si="3"/>
        <v>303</v>
      </c>
    </row>
    <row r="38" spans="2:22" ht="12.75" customHeight="1">
      <c r="B38" s="16">
        <v>10</v>
      </c>
      <c r="C38" s="114"/>
      <c r="D38" s="91" t="s">
        <v>329</v>
      </c>
      <c r="E38" s="127" t="s">
        <v>339</v>
      </c>
      <c r="F38" s="127"/>
      <c r="G38" s="127"/>
      <c r="H38" s="16">
        <v>0</v>
      </c>
      <c r="I38" s="133">
        <f t="shared" si="3"/>
        <v>245.8</v>
      </c>
      <c r="J38" s="133">
        <f t="shared" si="3"/>
        <v>252.6</v>
      </c>
      <c r="K38" s="133">
        <f t="shared" si="3"/>
        <v>255.4</v>
      </c>
      <c r="L38" s="133">
        <f t="shared" si="3"/>
        <v>258.8</v>
      </c>
      <c r="M38" s="133">
        <f t="shared" si="3"/>
        <v>265.5</v>
      </c>
      <c r="N38" s="133">
        <f t="shared" si="3"/>
        <v>276</v>
      </c>
      <c r="O38" s="133">
        <f t="shared" si="3"/>
        <v>283</v>
      </c>
      <c r="P38" s="133">
        <f t="shared" si="3"/>
        <v>291.5</v>
      </c>
      <c r="Q38" s="133">
        <f t="shared" si="3"/>
        <v>300.2</v>
      </c>
      <c r="R38" s="133">
        <f t="shared" si="3"/>
        <v>300.2</v>
      </c>
      <c r="S38" s="133">
        <f t="shared" si="3"/>
        <v>300.2</v>
      </c>
      <c r="T38" s="133">
        <f t="shared" si="3"/>
        <v>300.2</v>
      </c>
      <c r="U38" s="133">
        <f t="shared" si="3"/>
        <v>300.2</v>
      </c>
    </row>
    <row r="39" spans="2:22" ht="12.75" customHeight="1">
      <c r="B39" s="16">
        <v>11</v>
      </c>
      <c r="C39" s="114"/>
      <c r="D39" s="91" t="s">
        <v>329</v>
      </c>
      <c r="E39" s="127" t="s">
        <v>340</v>
      </c>
      <c r="F39" s="127"/>
      <c r="G39" s="127"/>
      <c r="H39" s="16">
        <v>0</v>
      </c>
      <c r="I39" s="133">
        <f t="shared" si="3"/>
        <v>247.6</v>
      </c>
      <c r="J39" s="133">
        <f t="shared" si="3"/>
        <v>254.2</v>
      </c>
      <c r="K39" s="133">
        <f t="shared" si="3"/>
        <v>256.7</v>
      </c>
      <c r="L39" s="133">
        <f t="shared" si="3"/>
        <v>260</v>
      </c>
      <c r="M39" s="133">
        <f t="shared" si="3"/>
        <v>268.39999999999998</v>
      </c>
      <c r="N39" s="133">
        <f t="shared" si="3"/>
        <v>278.10000000000002</v>
      </c>
      <c r="O39" s="133">
        <f t="shared" si="3"/>
        <v>286.39999999999998</v>
      </c>
      <c r="P39" s="133">
        <f t="shared" si="3"/>
        <v>295</v>
      </c>
      <c r="Q39" s="133">
        <f t="shared" si="3"/>
        <v>303.89999999999998</v>
      </c>
      <c r="R39" s="133">
        <f t="shared" si="3"/>
        <v>303.89999999999998</v>
      </c>
      <c r="S39" s="133">
        <f t="shared" si="3"/>
        <v>303.89999999999998</v>
      </c>
      <c r="T39" s="133">
        <f t="shared" si="3"/>
        <v>303.89999999999998</v>
      </c>
      <c r="U39" s="133">
        <f t="shared" si="3"/>
        <v>303.89999999999998</v>
      </c>
    </row>
    <row r="40" spans="2:22" ht="12.75" customHeight="1">
      <c r="B40" s="16">
        <v>12</v>
      </c>
      <c r="C40" s="114"/>
      <c r="D40" s="91" t="s">
        <v>329</v>
      </c>
      <c r="E40" s="127" t="s">
        <v>341</v>
      </c>
      <c r="F40" s="127"/>
      <c r="G40" s="127"/>
      <c r="H40" s="16">
        <v>0</v>
      </c>
      <c r="I40" s="133">
        <f t="shared" si="3"/>
        <v>248.7</v>
      </c>
      <c r="J40" s="133">
        <f t="shared" si="3"/>
        <v>254.8</v>
      </c>
      <c r="K40" s="133">
        <f t="shared" si="3"/>
        <v>257.10000000000002</v>
      </c>
      <c r="L40" s="133">
        <f t="shared" si="3"/>
        <v>261.10000000000002</v>
      </c>
      <c r="M40" s="133">
        <f t="shared" si="3"/>
        <v>269.3</v>
      </c>
      <c r="N40" s="133">
        <f t="shared" si="3"/>
        <v>278.3</v>
      </c>
      <c r="O40" s="133">
        <f t="shared" si="3"/>
        <v>286.60000000000002</v>
      </c>
      <c r="P40" s="133">
        <f t="shared" si="3"/>
        <v>295.2</v>
      </c>
      <c r="Q40" s="133">
        <f t="shared" si="3"/>
        <v>304.10000000000002</v>
      </c>
      <c r="R40" s="133">
        <f t="shared" si="3"/>
        <v>304.10000000000002</v>
      </c>
      <c r="S40" s="133">
        <f t="shared" si="3"/>
        <v>304.10000000000002</v>
      </c>
      <c r="T40" s="133">
        <f t="shared" si="3"/>
        <v>304.10000000000002</v>
      </c>
      <c r="U40" s="133">
        <f t="shared" si="3"/>
        <v>304.10000000000002</v>
      </c>
    </row>
    <row r="41" spans="2:22" ht="12.75" customHeight="1">
      <c r="B41" s="114"/>
      <c r="C41" s="114"/>
      <c r="D41" s="91" t="s">
        <v>329</v>
      </c>
      <c r="E41" s="127" t="s">
        <v>342</v>
      </c>
      <c r="F41" s="127"/>
      <c r="G41" s="127"/>
      <c r="I41" s="129">
        <f>IF(SUM(I29:I40)=0,0,AVERAGE(I29:I40))</f>
        <v>244.67499999999998</v>
      </c>
      <c r="J41" s="129">
        <f t="shared" ref="J41:U41" si="4">IF(SUM(J29:J40)=0,0,AVERAGE(J29:J40))</f>
        <v>251.73333333333335</v>
      </c>
      <c r="K41" s="129">
        <f t="shared" si="4"/>
        <v>256.66666666666669</v>
      </c>
      <c r="L41" s="129">
        <f t="shared" si="4"/>
        <v>259.43333333333334</v>
      </c>
      <c r="M41" s="129">
        <f t="shared" si="4"/>
        <v>264.99166666666673</v>
      </c>
      <c r="N41" s="129">
        <f t="shared" si="4"/>
        <v>274.90833333333336</v>
      </c>
      <c r="O41" s="129">
        <f t="shared" si="4"/>
        <v>283.55</v>
      </c>
      <c r="P41" s="129">
        <f t="shared" si="4"/>
        <v>292.04999999999995</v>
      </c>
      <c r="Q41" s="129">
        <f t="shared" si="4"/>
        <v>300.81666666666666</v>
      </c>
      <c r="R41" s="129">
        <f t="shared" si="4"/>
        <v>300.81666666666666</v>
      </c>
      <c r="S41" s="129">
        <f t="shared" si="4"/>
        <v>300.81666666666666</v>
      </c>
      <c r="T41" s="129">
        <f t="shared" si="4"/>
        <v>300.81666666666666</v>
      </c>
      <c r="U41" s="129">
        <f t="shared" si="4"/>
        <v>300.81666666666666</v>
      </c>
    </row>
    <row r="42" spans="2:22" s="72" customFormat="1" ht="12.75" customHeight="1">
      <c r="V42" s="125"/>
    </row>
    <row r="43" spans="2:22" s="72" customFormat="1" ht="12.75" customHeight="1">
      <c r="E43" s="98" t="s">
        <v>348</v>
      </c>
      <c r="F43" s="98"/>
      <c r="G43" s="98"/>
      <c r="V43" s="125"/>
    </row>
    <row r="44" spans="2:22" s="72" customFormat="1" ht="12.75" customHeight="1">
      <c r="E44" s="136" t="s">
        <v>349</v>
      </c>
      <c r="F44" s="136"/>
      <c r="G44" s="136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25" t="s">
        <v>350</v>
      </c>
    </row>
    <row r="45" spans="2:22" s="72" customFormat="1" ht="12.75" customHeight="1">
      <c r="C45" s="138"/>
      <c r="D45" s="130" t="s">
        <v>343</v>
      </c>
      <c r="E45" s="127" t="s">
        <v>351</v>
      </c>
      <c r="F45" s="127"/>
      <c r="G45" s="127"/>
      <c r="I45" s="185">
        <f t="shared" ref="I45:U45" si="5">IF(Indexation.November.Override&lt;&gt;"",Indexation.November.Override,IF($H$36=0,0,H36/$H$36))</f>
        <v>1</v>
      </c>
      <c r="J45" s="185">
        <f t="shared" si="5"/>
        <v>1.0297693920335429</v>
      </c>
      <c r="K45" s="185">
        <f t="shared" si="5"/>
        <v>1.0570230607966458</v>
      </c>
      <c r="L45" s="185">
        <f t="shared" si="5"/>
        <v>1.077987421383648</v>
      </c>
      <c r="M45" s="185">
        <f t="shared" si="5"/>
        <v>1.0893081761006289</v>
      </c>
      <c r="N45" s="185">
        <f>IF(Indexation.November.Override&lt;&gt;"",Indexation.November.Override,IF($H$36=0,0,M36/$H$36))</f>
        <v>1.1132075471698113</v>
      </c>
      <c r="O45" s="185">
        <f t="shared" si="5"/>
        <v>1.1563941299790357</v>
      </c>
      <c r="P45" s="185">
        <f t="shared" si="5"/>
        <v>1.1932914046121594</v>
      </c>
      <c r="Q45" s="185">
        <f t="shared" si="5"/>
        <v>1.2289308176100631</v>
      </c>
      <c r="R45" s="185">
        <f t="shared" si="5"/>
        <v>1.2658280922431866</v>
      </c>
      <c r="S45" s="185">
        <f t="shared" si="5"/>
        <v>1.2658280922431866</v>
      </c>
      <c r="T45" s="185">
        <f t="shared" si="5"/>
        <v>1.2658280922431866</v>
      </c>
      <c r="U45" s="185">
        <f t="shared" si="5"/>
        <v>1.2658280922431866</v>
      </c>
      <c r="V45" s="125" t="s">
        <v>352</v>
      </c>
    </row>
    <row r="46" spans="2:22" s="72" customFormat="1" ht="12.75" customHeight="1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2:22" s="72" customFormat="1" ht="12.75" customHeight="1">
      <c r="E47" s="140" t="s">
        <v>353</v>
      </c>
      <c r="F47" s="140"/>
      <c r="G47" s="140"/>
    </row>
    <row r="48" spans="2:22" s="72" customFormat="1" ht="12.75" customHeight="1">
      <c r="E48" s="136" t="s">
        <v>349</v>
      </c>
      <c r="F48" s="136"/>
      <c r="G48" s="136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25" t="s">
        <v>354</v>
      </c>
    </row>
    <row r="49" spans="1:22" s="72" customFormat="1" ht="12.75" customHeight="1">
      <c r="C49" s="138"/>
      <c r="D49" s="130" t="s">
        <v>343</v>
      </c>
      <c r="E49" s="127" t="s">
        <v>351</v>
      </c>
      <c r="F49" s="127"/>
      <c r="G49" s="127"/>
      <c r="I49" s="185">
        <f t="shared" ref="I49:U49" si="6">IF(Indexation.Average.Override&lt;&gt;"",Indexation.Average.Override,IF($I41=0,0,I41/$I41))</f>
        <v>1</v>
      </c>
      <c r="J49" s="185">
        <f t="shared" si="6"/>
        <v>1.0288477912877627</v>
      </c>
      <c r="K49" s="185">
        <f t="shared" si="6"/>
        <v>1.0490105922822794</v>
      </c>
      <c r="L49" s="185">
        <f t="shared" si="6"/>
        <v>1.0603181090562313</v>
      </c>
      <c r="M49" s="185">
        <f t="shared" si="6"/>
        <v>1.0830353189605262</v>
      </c>
      <c r="N49" s="185">
        <f>IF(Indexation.Average.Override&lt;&gt;"",Indexation.Average.Override,IF($I41=0,0,N41/$I41))</f>
        <v>1.1235652736623414</v>
      </c>
      <c r="O49" s="185">
        <f t="shared" si="6"/>
        <v>1.1588842341882091</v>
      </c>
      <c r="P49" s="185">
        <f t="shared" si="6"/>
        <v>1.1936241953611932</v>
      </c>
      <c r="Q49" s="185">
        <f t="shared" si="6"/>
        <v>1.2294540376690168</v>
      </c>
      <c r="R49" s="185">
        <f t="shared" si="6"/>
        <v>1.2294540376690168</v>
      </c>
      <c r="S49" s="185">
        <f t="shared" si="6"/>
        <v>1.2294540376690168</v>
      </c>
      <c r="T49" s="185">
        <f t="shared" si="6"/>
        <v>1.2294540376690168</v>
      </c>
      <c r="U49" s="185">
        <f t="shared" si="6"/>
        <v>1.2294540376690168</v>
      </c>
      <c r="V49" s="125" t="s">
        <v>355</v>
      </c>
    </row>
    <row r="50" spans="1:22" s="72" customFormat="1" ht="12.75" customHeight="1">
      <c r="C50" s="138"/>
      <c r="D50" s="130"/>
      <c r="E50" s="127"/>
      <c r="F50" s="127"/>
      <c r="G50" s="127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25"/>
    </row>
    <row r="51" spans="1:22" s="72" customFormat="1" ht="12.75" customHeight="1">
      <c r="C51" s="141"/>
      <c r="D51" s="130" t="s">
        <v>343</v>
      </c>
      <c r="E51" s="142" t="s">
        <v>356</v>
      </c>
      <c r="F51" s="142"/>
      <c r="G51" s="142"/>
      <c r="I51" s="139"/>
      <c r="J51" s="139">
        <f>IF(I49=0,0,(J49/I49)-1)</f>
        <v>2.8847791287762714E-2</v>
      </c>
      <c r="K51" s="139">
        <f t="shared" ref="K51:U51" si="7">IF(J49=0,0,(K49/J49)-1)</f>
        <v>1.9597457627118731E-2</v>
      </c>
      <c r="L51" s="139">
        <f>IF(K49=0,0,(L49/K49)-1)</f>
        <v>1.0779220779220777E-2</v>
      </c>
      <c r="M51" s="139">
        <f>IF(L49=0,0,(M49/L49)-1)</f>
        <v>2.1424900424001248E-2</v>
      </c>
      <c r="N51" s="139">
        <f t="shared" si="7"/>
        <v>3.7422560457875953E-2</v>
      </c>
      <c r="O51" s="139">
        <f t="shared" si="7"/>
        <v>3.1434720664463844E-2</v>
      </c>
      <c r="P51" s="139">
        <f t="shared" si="7"/>
        <v>2.9977076353376431E-2</v>
      </c>
      <c r="Q51" s="139">
        <f t="shared" si="7"/>
        <v>3.0017691034640359E-2</v>
      </c>
      <c r="R51" s="139">
        <f t="shared" si="7"/>
        <v>0</v>
      </c>
      <c r="S51" s="139">
        <f t="shared" si="7"/>
        <v>0</v>
      </c>
      <c r="T51" s="139">
        <f t="shared" si="7"/>
        <v>0</v>
      </c>
      <c r="U51" s="139">
        <f t="shared" si="7"/>
        <v>0</v>
      </c>
      <c r="V51" s="125" t="s">
        <v>357</v>
      </c>
    </row>
    <row r="52" spans="1:22" ht="12.75" customHeight="1">
      <c r="E52" s="155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2.75" customHeight="1" thickBot="1"/>
    <row r="54" spans="1:22" ht="12.75" customHeight="1" thickBot="1">
      <c r="A54" s="143" t="s">
        <v>311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4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K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859375" style="7" customWidth="1"/>
    <col min="4" max="4" width="9.5859375" style="7" customWidth="1"/>
    <col min="5" max="5" width="29.41015625" style="7" customWidth="1"/>
    <col min="6" max="6" width="4.1171875" style="7" customWidth="1"/>
    <col min="7" max="7" width="11.5859375" style="7" customWidth="1"/>
    <col min="8" max="8" width="4.1171875" style="7" customWidth="1"/>
    <col min="9" max="21" width="9.5859375" style="7" customWidth="1"/>
    <col min="22" max="22" width="15.87890625" style="7" bestFit="1" customWidth="1"/>
    <col min="23" max="16384" width="9.1171875" style="7" hidden="1"/>
  </cols>
  <sheetData>
    <row r="1" spans="1:22" ht="33">
      <c r="A1" s="94"/>
      <c r="B1" s="94"/>
      <c r="C1" s="94"/>
      <c r="D1" s="1" t="s">
        <v>358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3.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">
      <c r="E3" s="7" t="s">
        <v>1</v>
      </c>
      <c r="I3" s="95" t="s">
        <v>359</v>
      </c>
      <c r="J3" s="95" t="s">
        <v>360</v>
      </c>
      <c r="K3" s="95" t="s">
        <v>361</v>
      </c>
      <c r="L3" s="10" t="s">
        <v>362</v>
      </c>
      <c r="M3" s="10" t="s">
        <v>363</v>
      </c>
      <c r="N3" s="10" t="s">
        <v>364</v>
      </c>
      <c r="O3" s="10" t="s">
        <v>365</v>
      </c>
      <c r="P3" s="10" t="s">
        <v>366</v>
      </c>
      <c r="Q3" s="95" t="s">
        <v>367</v>
      </c>
      <c r="R3" s="95" t="s">
        <v>368</v>
      </c>
      <c r="S3" s="95" t="s">
        <v>369</v>
      </c>
      <c r="T3" s="95" t="s">
        <v>370</v>
      </c>
      <c r="U3" s="95" t="s">
        <v>371</v>
      </c>
      <c r="V3" s="96" t="s">
        <v>313</v>
      </c>
    </row>
    <row r="4" spans="1:22" ht="12.7">
      <c r="V4" s="96"/>
    </row>
    <row r="5" spans="1:22" ht="12.7">
      <c r="E5" s="7" t="s">
        <v>2</v>
      </c>
      <c r="I5" s="97">
        <v>2012</v>
      </c>
      <c r="J5" s="97">
        <v>2013</v>
      </c>
      <c r="K5" s="97">
        <v>2014</v>
      </c>
      <c r="L5" s="97">
        <v>2015</v>
      </c>
      <c r="M5" s="97">
        <v>2016</v>
      </c>
      <c r="N5" s="97">
        <v>2017</v>
      </c>
      <c r="O5" s="97">
        <v>2018</v>
      </c>
      <c r="P5" s="97">
        <v>2019</v>
      </c>
      <c r="Q5" s="97">
        <v>2020</v>
      </c>
      <c r="R5" s="97">
        <v>2021</v>
      </c>
      <c r="S5" s="97">
        <v>2022</v>
      </c>
      <c r="T5" s="97">
        <v>2023</v>
      </c>
      <c r="U5" s="97">
        <v>2024</v>
      </c>
      <c r="V5" s="96" t="s">
        <v>314</v>
      </c>
    </row>
    <row r="6" spans="1:22" ht="12.7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2" ht="12.7"/>
    <row r="8" spans="1:22" ht="13" thickBot="1"/>
    <row r="9" spans="1:22" ht="13" thickBot="1">
      <c r="A9" s="104" t="s">
        <v>311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12.7"/>
    <row r="11" spans="1:22" ht="12.7" hidden="1"/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100</vt:i4>
      </vt:variant>
    </vt:vector>
  </HeadingPairs>
  <TitlesOfParts>
    <vt:vector size="109" baseType="lpstr">
      <vt:lpstr>F_Inputs</vt:lpstr>
      <vt:lpstr>InpOverride</vt:lpstr>
      <vt:lpstr>InpActive</vt:lpstr>
      <vt:lpstr>F_Outputs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2019-06-28T13:28:31Z</dcterms:created>
  <dcterms:modified xsi:type="dcterms:W3CDTF">2019-07-03T16:46:29Z</dcterms:modified>
  <cp:category/>
  <cp:contentStatus/>
</cp:coreProperties>
</file>