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73" windowHeight="7693"/>
  </bookViews>
  <sheets>
    <sheet name="F_Inputs" sheetId="20" r:id="rId1"/>
    <sheet name="InpOverride" sheetId="18" r:id="rId2"/>
    <sheet name="InpActive" sheetId="14" r:id="rId3"/>
    <sheet name="F_Outputs" sheetId="15" r:id="rId4"/>
    <sheet name="Inputs" sheetId="4" r:id="rId5"/>
    <sheet name="Calcs" sheetId="5" r:id="rId6"/>
    <sheet name="Totex menu adjustments" sheetId="8" r:id="rId7"/>
    <sheet name="RPI" sheetId="7" r:id="rId8"/>
    <sheet name="Timeline" sheetId="6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_123Graph_X" localSheetId="0" hidden="1">[1]Aln!#REF!</definedName>
    <definedName name="__123Graph_X" localSheetId="1" hidden="1">[1]Aln!#REF!</definedName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localSheetId="0" hidden="1">#REF!</definedName>
    <definedName name="_Dist_Values" localSheetId="1" hidden="1">#REF!</definedName>
    <definedName name="_Dist_Values" hidden="1">#REF!</definedName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ctual.Exclusions.Sewerage">Inputs!$L$66:$P$70</definedName>
    <definedName name="Actual.Exclusions.Water" localSheetId="0">[3]Inputs!$L$60:$P$64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 localSheetId="0">[3]Inputs!$L$53:$P$53</definedName>
    <definedName name="Actual.Totex.Sewerage">Inputs!$L$53:$P$53</definedName>
    <definedName name="Actual.Totex.Water" localSheetId="0">[3]Inputs!$L$52:$P$52</definedName>
    <definedName name="Actual.Totex.Water">Inputs!$L$52:$P$52</definedName>
    <definedName name="Add.Income.1stOrder" localSheetId="0">[3]Inputs!$H$120</definedName>
    <definedName name="Add.Income.1stOrder">Inputs!$H$120</definedName>
    <definedName name="Add.Income.2ndOrder" localSheetId="0">[3]Inputs!$H$121</definedName>
    <definedName name="Add.Income.2ndOrder">Inputs!$H$121</definedName>
    <definedName name="Add.Income.Constant" localSheetId="0">[3]Inputs!$H$119</definedName>
    <definedName name="Add.Income.Constant">Inputs!$H$119</definedName>
    <definedName name="AddInc.Coeff.Sewerage" localSheetId="0">[3]Calcs!$G$70</definedName>
    <definedName name="AddInc.Coeff.Sewerage">Calcs!$G$70</definedName>
    <definedName name="AddInc.Coeff.Water" localSheetId="0">[3]Calcs!$G$65</definedName>
    <definedName name="AddInc.Coeff.Water">Calcs!$G$65</definedName>
    <definedName name="Additional.Analysis">[4]Data!$G$22</definedName>
    <definedName name="All.Totex.Sewerage">Inputs!$L$47:$P$47</definedName>
    <definedName name="All.Totex.Water">Inputs!$L$46:$P$46</definedName>
    <definedName name="AllExp.Coeff.Sewerage" localSheetId="0">[3]Calcs!$G$69</definedName>
    <definedName name="AllExp.Coeff.Sewerage">Calcs!$G$69</definedName>
    <definedName name="AllExp.Coeff.Water" localSheetId="0">[3]Calcs!$G$64</definedName>
    <definedName name="AllExp.Coeff.Water">Calcs!$G$64</definedName>
    <definedName name="Allowed.Exp.Constant" localSheetId="0">[3]Inputs!$H$117</definedName>
    <definedName name="Allowed.Exp.Constant">Inputs!$H$117</definedName>
    <definedName name="Allowed.Exp.Slope" localSheetId="0">[3]Inputs!$H$118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llRev.Dmmy">[4]Data!$I$29:$U$29</definedName>
    <definedName name="AllRev.Outturn.Dmmy.Revised">'[4]WRFIM - Dmmy'!$I$23:$U$23</definedName>
    <definedName name="AllRev.Outturn.Waste.Revised">'[4]WRFIM - Waste'!$I$23:$U$23</definedName>
    <definedName name="AllRev.Outturn.Water.Revised">'[4]WRFIM - Water'!$I$23:$U$23</definedName>
    <definedName name="AllRev.Waste">[4]Data!$I$28:$U$28</definedName>
    <definedName name="AllRev.Water">[4]Data!$I$27:$U$27</definedName>
    <definedName name="AMP.Years" localSheetId="0">[3]Timeline!$I$3:$U$3</definedName>
    <definedName name="AMP.Years">Timeline!$I$3:$U$3</definedName>
    <definedName name="AMP5.RCM.Adj.Waste">'[4]WRFIM - Waste'!$K$27</definedName>
    <definedName name="AMP5.RCM.Adj.Water">'[4]WRFIM - Water'!$K$27</definedName>
    <definedName name="AMP6.FI.Adj.Waste">'[4]WRFIM - Waste'!$I$40:$U$40</definedName>
    <definedName name="AMP6.FI.Adj.Water">'[4]WRFIM - Water'!$I$40:$U$40</definedName>
    <definedName name="Baseline.Adj.Sewerage" localSheetId="0">[3]Inputs!#REF!</definedName>
    <definedName name="Baseline.Adj.Sewerage" localSheetId="1">Inputs!#REF!</definedName>
    <definedName name="Baseline.Adj.Sewerage">Inputs!#REF!</definedName>
    <definedName name="Baseline.Adj.Water" localSheetId="0">[3]Inputs!#REF!</definedName>
    <definedName name="Baseline.Adj.Water" localSheetId="1">Inputs!#REF!</definedName>
    <definedName name="Baseline.Adj.Water">Inputs!#REF!</definedName>
    <definedName name="Baseline.Totex" localSheetId="0">[3]Calcs!#REF!</definedName>
    <definedName name="Baseline.Totex" localSheetId="1">Calcs!#REF!</definedName>
    <definedName name="Baseline.Totex">Calcs!#REF!</definedName>
    <definedName name="Baseline.Totex.Sewerage" localSheetId="0">[3]Inputs!$L$41:$P$41</definedName>
    <definedName name="Baseline.Totex.Sewerage">Inputs!$L$41:$P$41</definedName>
    <definedName name="Baseline.Totex.Water" localSheetId="0">[3]Inputs!$L$40:$P$40</definedName>
    <definedName name="Baseline.Totex.Water">Inputs!$L$40:$P$40</definedName>
    <definedName name="Baseyear">Inputs!$I$3</definedName>
    <definedName name="BlindYear.1415.Adj.Waste">[4]Data!$K$46</definedName>
    <definedName name="BlindYear.1415.Adj.Water">[4]Data!$K$45</definedName>
    <definedName name="BlindYear.Delay">[4]Data!#REF!</definedName>
    <definedName name="BR.IDoK.Water" localSheetId="0">[3]Inputs!$L$140:$P$140</definedName>
    <definedName name="BR.IDoK.Water">Inputs!$L$140:$P$140</definedName>
    <definedName name="Calendar.Years" localSheetId="0">[3]Timeline!$I$5:$U$5</definedName>
    <definedName name="Calendar.Years">Timeline!$I$5:$U$5</definedName>
    <definedName name="Choice.BP" localSheetId="0">[3]Inputs!$H$100</definedName>
    <definedName name="Choice.BP">Inputs!$H$100</definedName>
    <definedName name="CIS.FD.RCV.Waste">'[5]Inputs - waste'!$I$11:$S$11</definedName>
    <definedName name="CIS.FD.RCV.Water">'[5]Inputs - water'!$I$11:$S$11</definedName>
    <definedName name="CIS.FD.Revenue.Waste">'[5]Inputs - waste'!$I$12:$S$12</definedName>
    <definedName name="CIS.FD.Revenue.Water">'[5]Inputs - water'!$I$12:$S$12</definedName>
    <definedName name="CIS.Outturn.RCV.Waste">'[5]Inputs - waste'!$I$16:$S$16</definedName>
    <definedName name="CIS.Outturn.RCV.Water">'[5]Inputs - water'!$I$16:$S$16</definedName>
    <definedName name="CIS.Outturn.Revenue.Waste">'[5]Inputs - waste'!$I$17:$S$17</definedName>
    <definedName name="CIS.Outturn.Revenue.Water">'[5]Inputs - water'!$I$17:$S$17</definedName>
    <definedName name="Company.Baseline" localSheetId="0">[3]Inputs!$H$104</definedName>
    <definedName name="Company.Baseline">Inputs!$H$104</definedName>
    <definedName name="Company.Slope" localSheetId="0">[3]Inputs!$H$105</definedName>
    <definedName name="Company.Slope">Inputs!$H$105</definedName>
    <definedName name="CompanyEnhanced" localSheetId="0">[3]Inputs!$H$13</definedName>
    <definedName name="CompanyEnhanced">Inputs!$H$13</definedName>
    <definedName name="CompanyForecase.Int" localSheetId="0">[3]Inputs!$H$109</definedName>
    <definedName name="CompanyForecase.Int">Inputs!$H$109</definedName>
    <definedName name="CompanyName" localSheetId="0">[3]Inputs!$H$11</definedName>
    <definedName name="CompanyName">Inputs!$H$11</definedName>
    <definedName name="CompanyType" localSheetId="0">[3]Inputs!$H$12</definedName>
    <definedName name="CompanyType">Inputs!$H$12</definedName>
    <definedName name="Discount.Rate">[4]Data!$G$20</definedName>
    <definedName name="Eff.Inc.Constant" localSheetId="0">[3]Inputs!$H$115</definedName>
    <definedName name="Eff.Inc.Constant">Inputs!$H$115</definedName>
    <definedName name="Eff.Inc.Slope" localSheetId="0">[3]Inputs!$H$116</definedName>
    <definedName name="Eff.Inc.Slope">Inputs!$H$116</definedName>
    <definedName name="EffInc.Coeff.Sewerage" localSheetId="0">[3]Calcs!$G$68</definedName>
    <definedName name="EffInc.Coeff.Sewerage">Calcs!$G$68</definedName>
    <definedName name="EffInc.Coeff.Water" localSheetId="0">[3]Calcs!$G$63</definedName>
    <definedName name="EffInc.Coeff.Water">Calcs!$G$63</definedName>
    <definedName name="Enhanced.Baseline" localSheetId="0">[3]Inputs!$H$86</definedName>
    <definedName name="Enhanced.Baseline">Inputs!$H$86</definedName>
    <definedName name="Enhanced.Flag" localSheetId="0">[3]Inputs!$K$13</definedName>
    <definedName name="Enhanced.Flag">Inputs!$K$13</definedName>
    <definedName name="FD.AddInc.Coeff.Sewerage" localSheetId="0">[3]Calcs!$G$58</definedName>
    <definedName name="FD.AddInc.Coeff.Sewerage">Calcs!$G$58</definedName>
    <definedName name="FD.AddInc.Coeff.Water" localSheetId="0">[3]Calcs!$G$53</definedName>
    <definedName name="FD.AddInc.Coeff.Water">Calcs!$G$53</definedName>
    <definedName name="FD.AddInc.Sewerage" localSheetId="0">[3]Inputs!#REF!</definedName>
    <definedName name="FD.AddInc.Sewerage" localSheetId="1">Inputs!#REF!</definedName>
    <definedName name="FD.AddInc.Sewerage">Inputs!#REF!</definedName>
    <definedName name="FD.AddInc.Water" localSheetId="0">[3]Inputs!#REF!</definedName>
    <definedName name="FD.AddInc.Water" localSheetId="1">Inputs!#REF!</definedName>
    <definedName name="FD.AddInc.Water">Inputs!#REF!</definedName>
    <definedName name="FD.AllExp.Coeff.Sewerage" localSheetId="0">[3]Calcs!$G$57</definedName>
    <definedName name="FD.AllExp.Coeff.Sewerage">Calcs!$G$57</definedName>
    <definedName name="FD.AllExp.Coeff.Water" localSheetId="0">[3]Calcs!$G$52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 localSheetId="0">[3]Inputs!$H$23</definedName>
    <definedName name="FD.Menu.Choice.Sewerage">Inputs!$H$23</definedName>
    <definedName name="FD.Menu.Choice.Water" localSheetId="0">[3]Inputs!$H$22</definedName>
    <definedName name="FD.Menu.Choice.Water">Inputs!$H$22</definedName>
    <definedName name="FD.PDRC.Sewerage">Inputs!$L$27:$P$27</definedName>
    <definedName name="FD.PDRC.Water">Inputs!$L$26:$P$26</definedName>
    <definedName name="Financing.Rate">'[5]Inputs - general'!$H$10</definedName>
    <definedName name="IDoK.Sewerage" localSheetId="0">[3]Inputs!#REF!</definedName>
    <definedName name="IDoK.Sewerage" localSheetId="1">Inputs!#REF!</definedName>
    <definedName name="IDoK.Sewerage">Inputs!#REF!</definedName>
    <definedName name="IDoK.Water" localSheetId="0">[3]Inputs!#REF!</definedName>
    <definedName name="IDoK.Water" localSheetId="1">Inputs!#REF!</definedName>
    <definedName name="IDoK.Water">Inputs!#REF!</definedName>
    <definedName name="Indexation.Average" localSheetId="0">[3]RPI!$I$49:$U$49</definedName>
    <definedName name="Indexation.Average">RPI!$I$49:$U$49</definedName>
    <definedName name="Indexation.Average.Override" localSheetId="0">[3]RPI!$I$48:$U$48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Actual">[4]RPI!$I$49:$U$49</definedName>
    <definedName name="Indexation.November.Actual.Override">[4]RPI!$I$48:$U$48</definedName>
    <definedName name="Indexation.November.Actual.YearOnYear">[4]RPI!$I$51:$U$51</definedName>
    <definedName name="Indexation.November.Override" localSheetId="0">[3]RPI!$I$44:$U$44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[4]Data!$I$34:$U$34</definedName>
    <definedName name="K.Waste">[4]Data!$I$33:$U$33</definedName>
    <definedName name="K.Water">[4]Data!$I$32:$U$32</definedName>
    <definedName name="LB.AddInc" localSheetId="0">[3]Calcs!$G$46</definedName>
    <definedName name="LB.AddInc">Calcs!$G$46</definedName>
    <definedName name="LB.AllExp" localSheetId="0">[3]Calcs!$G$45</definedName>
    <definedName name="LB.AllExp">Calcs!$G$45</definedName>
    <definedName name="LB.Chosen" localSheetId="0">[3]Inputs!$H$97</definedName>
    <definedName name="LB.Chosen">Inputs!$H$97</definedName>
    <definedName name="LB.EffInc" localSheetId="0">[3]Calcs!$G$44</definedName>
    <definedName name="LB.EffInc">Calcs!$G$44</definedName>
    <definedName name="LB.Enhanced" localSheetId="0">[3]Inputs!$H$93</definedName>
    <definedName name="LB.Enhanced">Inputs!$H$93</definedName>
    <definedName name="LB.NonEnhanced" localSheetId="0">[3]Inputs!$H$94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ateriality.Threshold">'[5]Inputs - general'!$H$14</definedName>
    <definedName name="Menu.Choice.Sewerage" localSheetId="0">[3]Inputs!$H$33</definedName>
    <definedName name="Menu.Choice.Sewerage">Inputs!$H$33</definedName>
    <definedName name="Menu.Choice.Water" localSheetId="0">[3]Inputs!$H$32</definedName>
    <definedName name="Menu.Choice.Water">Inputs!$H$32</definedName>
    <definedName name="Menu.Totex">Calcs!$L$32:$P$32</definedName>
    <definedName name="Menu.Totex.Sewerage" localSheetId="0">[3]Calcs!$L$31:$P$31</definedName>
    <definedName name="Menu.Totex.Sewerage">Calcs!$L$31:$P$31</definedName>
    <definedName name="Menu.Totex.Water" localSheetId="0">[3]Calcs!$L$30:$P$30</definedName>
    <definedName name="Menu.Totex.Water">Calcs!$L$30:$P$30</definedName>
    <definedName name="NonEnhanced.Baseline" localSheetId="0">[3]Inputs!$H$87</definedName>
    <definedName name="NonEnhanced.Baseline">Inputs!$H$87</definedName>
    <definedName name="OfwatBaseline.Int" localSheetId="0">[3]Inputs!$H$108</definedName>
    <definedName name="OfwatBaseline.Int">Inputs!$H$108</definedName>
    <definedName name="Outturn.BP" localSheetId="0">[3]Inputs!$H$101</definedName>
    <definedName name="Outturn.BP">Inputs!$H$101</definedName>
    <definedName name="PAYG.Sewerage" localSheetId="0">[3]Inputs!$L$126:$P$126</definedName>
    <definedName name="PAYG.Sewerage">Inputs!$L$126:$P$126</definedName>
    <definedName name="PAYG.Water" localSheetId="0">[3]Inputs!$L$125:$P$125</definedName>
    <definedName name="PAYG.Water">Inputs!$L$125:$P$125</definedName>
    <definedName name="Penalty.Rate.General">[4]Data!$G$19</definedName>
    <definedName name="Penalty.Rate.Waste">'[4]WRFIM - Waste'!#REF!</definedName>
    <definedName name="Penalty.Rate.Water">'[4]WRFIM - Water'!#REF!</definedName>
    <definedName name="Perc.Recovered.Waste">'[4]WRFIM - Waste'!$I$52:$U$52</definedName>
    <definedName name="Perc.Recovered.Water">'[4]WRFIM - Water'!$I$52:$U$52</definedName>
    <definedName name="_xlnm.Print_Area" localSheetId="5">Calcs!$A$1:$AM$333</definedName>
    <definedName name="_xlnm.Print_Area" localSheetId="3">F_Outputs!$A$1:$G$5</definedName>
    <definedName name="_xlnm.Print_Area" localSheetId="2">InpActive!$A$1:$P$45</definedName>
    <definedName name="_xlnm.Print_Area" localSheetId="1">InpOverride!$A$1:$P$45</definedName>
    <definedName name="_xlnm.Print_Area" localSheetId="4">Inputs!$A$1:$AA$165</definedName>
    <definedName name="_xlnm.Print_Area" localSheetId="7">RPI!$A$1:$IY$59</definedName>
    <definedName name="_xlnm.Print_Area" localSheetId="8">Timeline!$A$1:$V$11</definedName>
    <definedName name="_xlnm.Print_Area" localSheetId="6">'Totex menu adjustments'!$A$1:$X$51</definedName>
    <definedName name="RCM.BlindYear.Adj.Waste">'[4]WRFIM - Waste'!$I$31:$U$31</definedName>
    <definedName name="RCM.BlindYear.Adj.Water">'[4]WRFIM - Water'!$I$31:$U$31</definedName>
    <definedName name="RCM.FD.BillingAdj.Waste">'[5]Inputs - waste'!$I$25:$S$25</definedName>
    <definedName name="RCM.FD.BillingAdj.Water">'[5]Inputs - water'!$I$25:$S$25</definedName>
    <definedName name="RCM.FD.RevCorrection.Waste">'[5]Inputs - waste'!$I$24:$S$24</definedName>
    <definedName name="RCM.FD.RevCorrection.Water">'[5]Inputs - water'!$I$24:$S$24</definedName>
    <definedName name="RCM.Outturn.BillingAdj.Waste">'[5]Inputs - waste'!$I$29:$S$29</definedName>
    <definedName name="RCM.Outturn.BillingAdj.Water">'[5]Inputs - water'!$I$29:$S$29</definedName>
    <definedName name="RCM.Outturn.RevCorrection.Waste">'[5]Inputs - waste'!$I$28:$S$28</definedName>
    <definedName name="RCM.Outturn.RevCorrection.Water">'[5]Inputs - water'!$I$28:$S$28</definedName>
    <definedName name="RecRev.Dmmy">[4]Data!$I$40:$U$40</definedName>
    <definedName name="RecRev.Waste">[4]Data!$I$39:$U$39</definedName>
    <definedName name="RecRev.Water">[4]Data!$I$38:$U$38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Serviceability.FD.RCVShortfall.Waste">'[5]Inputs - waste'!$I$35:$S$35</definedName>
    <definedName name="Serviceability.FD.RCVShortfall.Water">'[5]Inputs - water'!$I$35:$S$35</definedName>
    <definedName name="Serviceability.Outturn.RCVShortfall.Waste">'[5]Inputs - waste'!$I$38:$S$38</definedName>
    <definedName name="Serviceability.Outturn.RCVShortfall.Water">'[5]Inputs - water'!$I$38:$S$38</definedName>
    <definedName name="Threshold.Max">[4]Data!$G$17</definedName>
    <definedName name="Threshold.Min">[4]Data!$G$16</definedName>
    <definedName name="Total.Adj.Sewerage" localSheetId="0">[3]Calcs!$P$175</definedName>
    <definedName name="Total.Adj.Sewerage">Calcs!$P$175</definedName>
    <definedName name="Total.Adj.Water" localSheetId="0">[3]Calcs!$P$174</definedName>
    <definedName name="Total.Adj.Water">Calcs!$P$174</definedName>
    <definedName name="Totex.Adj.Sewerage">Calcs!$L$167:$P$167</definedName>
    <definedName name="Totex.Adj.Water">Calcs!$L$166:$P$166</definedName>
    <definedName name="TransitionExp.Sewerage" localSheetId="0">[3]Inputs!$K$78</definedName>
    <definedName name="TransitionExp.Sewerage">Inputs!$K$78</definedName>
    <definedName name="TransitionExp.Water" localSheetId="0">[3]Inputs!$K$75</definedName>
    <definedName name="TransitionExp.Water">Inputs!$K$75</definedName>
    <definedName name="UB.AddInc" localSheetId="0">[3]Calcs!$G$41</definedName>
    <definedName name="UB.AddInc">Calcs!$G$41</definedName>
    <definedName name="UB.AllExp" localSheetId="0">[3]Calcs!$G$40</definedName>
    <definedName name="UB.AllExp">Calcs!$G$40</definedName>
    <definedName name="UB.Chosen" localSheetId="0">[3]Inputs!$H$96</definedName>
    <definedName name="UB.Chosen">Inputs!$H$96</definedName>
    <definedName name="UB.EffInc" localSheetId="0">[3]Calcs!$G$39</definedName>
    <definedName name="UB.EffInc">Calcs!$G$39</definedName>
    <definedName name="UB.Enhanced" localSheetId="0">[3]Inputs!$H$90</definedName>
    <definedName name="UB.Enhanced">Inputs!$H$90</definedName>
    <definedName name="UB.NonEnhanced" localSheetId="0">[3]Inputs!$H$91</definedName>
    <definedName name="UB.NonEnhanced">Inputs!$H$91</definedName>
    <definedName name="WACC" localSheetId="0">[3]Inputs!$H$15</definedName>
    <definedName name="WACC">Inputs!$H$15</definedName>
    <definedName name="WeightedPAYG.Sewerage" localSheetId="0">[3]Calcs!$G$193</definedName>
    <definedName name="WeightedPAYG.Sewerage">Calcs!$G$193</definedName>
    <definedName name="WeightedPAYG.Water" localSheetId="0">[3]Calcs!$G$192</definedName>
    <definedName name="WeightedPAYG.Water">Calcs!$G$192</definedName>
    <definedName name="WoC.Flag">Inputs!$K$12</definedName>
    <definedName name="wotsthis" localSheetId="0" hidden="1">{"P&amp;L phased",#N/A,FALSE,"P and L";"Interest phased",#N/A,FALSE,"Interest";"Cshf phased",#N/A,FALSE,"Cashflow";"BSheet phased",#N/A,FALSE,"B Sheet";"Capex phased",#N/A,FALSE,"Capex"}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'[4]WRFIM - Waste'!$P$95</definedName>
    <definedName name="WRFIM.Water">'[4]WRFIM - Water'!$P$95</definedName>
    <definedName name="wrn.Print._.5._.and._.12." localSheetId="0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localSheetId="0" hidden="1">{"P&amp;L phased",#N/A,FALSE,"P and L";"Interest phased",#N/A,FALSE,"Interest";"Cshf phased",#N/A,FALSE,"Cashflow";"BSheet phased",#N/A,FALSE,"B Sheet";"Capex phased",#N/A,FALSE,"Capex"}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localSheetId="0" hidden="1">{"bal",#N/A,FALSE,"working papers";"income",#N/A,FALSE,"working papers"}</definedName>
    <definedName name="wrn.wpapers." hidden="1">{"bal",#N/A,FALSE,"working papers";"income",#N/A,FALSE,"working papers"}</definedName>
  </definedNames>
  <calcPr calcId="152511" iterate="1" iterateCount="10"/>
</workbook>
</file>

<file path=xl/calcChain.xml><?xml version="1.0" encoding="utf-8"?>
<calcChain xmlns="http://schemas.openxmlformats.org/spreadsheetml/2006/main">
  <c r="F5" i="15" l="1"/>
  <c r="G4" i="15"/>
  <c r="N32" i="14" l="1"/>
  <c r="P151" i="4" s="1"/>
  <c r="M32" i="14"/>
  <c r="O151" i="4" s="1"/>
  <c r="L32" i="14"/>
  <c r="N151" i="4" s="1"/>
  <c r="K32" i="14"/>
  <c r="M151" i="4" s="1"/>
  <c r="J32" i="14"/>
  <c r="L151" i="4" s="1"/>
  <c r="A32" i="14"/>
  <c r="A32" i="18" l="1"/>
  <c r="N13" i="14" l="1"/>
  <c r="P69" i="4" s="1"/>
  <c r="M13" i="14"/>
  <c r="O69" i="4" s="1"/>
  <c r="L13" i="14"/>
  <c r="N69" i="4" s="1"/>
  <c r="K13" i="14"/>
  <c r="M69" i="4" s="1"/>
  <c r="J13" i="14"/>
  <c r="L69" i="4" s="1"/>
  <c r="O31" i="14"/>
  <c r="Q22" i="7" s="1"/>
  <c r="N31" i="14"/>
  <c r="P22" i="7" s="1"/>
  <c r="M31" i="14"/>
  <c r="O22" i="7" s="1"/>
  <c r="L31" i="14"/>
  <c r="N22" i="7" s="1"/>
  <c r="K31" i="14"/>
  <c r="M22" i="7" s="1"/>
  <c r="J31" i="14"/>
  <c r="L22" i="7" s="1"/>
  <c r="I31" i="14"/>
  <c r="K22" i="7" s="1"/>
  <c r="H31" i="14"/>
  <c r="J22" i="7" s="1"/>
  <c r="G31" i="14"/>
  <c r="I22" i="7" s="1"/>
  <c r="F31" i="14"/>
  <c r="O30" i="14"/>
  <c r="Q21" i="7" s="1"/>
  <c r="N30" i="14"/>
  <c r="P21" i="7" s="1"/>
  <c r="M30" i="14"/>
  <c r="O21" i="7" s="1"/>
  <c r="L30" i="14"/>
  <c r="N21" i="7" s="1"/>
  <c r="K30" i="14"/>
  <c r="M21" i="7" s="1"/>
  <c r="J30" i="14"/>
  <c r="L21" i="7" s="1"/>
  <c r="I30" i="14"/>
  <c r="K21" i="7" s="1"/>
  <c r="H30" i="14"/>
  <c r="J21" i="7" s="1"/>
  <c r="G30" i="14"/>
  <c r="I21" i="7" s="1"/>
  <c r="F30" i="14"/>
  <c r="O29" i="14"/>
  <c r="Q20" i="7" s="1"/>
  <c r="N29" i="14"/>
  <c r="P20" i="7" s="1"/>
  <c r="M29" i="14"/>
  <c r="O20" i="7" s="1"/>
  <c r="L29" i="14"/>
  <c r="N20" i="7" s="1"/>
  <c r="K29" i="14"/>
  <c r="M20" i="7" s="1"/>
  <c r="J29" i="14"/>
  <c r="L20" i="7" s="1"/>
  <c r="I29" i="14"/>
  <c r="K20" i="7" s="1"/>
  <c r="H29" i="14"/>
  <c r="J20" i="7" s="1"/>
  <c r="G29" i="14"/>
  <c r="I20" i="7" s="1"/>
  <c r="F29" i="14"/>
  <c r="O28" i="14"/>
  <c r="Q19" i="7" s="1"/>
  <c r="N28" i="14"/>
  <c r="P19" i="7" s="1"/>
  <c r="M28" i="14"/>
  <c r="O19" i="7" s="1"/>
  <c r="L28" i="14"/>
  <c r="N19" i="7" s="1"/>
  <c r="K28" i="14"/>
  <c r="M19" i="7" s="1"/>
  <c r="J28" i="14"/>
  <c r="L19" i="7" s="1"/>
  <c r="I28" i="14"/>
  <c r="K19" i="7" s="1"/>
  <c r="H28" i="14"/>
  <c r="J19" i="7" s="1"/>
  <c r="G28" i="14"/>
  <c r="I19" i="7" s="1"/>
  <c r="F28" i="14"/>
  <c r="O27" i="14"/>
  <c r="Q18" i="7" s="1"/>
  <c r="N27" i="14"/>
  <c r="P18" i="7" s="1"/>
  <c r="M27" i="14"/>
  <c r="O18" i="7" s="1"/>
  <c r="L27" i="14"/>
  <c r="N18" i="7" s="1"/>
  <c r="K27" i="14"/>
  <c r="M18" i="7" s="1"/>
  <c r="J27" i="14"/>
  <c r="L18" i="7" s="1"/>
  <c r="I27" i="14"/>
  <c r="K18" i="7" s="1"/>
  <c r="H27" i="14"/>
  <c r="J18" i="7" s="1"/>
  <c r="G27" i="14"/>
  <c r="I18" i="7" s="1"/>
  <c r="F27" i="14"/>
  <c r="H18" i="7" s="1"/>
  <c r="O26" i="14"/>
  <c r="Q17" i="7" s="1"/>
  <c r="N26" i="14"/>
  <c r="P17" i="7" s="1"/>
  <c r="M26" i="14"/>
  <c r="O17" i="7" s="1"/>
  <c r="L26" i="14"/>
  <c r="N17" i="7" s="1"/>
  <c r="K26" i="14"/>
  <c r="M17" i="7" s="1"/>
  <c r="J26" i="14"/>
  <c r="L17" i="7" s="1"/>
  <c r="I26" i="14"/>
  <c r="K17" i="7" s="1"/>
  <c r="H26" i="14"/>
  <c r="J17" i="7" s="1"/>
  <c r="G26" i="14"/>
  <c r="I17" i="7" s="1"/>
  <c r="F26" i="14"/>
  <c r="O25" i="14"/>
  <c r="Q16" i="7" s="1"/>
  <c r="N25" i="14"/>
  <c r="P16" i="7" s="1"/>
  <c r="M25" i="14"/>
  <c r="O16" i="7" s="1"/>
  <c r="L25" i="14"/>
  <c r="N16" i="7" s="1"/>
  <c r="K25" i="14"/>
  <c r="M16" i="7" s="1"/>
  <c r="J25" i="14"/>
  <c r="L16" i="7" s="1"/>
  <c r="I25" i="14"/>
  <c r="K16" i="7" s="1"/>
  <c r="H25" i="14"/>
  <c r="J16" i="7" s="1"/>
  <c r="G25" i="14"/>
  <c r="I16" i="7" s="1"/>
  <c r="F25" i="14"/>
  <c r="O24" i="14"/>
  <c r="Q15" i="7" s="1"/>
  <c r="N24" i="14"/>
  <c r="P15" i="7" s="1"/>
  <c r="M24" i="14"/>
  <c r="O15" i="7" s="1"/>
  <c r="L24" i="14"/>
  <c r="N15" i="7" s="1"/>
  <c r="K24" i="14"/>
  <c r="M15" i="7" s="1"/>
  <c r="J24" i="14"/>
  <c r="L15" i="7" s="1"/>
  <c r="I24" i="14"/>
  <c r="K15" i="7" s="1"/>
  <c r="H24" i="14"/>
  <c r="J15" i="7" s="1"/>
  <c r="G24" i="14"/>
  <c r="I15" i="7" s="1"/>
  <c r="F24" i="14"/>
  <c r="O23" i="14"/>
  <c r="Q14" i="7" s="1"/>
  <c r="N23" i="14"/>
  <c r="P14" i="7" s="1"/>
  <c r="M23" i="14"/>
  <c r="O14" i="7" s="1"/>
  <c r="L23" i="14"/>
  <c r="N14" i="7" s="1"/>
  <c r="K23" i="14"/>
  <c r="M14" i="7" s="1"/>
  <c r="J23" i="14"/>
  <c r="L14" i="7" s="1"/>
  <c r="I23" i="14"/>
  <c r="K14" i="7" s="1"/>
  <c r="H23" i="14"/>
  <c r="J14" i="7" s="1"/>
  <c r="G23" i="14"/>
  <c r="I14" i="7" s="1"/>
  <c r="F23" i="14"/>
  <c r="O22" i="14"/>
  <c r="Q13" i="7" s="1"/>
  <c r="N22" i="14"/>
  <c r="P13" i="7" s="1"/>
  <c r="M22" i="14"/>
  <c r="O13" i="7" s="1"/>
  <c r="L22" i="14"/>
  <c r="N13" i="7" s="1"/>
  <c r="K22" i="14"/>
  <c r="M13" i="7" s="1"/>
  <c r="J22" i="14"/>
  <c r="L13" i="7" s="1"/>
  <c r="I22" i="14"/>
  <c r="K13" i="7" s="1"/>
  <c r="H22" i="14"/>
  <c r="J13" i="7" s="1"/>
  <c r="G22" i="14"/>
  <c r="I13" i="7" s="1"/>
  <c r="F22" i="14"/>
  <c r="O21" i="14"/>
  <c r="Q12" i="7" s="1"/>
  <c r="N21" i="14"/>
  <c r="P12" i="7" s="1"/>
  <c r="M21" i="14"/>
  <c r="O12" i="7" s="1"/>
  <c r="L21" i="14"/>
  <c r="N12" i="7" s="1"/>
  <c r="K21" i="14"/>
  <c r="M12" i="7" s="1"/>
  <c r="J21" i="14"/>
  <c r="L12" i="7" s="1"/>
  <c r="I21" i="14"/>
  <c r="K12" i="7" s="1"/>
  <c r="H21" i="14"/>
  <c r="J12" i="7" s="1"/>
  <c r="G21" i="14"/>
  <c r="I12" i="7" s="1"/>
  <c r="F21" i="14"/>
  <c r="O20" i="14"/>
  <c r="Q11" i="7" s="1"/>
  <c r="N20" i="14"/>
  <c r="P11" i="7" s="1"/>
  <c r="M20" i="14"/>
  <c r="O11" i="7" s="1"/>
  <c r="L20" i="14"/>
  <c r="N11" i="7" s="1"/>
  <c r="K20" i="14"/>
  <c r="M11" i="7" s="1"/>
  <c r="J20" i="14"/>
  <c r="L11" i="7" s="1"/>
  <c r="I20" i="14"/>
  <c r="K11" i="7" s="1"/>
  <c r="H20" i="14"/>
  <c r="J11" i="7" s="1"/>
  <c r="G20" i="14"/>
  <c r="I11" i="7" s="1"/>
  <c r="F20" i="14"/>
  <c r="I15" i="14"/>
  <c r="K78" i="4" s="1"/>
  <c r="N19" i="14"/>
  <c r="P72" i="4" s="1"/>
  <c r="M19" i="14"/>
  <c r="O72" i="4" s="1"/>
  <c r="L19" i="14"/>
  <c r="N72" i="4" s="1"/>
  <c r="K19" i="14"/>
  <c r="M72" i="4" s="1"/>
  <c r="J19" i="14"/>
  <c r="L72" i="4" s="1"/>
  <c r="N18" i="14"/>
  <c r="P71" i="4" s="1"/>
  <c r="M18" i="14"/>
  <c r="O71" i="4" s="1"/>
  <c r="L18" i="14"/>
  <c r="N71" i="4" s="1"/>
  <c r="K18" i="14"/>
  <c r="M71" i="4" s="1"/>
  <c r="J18" i="14"/>
  <c r="L71" i="4" s="1"/>
  <c r="N17" i="14"/>
  <c r="P70" i="4" s="1"/>
  <c r="M17" i="14"/>
  <c r="O70" i="4" s="1"/>
  <c r="L17" i="14"/>
  <c r="N70" i="4" s="1"/>
  <c r="K17" i="14"/>
  <c r="M70" i="4" s="1"/>
  <c r="J17" i="14"/>
  <c r="L70" i="4" s="1"/>
  <c r="N16" i="14"/>
  <c r="P126" i="4" s="1"/>
  <c r="M16" i="14"/>
  <c r="O126" i="4" s="1"/>
  <c r="L16" i="14"/>
  <c r="N126" i="4" s="1"/>
  <c r="K16" i="14"/>
  <c r="M126" i="4" s="1"/>
  <c r="J16" i="14"/>
  <c r="L126" i="4" s="1"/>
  <c r="N14" i="14"/>
  <c r="P68" i="4" s="1"/>
  <c r="M14" i="14"/>
  <c r="O68" i="4" s="1"/>
  <c r="L14" i="14"/>
  <c r="N68" i="4" s="1"/>
  <c r="K14" i="14"/>
  <c r="M68" i="4" s="1"/>
  <c r="J14" i="14"/>
  <c r="L68" i="4" s="1"/>
  <c r="N12" i="14"/>
  <c r="P67" i="4" s="1"/>
  <c r="M12" i="14"/>
  <c r="O67" i="4" s="1"/>
  <c r="L12" i="14"/>
  <c r="N67" i="4" s="1"/>
  <c r="K12" i="14"/>
  <c r="M67" i="4" s="1"/>
  <c r="J12" i="14"/>
  <c r="L67" i="4" s="1"/>
  <c r="N11" i="14"/>
  <c r="P66" i="4" s="1"/>
  <c r="M11" i="14"/>
  <c r="O66" i="4" s="1"/>
  <c r="L11" i="14"/>
  <c r="N66" i="4" s="1"/>
  <c r="K11" i="14"/>
  <c r="M66" i="4" s="1"/>
  <c r="J11" i="14"/>
  <c r="L66" i="4" s="1"/>
  <c r="N10" i="14"/>
  <c r="P53" i="4" s="1"/>
  <c r="M10" i="14"/>
  <c r="O53" i="4" s="1"/>
  <c r="L10" i="14"/>
  <c r="N53" i="4" s="1"/>
  <c r="K10" i="14"/>
  <c r="M53" i="4" s="1"/>
  <c r="J10" i="14"/>
  <c r="L53" i="4" s="1"/>
  <c r="N9" i="14"/>
  <c r="P41" i="4" s="1"/>
  <c r="M9" i="14"/>
  <c r="O41" i="4" s="1"/>
  <c r="L9" i="14"/>
  <c r="N41" i="4" s="1"/>
  <c r="K9" i="14"/>
  <c r="M41" i="4" s="1"/>
  <c r="J9" i="14"/>
  <c r="L41" i="4" s="1"/>
  <c r="N8" i="14"/>
  <c r="P47" i="4" s="1"/>
  <c r="M8" i="14"/>
  <c r="O47" i="4" s="1"/>
  <c r="L8" i="14"/>
  <c r="N47" i="4" s="1"/>
  <c r="K8" i="14"/>
  <c r="M47" i="4" s="1"/>
  <c r="J8" i="14"/>
  <c r="L47" i="4" s="1"/>
  <c r="P7" i="14"/>
  <c r="H33" i="4" s="1"/>
  <c r="P6" i="14"/>
  <c r="H23" i="4" s="1"/>
  <c r="P4" i="14"/>
  <c r="N5" i="14"/>
  <c r="P27" i="4" s="1"/>
  <c r="M5" i="14"/>
  <c r="O27" i="4" s="1"/>
  <c r="L5" i="14"/>
  <c r="N27" i="4" s="1"/>
  <c r="K5" i="14"/>
  <c r="M27" i="4" s="1"/>
  <c r="J5" i="14"/>
  <c r="L27" i="4" s="1"/>
  <c r="N4" i="14"/>
  <c r="M4" i="14"/>
  <c r="L4" i="14"/>
  <c r="K4" i="14"/>
  <c r="J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4" i="14"/>
  <c r="H11" i="4" s="1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H12" i="4" l="1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M38" i="8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S29" i="7"/>
  <c r="R41" i="7"/>
  <c r="R49" i="7" s="1"/>
  <c r="P30" i="5"/>
  <c r="P32" i="5" l="1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41" i="8"/>
  <c r="P21" i="8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P14" i="8" l="1"/>
</calcChain>
</file>

<file path=xl/sharedStrings.xml><?xml version="1.0" encoding="utf-8"?>
<sst xmlns="http://schemas.openxmlformats.org/spreadsheetml/2006/main" count="1141" uniqueCount="444">
  <si>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</si>
  <si>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</si>
  <si>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</si>
  <si>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</si>
  <si>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</si>
  <si>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</si>
  <si>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</si>
  <si>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</si>
  <si>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</si>
  <si>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</si>
  <si>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</si>
  <si>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</si>
  <si>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</si>
  <si>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</si>
  <si>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</si>
  <si>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</si>
  <si>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</si>
  <si>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</si>
  <si>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</si>
  <si>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</si>
  <si>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</si>
  <si>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</si>
  <si>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</si>
  <si>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</si>
  <si>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</si>
  <si>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</si>
  <si>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</si>
  <si>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</si>
  <si>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</si>
  <si>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</si>
  <si>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</si>
  <si>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</si>
  <si>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</si>
  <si>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</si>
  <si>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</si>
  <si>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</si>
  <si>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</si>
  <si>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</si>
  <si>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</si>
  <si>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</si>
  <si>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</si>
  <si>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</si>
  <si>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</si>
  <si>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</si>
  <si>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</si>
  <si>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</si>
  <si>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</si>
  <si>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</si>
  <si>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</si>
  <si>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</si>
  <si>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</si>
  <si>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</si>
  <si>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</si>
  <si>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</si>
  <si>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</si>
  <si>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</si>
  <si>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</si>
  <si>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</si>
  <si>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</si>
  <si>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</si>
  <si>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</si>
  <si>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</si>
  <si>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</si>
  <si>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</si>
  <si>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</si>
  <si>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</si>
  <si>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</si>
  <si>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</si>
  <si>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</si>
  <si>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</si>
  <si>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</si>
  <si>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</si>
  <si>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</si>
  <si>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</si>
  <si>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</si>
  <si>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</si>
  <si>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</si>
  <si>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</si>
  <si>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</si>
  <si>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</si>
  <si>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</si>
  <si>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</si>
  <si>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</si>
  <si>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</si>
  <si>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</si>
  <si>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</si>
  <si>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</si>
  <si>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</si>
  <si>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</si>
  <si>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</si>
  <si>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</si>
  <si>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</si>
  <si>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</si>
  <si>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</si>
  <si>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</si>
  <si>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</si>
  <si>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</si>
  <si>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</si>
  <si>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</si>
  <si>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</si>
  <si>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</si>
  <si>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</si>
  <si>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</si>
  <si>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</si>
  <si>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</si>
  <si>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</si>
  <si>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</si>
  <si>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</si>
  <si>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</si>
  <si>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</si>
  <si>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</si>
  <si>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</si>
  <si>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</si>
  <si>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</si>
  <si>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</si>
  <si>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</si>
  <si>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</si>
  <si>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</si>
  <si>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</si>
  <si>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</si>
  <si>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</si>
  <si>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</si>
  <si>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</si>
  <si>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</si>
  <si>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</si>
  <si>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</si>
  <si>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</si>
  <si>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</si>
  <si>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</si>
  <si>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</si>
  <si>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</si>
  <si>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</si>
  <si>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</si>
  <si>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</si>
  <si>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</si>
  <si>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</si>
  <si>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</si>
  <si>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</si>
  <si>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</si>
  <si>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</si>
  <si>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</si>
  <si>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</si>
  <si>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</si>
  <si>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</si>
  <si>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</si>
  <si>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</si>
  <si>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</si>
  <si>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</si>
  <si>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</si>
  <si>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</si>
  <si>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</si>
  <si>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</si>
  <si>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</si>
  <si>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</si>
  <si>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</si>
  <si>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</si>
  <si>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</si>
  <si>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</si>
  <si>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</si>
  <si>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</si>
  <si>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</si>
  <si>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</si>
  <si>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</si>
  <si>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</si>
  <si>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</si>
  <si>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</si>
  <si>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</si>
  <si>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</si>
  <si>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</si>
  <si>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</si>
  <si>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</si>
  <si>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</si>
  <si>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</si>
  <si>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</si>
  <si>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</si>
  <si>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</si>
  <si>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</si>
  <si>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</si>
  <si>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</si>
  <si>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</si>
  <si>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</si>
  <si>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</si>
  <si>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</si>
  <si>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</si>
  <si>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</si>
  <si>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</si>
  <si>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</si>
  <si>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</si>
  <si>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</si>
  <si>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</si>
  <si>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</si>
  <si>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</si>
  <si>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</si>
  <si>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</si>
  <si>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</si>
  <si>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</si>
  <si>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</si>
  <si>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</si>
  <si>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</si>
  <si>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</si>
  <si>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</si>
  <si>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</si>
  <si>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</si>
  <si>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</si>
  <si>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</si>
  <si>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</si>
  <si>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</si>
  <si>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</si>
  <si>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</si>
  <si>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</si>
  <si>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</si>
  <si>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</si>
  <si>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</si>
  <si>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</si>
  <si>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</si>
  <si>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</si>
  <si>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</si>
  <si>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</si>
  <si>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</si>
  <si>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</si>
  <si>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</si>
  <si>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</si>
  <si>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</si>
  <si>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</si>
  <si>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</si>
  <si>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</si>
  <si>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</si>
  <si>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</si>
  <si>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</si>
  <si>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</si>
  <si>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</si>
  <si>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</si>
  <si>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</si>
  <si>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</si>
  <si>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</si>
  <si>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</si>
  <si>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</si>
  <si>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</si>
  <si>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</si>
  <si>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</si>
  <si>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</si>
  <si>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</si>
  <si>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</si>
  <si>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</si>
  <si>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</si>
  <si>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</si>
  <si>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</si>
  <si>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</si>
  <si>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</si>
  <si>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</si>
  <si>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</si>
  <si>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</si>
  <si>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</si>
  <si>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</si>
  <si>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</si>
  <si>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</si>
  <si>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</si>
  <si>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</si>
  <si>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</si>
  <si>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</si>
  <si>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</si>
  <si>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</si>
  <si>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</si>
  <si>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</si>
  <si>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</si>
  <si>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</si>
  <si>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</si>
  <si>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</si>
  <si>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</si>
  <si>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</si>
  <si>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</si>
  <si>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</si>
  <si>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</si>
  <si>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</si>
  <si>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</si>
  <si>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</si>
  <si>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</si>
  <si>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</si>
  <si>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</si>
  <si>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</si>
  <si>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</si>
  <si>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</si>
  <si>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</si>
  <si>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</si>
  <si>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</si>
  <si>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</si>
  <si>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</si>
  <si>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</si>
  <si>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</si>
  <si>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</si>
  <si>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</si>
  <si>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</si>
  <si>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</si>
  <si>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</si>
  <si>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</si>
  <si>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</si>
  <si>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</si>
  <si>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</si>
  <si>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</si>
  <si>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</si>
  <si>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</si>
  <si>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</si>
  <si>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</si>
  <si>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</si>
  <si>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</si>
  <si>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</si>
  <si>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</si>
  <si>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</si>
  <si>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</si>
  <si>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</si>
  <si>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</si>
  <si>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</si>
  <si>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</si>
  <si>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</si>
  <si>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</si>
  <si>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</si>
  <si>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</si>
  <si>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</si>
  <si>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</si>
  <si>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</si>
  <si>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</si>
  <si>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</si>
  <si>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Total Actual Totex (net of exclusions, logging and shortfalls)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</si>
  <si>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</si>
  <si>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</si>
  <si>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</si>
  <si>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</si>
  <si>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</si>
  <si>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</si>
  <si>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</si>
  <si>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</si>
  <si>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</si>
  <si>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</si>
  <si>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</si>
  <si>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</si>
  <si>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</si>
  <si>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</si>
  <si>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</si>
  <si>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</si>
  <si>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</si>
  <si>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</si>
  <si>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</si>
  <si>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</si>
  <si>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</si>
  <si>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</si>
  <si>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</si>
  <si>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</si>
  <si>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</si>
  <si>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</si>
  <si>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</si>
  <si>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</si>
  <si>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</si>
  <si>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</si>
  <si>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</si>
  <si>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</si>
  <si>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</si>
  <si>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</si>
  <si>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</si>
  <si>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</si>
  <si>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</si>
  <si>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</si>
  <si>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</si>
  <si>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</si>
  <si>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</si>
  <si>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</si>
  <si>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</si>
  <si>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</si>
  <si>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</si>
  <si>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</si>
  <si>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</si>
  <si>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</si>
  <si>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</si>
  <si>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</si>
  <si>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</si>
  <si>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</si>
  <si>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</si>
  <si>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</si>
  <si>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</si>
  <si>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£m</t>
  </si>
  <si>
    <t>Price Review 2019</t>
  </si>
  <si>
    <t>nr</t>
  </si>
  <si>
    <t>Menu choices - Sewerage: Final menu choice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</si>
  <si>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</si>
  <si>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</si>
  <si>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</si>
  <si>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WWS15028</t>
  </si>
  <si>
    <t>ADJUSTMENTS TO TOTEX - Sewerage: Other cash items</t>
  </si>
  <si>
    <t>PR19 application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</si>
  <si>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</si>
  <si>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</si>
  <si>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</si>
  <si>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</si>
  <si>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</si>
  <si>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</si>
  <si>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</si>
  <si>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</si>
  <si>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</si>
  <si>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</si>
  <si>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</si>
  <si>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</si>
  <si>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</si>
  <si>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</si>
  <si>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</si>
  <si>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</si>
  <si>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</si>
  <si>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</si>
  <si>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</si>
  <si>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</si>
  <si>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</si>
  <si>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</si>
  <si>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</si>
  <si>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</si>
  <si>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Action /
Intervention
reference</t>
  </si>
  <si>
    <t>BF200_DMMY</t>
  </si>
  <si>
    <t>C00559_DMMY</t>
  </si>
  <si>
    <t>Menu choices - Sewerage: FD pension deficit recovery costs allowance</t>
  </si>
  <si>
    <t>C00728_S004_DMMY</t>
  </si>
  <si>
    <t>Menu choices - Sewerage: Implied menu choice</t>
  </si>
  <si>
    <t>WWS15006_DMMY</t>
  </si>
  <si>
    <t>C00768_A001_DMMY</t>
  </si>
  <si>
    <t>TOTEX - Sewerage: FD allowed totex inclusive of menu cost exclusions, less PDRC allowance</t>
  </si>
  <si>
    <t>C00010_S004_DMMY</t>
  </si>
  <si>
    <t>TOTEX - Sewerage: Baseline Totex</t>
  </si>
  <si>
    <t>S3040MT_DMMY</t>
  </si>
  <si>
    <t>TOTEX - Sewerage: Actual Totex</t>
  </si>
  <si>
    <t>BM823TAS_DMMY</t>
  </si>
  <si>
    <t>ADJUSTMENTS TO TOTEX - Sewerage: Third party services (opex)</t>
  </si>
  <si>
    <t>BM833TAS_DMMY</t>
  </si>
  <si>
    <t>ADJUSTMENTS TO TOTEX - Sewerage: Third party services (capex)</t>
  </si>
  <si>
    <t>CRS003_DMMY</t>
  </si>
  <si>
    <t>ADJUSTMENTS TO TOTEX - Sewerage: Pension deficit recovery costs</t>
  </si>
  <si>
    <t>BP867NT_DMMY</t>
  </si>
  <si>
    <t>ADJUSTMENTS TO TOTEX - Sewerage: Transition expenditure</t>
  </si>
  <si>
    <t>C00770_A001_DMMY</t>
  </si>
  <si>
    <t>PAYG - Sewerage: PAYG ratio</t>
  </si>
  <si>
    <t>WWS15014_DMMY</t>
  </si>
  <si>
    <t>WWS15015_DMMY</t>
  </si>
  <si>
    <t>WWS15016_DMMY</t>
  </si>
  <si>
    <t>TBC</t>
  </si>
  <si>
    <t>PR19_PD006_Run7_TTT</t>
  </si>
  <si>
    <t>TMS</t>
  </si>
  <si>
    <t>C_WWS15019_DMMY_PR19PD006</t>
  </si>
  <si>
    <t>C_WWS15020_DMMY_PR19PD006</t>
  </si>
  <si>
    <t>PR19_Totex_PD_OUT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</si>
</sst>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#,##0_);\(#,##0\);&quot;-  &quot;;&quot; &quot;@&quot; &quot;"/>
    <numFmt numFmtId="183" formatCode="_(* #,##0.0_);_(* \(#,##0.0\);_(* &quot;-&quot;??_);_(@_)"/>
    <numFmt numFmtId="184" formatCode="#,##0_);\(#,##0\);&quot;-  &quot;;&quot; &quot;@"/>
    <numFmt numFmtId="185" formatCode="dd\ mmm\ yy_);;&quot;-  &quot;;&quot; &quot;@&quot; &quot;"/>
    <numFmt numFmtId="186" formatCode="#,##0.0000_);\(#,##0.0000\);&quot;-  &quot;;&quot; &quot;@&quot; &quot;"/>
    <numFmt numFmtId="187" formatCode="0.00%_);\-0.00%_);&quot;-  &quot;;&quot; &quot;@&quot; &quot;"/>
    <numFmt numFmtId="188" formatCode="dd\ mmm\ yyyy_);\(###0\);&quot;-  &quot;;&quot; &quot;@&quot; &quot;"/>
    <numFmt numFmtId="189" formatCode="dd\ mmm\ yy_);\(###0\);&quot;-  &quot;;&quot; &quot;@&quot; &quot;"/>
    <numFmt numFmtId="190" formatCode="###0_);\(###0\);&quot;-  &quot;;&quot; &quot;@&quot; &quot;"/>
    <numFmt numFmtId="191" formatCode="&quot;£&quot;#,##0.00"/>
    <numFmt numFmtId="192" formatCode="#,##0.0_ ;[Red]\-#,##0.0\ "/>
    <numFmt numFmtId="193" formatCode="#,##0_ ;[Red]\-#,##0\ "/>
  </numFmts>
  <fonts count="11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7" fillId="0" borderId="30" applyNumberFormat="0" applyFill="0" applyAlignment="0" applyProtection="0"/>
    <xf numFmtId="0" fontId="78" fillId="0" borderId="31" applyNumberFormat="0" applyFill="0" applyAlignment="0" applyProtection="0"/>
    <xf numFmtId="0" fontId="79" fillId="0" borderId="32" applyNumberFormat="0" applyFill="0" applyAlignment="0" applyProtection="0"/>
    <xf numFmtId="0" fontId="79" fillId="0" borderId="0" applyNumberFormat="0" applyFill="0" applyBorder="0" applyAlignment="0" applyProtection="0"/>
    <xf numFmtId="0" fontId="2" fillId="0" borderId="0"/>
    <xf numFmtId="0" fontId="2" fillId="0" borderId="0"/>
    <xf numFmtId="182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7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7" fontId="10" fillId="0" borderId="0" applyFont="0" applyFill="0" applyBorder="0" applyProtection="0">
      <alignment vertical="top"/>
    </xf>
    <xf numFmtId="0" fontId="82" fillId="3" borderId="0" applyNumberFormat="0" applyBorder="0" applyAlignment="0" applyProtection="0"/>
    <xf numFmtId="0" fontId="82" fillId="78" borderId="0" applyNumberFormat="0" applyBorder="0" applyAlignment="0" applyProtection="0"/>
    <xf numFmtId="0" fontId="82" fillId="79" borderId="0" applyNumberFormat="0" applyBorder="0" applyAlignment="0" applyProtection="0"/>
    <xf numFmtId="0" fontId="82" fillId="80" borderId="0" applyNumberFormat="0" applyBorder="0" applyAlignment="0" applyProtection="0"/>
    <xf numFmtId="0" fontId="82" fillId="81" borderId="0" applyNumberFormat="0" applyBorder="0" applyAlignment="0" applyProtection="0"/>
    <xf numFmtId="0" fontId="82" fillId="82" borderId="0" applyNumberFormat="0" applyBorder="0" applyAlignment="0" applyProtection="0"/>
    <xf numFmtId="0" fontId="82" fillId="83" borderId="0" applyNumberFormat="0" applyBorder="0" applyAlignment="0" applyProtection="0"/>
    <xf numFmtId="0" fontId="82" fillId="84" borderId="0" applyNumberFormat="0" applyBorder="0" applyAlignment="0" applyProtection="0"/>
    <xf numFmtId="0" fontId="82" fillId="85" borderId="0" applyNumberFormat="0" applyBorder="0" applyAlignment="0" applyProtection="0"/>
    <xf numFmtId="183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4" fontId="87" fillId="0" borderId="0" applyNumberFormat="0" applyProtection="0">
      <alignment vertical="top"/>
    </xf>
    <xf numFmtId="184" fontId="88" fillId="0" borderId="0" applyNumberFormat="0" applyProtection="0">
      <alignment vertical="top"/>
    </xf>
    <xf numFmtId="184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1" fillId="0" borderId="0" applyNumberFormat="0" applyFill="0" applyBorder="0" applyProtection="0">
      <alignment vertical="top"/>
    </xf>
    <xf numFmtId="0" fontId="89" fillId="0" borderId="0" applyNumberFormat="0" applyFill="0" applyBorder="0" applyAlignment="0" applyProtection="0">
      <alignment vertical="top"/>
      <protection locked="0"/>
    </xf>
    <xf numFmtId="188" fontId="4" fillId="0" borderId="0" applyFont="0" applyFill="0" applyBorder="0" applyProtection="0">
      <alignment vertical="top"/>
    </xf>
    <xf numFmtId="189" fontId="4" fillId="0" borderId="0" applyFont="0" applyFill="0" applyBorder="0" applyProtection="0">
      <alignment vertical="top"/>
    </xf>
    <xf numFmtId="186" fontId="4" fillId="0" borderId="0" applyFont="0" applyFill="0" applyBorder="0" applyProtection="0">
      <alignment vertical="top"/>
    </xf>
    <xf numFmtId="0" fontId="83" fillId="0" borderId="0"/>
    <xf numFmtId="0" fontId="84" fillId="0" borderId="0"/>
    <xf numFmtId="0" fontId="85" fillId="0" borderId="0"/>
    <xf numFmtId="185" fontId="8" fillId="0" borderId="0" applyNumberFormat="0" applyFill="0" applyBorder="0" applyProtection="0">
      <alignment vertical="top"/>
    </xf>
    <xf numFmtId="0" fontId="86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0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82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164" fontId="96" fillId="0" borderId="0" applyFont="0" applyFill="0" applyBorder="0" applyAlignment="0" applyProtection="0"/>
    <xf numFmtId="186" fontId="2" fillId="0" borderId="0" applyFont="0" applyFill="0" applyBorder="0" applyProtection="0">
      <alignment vertical="top"/>
    </xf>
    <xf numFmtId="0" fontId="97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1" fillId="0" borderId="0" applyNumberFormat="0" applyFill="0" applyBorder="0" applyAlignment="0" applyProtection="0"/>
    <xf numFmtId="0" fontId="2" fillId="0" borderId="0"/>
    <xf numFmtId="0" fontId="80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93" fillId="88" borderId="0" applyNumberFormat="0">
      <alignment horizontal="left"/>
    </xf>
    <xf numFmtId="0" fontId="94" fillId="89" borderId="0" applyNumberFormat="0"/>
    <xf numFmtId="0" fontId="95" fillId="93" borderId="0" applyBorder="0"/>
    <xf numFmtId="192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4" fillId="89" borderId="39">
      <alignment horizontal="center" vertical="center" wrapText="1"/>
    </xf>
    <xf numFmtId="0" fontId="92" fillId="90" borderId="40">
      <alignment horizontal="left" vertical="center" wrapText="1"/>
    </xf>
    <xf numFmtId="192" fontId="82" fillId="95" borderId="0">
      <alignment horizontal="right" vertical="center"/>
    </xf>
    <xf numFmtId="0" fontId="93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2" fillId="93" borderId="39">
      <alignment horizontal="right" vertical="center" wrapText="1"/>
    </xf>
    <xf numFmtId="0" fontId="10" fillId="0" borderId="39">
      <alignment horizontal="left" vertical="center" wrapText="1"/>
    </xf>
    <xf numFmtId="193" fontId="82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97" borderId="0"/>
    <xf numFmtId="0" fontId="81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28" borderId="0">
      <alignment horizontal="right"/>
    </xf>
    <xf numFmtId="0" fontId="100" fillId="28" borderId="0">
      <alignment horizontal="right"/>
    </xf>
    <xf numFmtId="0" fontId="101" fillId="28" borderId="41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8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0" fontId="2" fillId="0" borderId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82" fontId="105" fillId="0" borderId="0" applyFont="0" applyFill="0" applyBorder="0" applyProtection="0">
      <alignment vertical="top"/>
    </xf>
    <xf numFmtId="184" fontId="4" fillId="0" borderId="0" applyFont="0" applyFill="0" applyBorder="0" applyProtection="0">
      <alignment vertical="top"/>
    </xf>
    <xf numFmtId="184" fontId="8" fillId="0" borderId="0" applyFont="0" applyFill="0" applyBorder="0" applyAlignment="0" applyProtection="0"/>
    <xf numFmtId="187" fontId="4" fillId="0" borderId="0" applyFont="0" applyFill="0" applyBorder="0" applyProtection="0">
      <alignment vertical="top"/>
    </xf>
    <xf numFmtId="184" fontId="4" fillId="0" borderId="0" applyFont="0" applyFill="0" applyBorder="0" applyProtection="0">
      <alignment vertical="top"/>
    </xf>
    <xf numFmtId="189" fontId="4" fillId="0" borderId="0" applyFont="0" applyFill="0" applyBorder="0" applyProtection="0">
      <alignment vertical="top"/>
    </xf>
    <xf numFmtId="182" fontId="4" fillId="0" borderId="0" applyFont="0" applyFill="0" applyBorder="0" applyProtection="0">
      <alignment vertical="top"/>
    </xf>
    <xf numFmtId="186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4" fillId="52" borderId="34" applyNumberFormat="0" applyAlignment="0" applyProtection="0"/>
    <xf numFmtId="0" fontId="106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7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0" fillId="48" borderId="0" applyNumberFormat="0" applyBorder="0" applyAlignment="0" applyProtection="0"/>
    <xf numFmtId="190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6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6" fillId="62" borderId="0" applyNumberFormat="0" applyBorder="0" applyAlignment="0" applyProtection="0"/>
    <xf numFmtId="0" fontId="106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6" fillId="0" borderId="0" applyFont="0" applyFill="0" applyBorder="0" applyAlignment="0" applyProtection="0"/>
    <xf numFmtId="186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3" fillId="50" borderId="0" applyNumberFormat="0" applyBorder="0" applyAlignment="0" applyProtection="0"/>
    <xf numFmtId="0" fontId="108" fillId="52" borderId="33" applyNumberFormat="0" applyAlignment="0" applyProtection="0"/>
    <xf numFmtId="0" fontId="45" fillId="53" borderId="36" applyNumberFormat="0" applyAlignment="0" applyProtection="0"/>
    <xf numFmtId="0" fontId="109" fillId="0" borderId="0" applyNumberFormat="0" applyFill="0" applyBorder="0" applyAlignment="0" applyProtection="0"/>
    <xf numFmtId="0" fontId="107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2" fillId="0" borderId="35" applyNumberFormat="0" applyFill="0" applyAlignment="0" applyProtection="0"/>
    <xf numFmtId="0" fontId="1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1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6" fillId="77" borderId="0" applyNumberFormat="0" applyBorder="0" applyAlignment="0" applyProtection="0"/>
    <xf numFmtId="0" fontId="106" fillId="69" borderId="0" applyNumberFormat="0" applyBorder="0" applyAlignment="0" applyProtection="0"/>
    <xf numFmtId="0" fontId="106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6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6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5" fillId="0" borderId="37" applyNumberFormat="0" applyFill="0" applyAlignment="0" applyProtection="0"/>
    <xf numFmtId="0" fontId="106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7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6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6" fillId="70" borderId="0" applyNumberFormat="0" applyBorder="0" applyAlignment="0" applyProtection="0"/>
    <xf numFmtId="184" fontId="4" fillId="0" borderId="0" applyFont="0" applyFill="0" applyBorder="0" applyProtection="0">
      <alignment vertical="top"/>
    </xf>
    <xf numFmtId="182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74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5" applyAlignment="1">
      <alignment vertical="center"/>
    </xf>
    <xf numFmtId="10" fontId="8" fillId="0" borderId="0" xfId="1" applyNumberFormat="1" applyFont="1" applyAlignment="1">
      <alignment horizontal="left" vertical="center"/>
    </xf>
    <xf numFmtId="1" fontId="4" fillId="0" borderId="0" xfId="1" applyNumberFormat="1" applyAlignment="1">
      <alignment vertical="center"/>
    </xf>
    <xf numFmtId="0" fontId="4" fillId="0" borderId="0" xfId="1" applyAlignment="1">
      <alignment vertical="center"/>
    </xf>
    <xf numFmtId="10" fontId="8" fillId="0" borderId="0" xfId="1" applyNumberFormat="1" applyFont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vertical="center" shrinkToFit="1"/>
    </xf>
    <xf numFmtId="0" fontId="4" fillId="0" borderId="0" xfId="1" applyAlignment="1">
      <alignment horizontal="center" vertical="center" shrinkToFit="1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2" fillId="11" borderId="0" xfId="1" applyFont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4" fillId="11" borderId="0" xfId="1" applyFill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0" fontId="4" fillId="30" borderId="0" xfId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0" fontId="117" fillId="0" borderId="0" xfId="1" applyFont="1" applyProtection="1">
      <protection locked="0"/>
    </xf>
    <xf numFmtId="0" fontId="94" fillId="89" borderId="42" xfId="57" applyFont="1" applyFill="1" applyBorder="1" applyAlignment="1">
      <alignment horizontal="center" vertical="center" wrapText="1"/>
    </xf>
    <xf numFmtId="9" fontId="0" fillId="0" borderId="0" xfId="0" applyNumberFormat="1"/>
    <xf numFmtId="9" fontId="0" fillId="11" borderId="0" xfId="0" applyNumberFormat="1" applyFill="1"/>
    <xf numFmtId="0" fontId="0" fillId="0" borderId="0" xfId="0" applyFill="1"/>
    <xf numFmtId="181" fontId="0" fillId="0" borderId="0" xfId="0" applyNumberFormat="1" applyFill="1"/>
    <xf numFmtId="171" fontId="0" fillId="0" borderId="0" xfId="0" applyNumberFormat="1" applyFill="1"/>
    <xf numFmtId="181" fontId="0" fillId="0" borderId="0" xfId="0" applyNumberFormat="1"/>
    <xf numFmtId="171" fontId="0" fillId="0" borderId="0" xfId="0" applyNumberFormat="1"/>
    <xf numFmtId="10" fontId="0" fillId="0" borderId="0" xfId="0" applyNumberFormat="1"/>
    <xf numFmtId="181" fontId="63" fillId="0" borderId="0" xfId="130" applyNumberFormat="1" applyAlignment="1">
      <alignment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Model%20runs/IAP/Model%20Run%201/Past%20delivery/TMS/PR19PD006_TTT_ModelRun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Live%20models/Past%20delivery/Live%20models/PR19PD005%20WRFI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wat.gov.uk/Users/890218/AppData/Local/Temp/notesF3B52A/PR09%20Legacy%20Blind%20Year%2020150619%20v3.0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uts"/>
      <sheetName val="Calcs"/>
      <sheetName val="Totex menu adjustments"/>
      <sheetName val="F_Outputs"/>
      <sheetName val="RPI"/>
      <sheetName val="Timeline"/>
      <sheetName val="QA_Checklist"/>
    </sheetNames>
    <sheetDataSet>
      <sheetData sheetId="0"/>
      <sheetData sheetId="1"/>
      <sheetData sheetId="2">
        <row r="11">
          <cell r="H11" t="str">
            <v>TTT</v>
          </cell>
        </row>
        <row r="12">
          <cell r="H12" t="str">
            <v>WaSC</v>
          </cell>
        </row>
        <row r="13">
          <cell r="H13" t="str">
            <v>No</v>
          </cell>
          <cell r="K13" t="b">
            <v>0</v>
          </cell>
        </row>
        <row r="15">
          <cell r="H15">
            <v>3.6000000000000004E-2</v>
          </cell>
        </row>
        <row r="23">
          <cell r="H23">
            <v>96.4196886435126</v>
          </cell>
        </row>
        <row r="33">
          <cell r="H33">
            <v>96.4</v>
          </cell>
        </row>
        <row r="41">
          <cell r="L41">
            <v>158.65960828650299</v>
          </cell>
          <cell r="M41">
            <v>63.147318184010501</v>
          </cell>
          <cell r="N41">
            <v>54.884326768046598</v>
          </cell>
          <cell r="O41">
            <v>51.550757859932197</v>
          </cell>
          <cell r="P41">
            <v>23.6570717272939</v>
          </cell>
        </row>
        <row r="53">
          <cell r="L53">
            <v>123.60092286</v>
          </cell>
          <cell r="M53">
            <v>81.668295520000001</v>
          </cell>
          <cell r="N53">
            <v>38.725567699999999</v>
          </cell>
          <cell r="O53">
            <v>44.645681949999997</v>
          </cell>
          <cell r="P53">
            <v>33.979942309999998</v>
          </cell>
        </row>
        <row r="78">
          <cell r="K78">
            <v>0</v>
          </cell>
        </row>
        <row r="86">
          <cell r="H86">
            <v>0.55000000000000004</v>
          </cell>
        </row>
        <row r="87">
          <cell r="H87">
            <v>0.5</v>
          </cell>
        </row>
        <row r="90">
          <cell r="H90">
            <v>115</v>
          </cell>
        </row>
        <row r="91">
          <cell r="H91">
            <v>130</v>
          </cell>
        </row>
        <row r="93">
          <cell r="H93">
            <v>80</v>
          </cell>
        </row>
        <row r="94">
          <cell r="H94">
            <v>80</v>
          </cell>
        </row>
        <row r="96">
          <cell r="H96">
            <v>130</v>
          </cell>
        </row>
        <row r="97">
          <cell r="H97">
            <v>80</v>
          </cell>
        </row>
        <row r="100">
          <cell r="H100">
            <v>100</v>
          </cell>
        </row>
        <row r="101">
          <cell r="H101">
            <v>100</v>
          </cell>
        </row>
        <row r="104">
          <cell r="H104">
            <v>0.5</v>
          </cell>
        </row>
        <row r="105">
          <cell r="H105">
            <v>-2E-3</v>
          </cell>
        </row>
        <row r="108">
          <cell r="H108">
            <v>0.75</v>
          </cell>
        </row>
        <row r="109">
          <cell r="H109">
            <v>0.25</v>
          </cell>
        </row>
        <row r="115">
          <cell r="H115">
            <v>0.7</v>
          </cell>
        </row>
        <row r="116">
          <cell r="H116">
            <v>-2E-3</v>
          </cell>
        </row>
        <row r="117">
          <cell r="H117">
            <v>75</v>
          </cell>
        </row>
        <row r="118">
          <cell r="H118">
            <v>0.25</v>
          </cell>
        </row>
        <row r="119">
          <cell r="H119">
            <v>7.5</v>
          </cell>
        </row>
        <row r="120">
          <cell r="H120">
            <v>-2.4999999999999994E-2</v>
          </cell>
        </row>
        <row r="121">
          <cell r="H121">
            <v>-5.0000000000000001E-4</v>
          </cell>
        </row>
        <row r="126"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40">
          <cell r="N140">
            <v>0</v>
          </cell>
          <cell r="O140">
            <v>0</v>
          </cell>
          <cell r="P140">
            <v>0</v>
          </cell>
        </row>
      </sheetData>
      <sheetData sheetId="3">
        <row r="30"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L31">
            <v>94.31218990403633</v>
          </cell>
          <cell r="M31">
            <v>43.736611992915485</v>
          </cell>
          <cell r="N31">
            <v>36.246730523498741</v>
          </cell>
          <cell r="O31">
            <v>32.11354181271831</v>
          </cell>
          <cell r="P31">
            <v>19.920508204355492</v>
          </cell>
        </row>
        <row r="39">
          <cell r="G39">
            <v>0.44</v>
          </cell>
        </row>
        <row r="40">
          <cell r="G40">
            <v>107.5</v>
          </cell>
        </row>
        <row r="41">
          <cell r="G41">
            <v>-4.1999999999999993</v>
          </cell>
        </row>
        <row r="44">
          <cell r="G44">
            <v>0.54</v>
          </cell>
        </row>
        <row r="45">
          <cell r="G45">
            <v>95</v>
          </cell>
        </row>
        <row r="46">
          <cell r="G46">
            <v>2.3000000000000007</v>
          </cell>
        </row>
        <row r="52">
          <cell r="G52">
            <v>95</v>
          </cell>
        </row>
        <row r="53">
          <cell r="G53">
            <v>2.3000000000000007</v>
          </cell>
        </row>
        <row r="57">
          <cell r="G57">
            <v>99.104922160878147</v>
          </cell>
        </row>
        <row r="58">
          <cell r="G58">
            <v>0.4411296048562301</v>
          </cell>
        </row>
        <row r="63">
          <cell r="G63">
            <v>0.54</v>
          </cell>
        </row>
        <row r="64">
          <cell r="G64">
            <v>95</v>
          </cell>
        </row>
        <row r="65">
          <cell r="G65">
            <v>2.3000000000000007</v>
          </cell>
        </row>
        <row r="68">
          <cell r="G68">
            <v>0.50719999999999987</v>
          </cell>
        </row>
        <row r="69">
          <cell r="G69">
            <v>99.1</v>
          </cell>
        </row>
        <row r="70">
          <cell r="G70">
            <v>0.44351999999999947</v>
          </cell>
        </row>
        <row r="174">
          <cell r="P174">
            <v>0</v>
          </cell>
        </row>
        <row r="175">
          <cell r="P175">
            <v>-136.10507770060664</v>
          </cell>
        </row>
        <row r="192">
          <cell r="G192">
            <v>0</v>
          </cell>
        </row>
        <row r="193">
          <cell r="G193">
            <v>0</v>
          </cell>
        </row>
      </sheetData>
      <sheetData sheetId="4"/>
      <sheetData sheetId="5"/>
      <sheetData sheetId="6">
        <row r="49">
          <cell r="I49">
            <v>1</v>
          </cell>
          <cell r="J49">
            <v>1.0288477912877627</v>
          </cell>
          <cell r="K49">
            <v>1.0490105922822794</v>
          </cell>
          <cell r="L49">
            <v>1.0603181090562313</v>
          </cell>
          <cell r="M49">
            <v>1.0830353189605262</v>
          </cell>
          <cell r="N49">
            <v>1.1235652736623414</v>
          </cell>
          <cell r="O49">
            <v>1.1598123360920951</v>
          </cell>
          <cell r="P49">
            <v>1.1937417492592217</v>
          </cell>
          <cell r="Q49">
            <v>1.2298547314975647</v>
          </cell>
          <cell r="R49">
            <v>1.2298547314975647</v>
          </cell>
          <cell r="S49">
            <v>1.2298547314975647</v>
          </cell>
          <cell r="T49">
            <v>1.2298547314975647</v>
          </cell>
          <cell r="U49">
            <v>1.2298547314975647</v>
          </cell>
        </row>
      </sheetData>
      <sheetData sheetId="7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Inputs &gt;"/>
      <sheetName val="Inputs - general"/>
      <sheetName val="Inputs - water"/>
      <sheetName val="Inputs - waste"/>
      <sheetName val="Calcs &gt;"/>
      <sheetName val="Calcs - water"/>
      <sheetName val="Calcs - waste"/>
      <sheetName val="Other &gt;"/>
      <sheetName val="Timeline"/>
    </sheetNames>
    <sheetDataSet>
      <sheetData sheetId="0"/>
      <sheetData sheetId="1"/>
      <sheetData sheetId="2">
        <row r="10">
          <cell r="H10">
            <v>0.02</v>
          </cell>
        </row>
        <row r="14">
          <cell r="H14">
            <v>10000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pane ySplit="2" topLeftCell="A3" activePane="bottomLeft" state="frozen"/>
      <selection activeCell="P16" sqref="P16"/>
      <selection pane="bottomLeft"/>
    </sheetView>
  </sheetViews>
  <sheetFormatPr defaultRowHeight="14.35"/>
  <cols>
    <col min="1" max="1" width="4.17578125" customWidth="1"/>
    <col min="2" max="2" width="12.05859375" customWidth="1"/>
    <col min="3" max="3" width="12" customWidth="1"/>
    <col min="4" max="4" width="2.64453125" customWidth="1"/>
    <col min="5" max="5" width="15.17578125" customWidth="1"/>
    <col min="6" max="16" width="7.3515625" customWidth="1"/>
  </cols>
  <sheetData>
    <row r="1" spans="1:16">
      <c r="C1" t="s">
        <v>439</v>
      </c>
    </row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">
        <v>440</v>
      </c>
      <c r="B4" t="s">
        <v>413</v>
      </c>
      <c r="C4" t="s">
        <v>9</v>
      </c>
      <c r="D4" t="s">
        <v>126</v>
      </c>
      <c r="E4" t="s">
        <v>379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>
        <v>2</v>
      </c>
    </row>
    <row r="5" spans="1:16">
      <c r="A5" t="s">
        <v>440</v>
      </c>
      <c r="B5" t="s">
        <v>414</v>
      </c>
      <c r="C5" t="s">
        <v>415</v>
      </c>
      <c r="D5" t="s">
        <v>378</v>
      </c>
      <c r="E5" t="s">
        <v>379</v>
      </c>
      <c r="F5" s="270"/>
      <c r="G5" s="270"/>
      <c r="H5" s="270"/>
      <c r="I5" s="270"/>
      <c r="J5" s="270">
        <v>0</v>
      </c>
      <c r="K5" s="270">
        <v>0</v>
      </c>
      <c r="L5" s="270">
        <v>0</v>
      </c>
      <c r="M5" s="270">
        <v>0</v>
      </c>
      <c r="N5" s="270">
        <v>0</v>
      </c>
      <c r="O5" s="270"/>
      <c r="P5" s="270"/>
    </row>
    <row r="6" spans="1:16">
      <c r="A6" t="s">
        <v>440</v>
      </c>
      <c r="B6" t="s">
        <v>416</v>
      </c>
      <c r="C6" t="s">
        <v>417</v>
      </c>
      <c r="D6" t="s">
        <v>126</v>
      </c>
      <c r="E6" t="s">
        <v>379</v>
      </c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>
        <v>96.4196886435126</v>
      </c>
    </row>
    <row r="7" spans="1:16">
      <c r="A7" t="s">
        <v>440</v>
      </c>
      <c r="B7" t="s">
        <v>418</v>
      </c>
      <c r="C7" t="s">
        <v>381</v>
      </c>
      <c r="D7" t="s">
        <v>380</v>
      </c>
      <c r="E7" t="s">
        <v>379</v>
      </c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>
        <v>96.4</v>
      </c>
    </row>
    <row r="8" spans="1:16">
      <c r="A8" t="s">
        <v>440</v>
      </c>
      <c r="B8" t="s">
        <v>419</v>
      </c>
      <c r="C8" t="s">
        <v>420</v>
      </c>
      <c r="D8" t="s">
        <v>378</v>
      </c>
      <c r="E8" t="s">
        <v>379</v>
      </c>
      <c r="F8" s="270"/>
      <c r="G8" s="270"/>
      <c r="H8" s="270"/>
      <c r="I8" s="270"/>
      <c r="J8" s="270">
        <v>183.00455218924699</v>
      </c>
      <c r="K8" s="270">
        <v>82.516819192595406</v>
      </c>
      <c r="L8" s="270">
        <v>57.267184077716699</v>
      </c>
      <c r="M8" s="270">
        <v>58.2370782320016</v>
      </c>
      <c r="N8" s="270">
        <v>24.192754385000502</v>
      </c>
      <c r="O8" s="270"/>
      <c r="P8" s="270"/>
    </row>
    <row r="9" spans="1:16">
      <c r="A9" t="s">
        <v>440</v>
      </c>
      <c r="B9" t="s">
        <v>421</v>
      </c>
      <c r="C9" t="s">
        <v>422</v>
      </c>
      <c r="D9" t="s">
        <v>378</v>
      </c>
      <c r="E9" t="s">
        <v>379</v>
      </c>
      <c r="F9" s="270"/>
      <c r="G9" s="270"/>
      <c r="H9" s="270"/>
      <c r="I9" s="270"/>
      <c r="J9" s="270">
        <v>158.65960828650299</v>
      </c>
      <c r="K9" s="270">
        <v>63.147318184010501</v>
      </c>
      <c r="L9" s="270">
        <v>54.884326768046598</v>
      </c>
      <c r="M9" s="270">
        <v>51.550757859932197</v>
      </c>
      <c r="N9" s="270">
        <v>23.6570717272939</v>
      </c>
      <c r="O9" s="270"/>
      <c r="P9" s="270"/>
    </row>
    <row r="10" spans="1:16">
      <c r="A10" t="s">
        <v>440</v>
      </c>
      <c r="B10" t="s">
        <v>423</v>
      </c>
      <c r="C10" t="s">
        <v>424</v>
      </c>
      <c r="D10" t="s">
        <v>378</v>
      </c>
      <c r="E10" t="s">
        <v>379</v>
      </c>
      <c r="F10" s="270"/>
      <c r="G10" s="270"/>
      <c r="H10" s="270"/>
      <c r="I10" s="270"/>
      <c r="J10" s="270">
        <v>123.60092286</v>
      </c>
      <c r="K10" s="270">
        <v>81.668295520000001</v>
      </c>
      <c r="L10" s="270">
        <v>38.725567699999999</v>
      </c>
      <c r="M10" s="270">
        <v>41.567999999999998</v>
      </c>
      <c r="N10" s="270">
        <v>24.81</v>
      </c>
      <c r="O10" s="270"/>
      <c r="P10" s="270"/>
    </row>
    <row r="11" spans="1:16">
      <c r="A11" t="s">
        <v>440</v>
      </c>
      <c r="B11" t="s">
        <v>425</v>
      </c>
      <c r="C11" t="s">
        <v>426</v>
      </c>
      <c r="D11" t="s">
        <v>378</v>
      </c>
      <c r="E11" t="s">
        <v>379</v>
      </c>
      <c r="F11" s="270"/>
      <c r="G11" s="270"/>
      <c r="H11" s="270"/>
      <c r="I11" s="270"/>
      <c r="J11" s="270">
        <v>0</v>
      </c>
      <c r="K11" s="270">
        <v>0</v>
      </c>
      <c r="L11" s="270">
        <v>0</v>
      </c>
      <c r="M11" s="270">
        <v>0</v>
      </c>
      <c r="N11" s="270">
        <v>0</v>
      </c>
      <c r="O11" s="270"/>
      <c r="P11" s="270"/>
    </row>
    <row r="12" spans="1:16">
      <c r="A12" t="s">
        <v>440</v>
      </c>
      <c r="B12" t="s">
        <v>427</v>
      </c>
      <c r="C12" t="s">
        <v>428</v>
      </c>
      <c r="D12" t="s">
        <v>378</v>
      </c>
      <c r="E12" t="s">
        <v>379</v>
      </c>
      <c r="F12" s="270"/>
      <c r="G12" s="270"/>
      <c r="H12" s="270"/>
      <c r="I12" s="270"/>
      <c r="J12" s="270">
        <v>0</v>
      </c>
      <c r="K12" s="270">
        <v>0</v>
      </c>
      <c r="L12" s="270">
        <v>0</v>
      </c>
      <c r="M12" s="270">
        <v>0</v>
      </c>
      <c r="N12" s="270">
        <v>0</v>
      </c>
      <c r="O12" s="270"/>
      <c r="P12" s="270"/>
    </row>
    <row r="13" spans="1:16">
      <c r="A13" t="s">
        <v>440</v>
      </c>
      <c r="B13" t="s">
        <v>385</v>
      </c>
      <c r="C13" t="s">
        <v>386</v>
      </c>
      <c r="D13" t="s">
        <v>378</v>
      </c>
      <c r="E13" t="s">
        <v>379</v>
      </c>
      <c r="F13" s="270"/>
      <c r="G13" s="270"/>
      <c r="H13" s="270"/>
      <c r="I13" s="270"/>
      <c r="J13" s="270">
        <v>0</v>
      </c>
      <c r="K13" s="270">
        <v>0</v>
      </c>
      <c r="L13" s="270">
        <v>0</v>
      </c>
      <c r="M13" s="270">
        <v>0</v>
      </c>
      <c r="N13" s="270">
        <v>0</v>
      </c>
      <c r="O13" s="270"/>
      <c r="P13" s="270"/>
    </row>
    <row r="14" spans="1:16">
      <c r="A14" t="s">
        <v>440</v>
      </c>
      <c r="B14" t="s">
        <v>429</v>
      </c>
      <c r="C14" t="s">
        <v>430</v>
      </c>
      <c r="D14" t="s">
        <v>378</v>
      </c>
      <c r="E14" t="s">
        <v>379</v>
      </c>
      <c r="F14" s="270"/>
      <c r="G14" s="270"/>
      <c r="H14" s="270"/>
      <c r="I14" s="270"/>
      <c r="J14" s="270">
        <v>0</v>
      </c>
      <c r="K14" s="270">
        <v>0</v>
      </c>
      <c r="L14" s="270">
        <v>0</v>
      </c>
      <c r="M14" s="270">
        <v>0</v>
      </c>
      <c r="N14" s="270">
        <v>0</v>
      </c>
      <c r="O14" s="270"/>
      <c r="P14" s="270"/>
    </row>
    <row r="15" spans="1:16">
      <c r="A15" t="s">
        <v>440</v>
      </c>
      <c r="B15" t="s">
        <v>431</v>
      </c>
      <c r="C15" t="s">
        <v>432</v>
      </c>
      <c r="D15" t="s">
        <v>378</v>
      </c>
      <c r="E15" t="s">
        <v>379</v>
      </c>
      <c r="F15" s="270"/>
      <c r="G15" s="270"/>
      <c r="H15" s="270"/>
      <c r="I15" s="270">
        <v>0</v>
      </c>
      <c r="J15" s="270"/>
      <c r="K15" s="270"/>
      <c r="L15" s="270"/>
      <c r="M15" s="270"/>
      <c r="N15" s="270"/>
      <c r="O15" s="270"/>
      <c r="P15" s="270"/>
    </row>
    <row r="16" spans="1:16">
      <c r="A16" t="s">
        <v>440</v>
      </c>
      <c r="B16" t="s">
        <v>433</v>
      </c>
      <c r="C16" t="s">
        <v>434</v>
      </c>
      <c r="D16" t="s">
        <v>147</v>
      </c>
      <c r="E16" t="s">
        <v>379</v>
      </c>
      <c r="F16" s="272"/>
      <c r="G16" s="272"/>
      <c r="H16" s="272"/>
      <c r="I16" s="272"/>
      <c r="J16" s="272">
        <v>0</v>
      </c>
      <c r="K16" s="272">
        <v>0</v>
      </c>
      <c r="L16" s="272">
        <v>0</v>
      </c>
      <c r="M16" s="272">
        <v>0</v>
      </c>
      <c r="N16" s="272">
        <v>0</v>
      </c>
      <c r="O16" s="272"/>
      <c r="P16" s="272"/>
    </row>
    <row r="17" spans="1:16">
      <c r="A17" t="s">
        <v>440</v>
      </c>
      <c r="B17" t="s">
        <v>435</v>
      </c>
      <c r="C17" t="s">
        <v>382</v>
      </c>
      <c r="D17" t="s">
        <v>378</v>
      </c>
      <c r="E17" t="s">
        <v>379</v>
      </c>
      <c r="F17" s="270"/>
      <c r="G17" s="270"/>
      <c r="H17" s="270"/>
      <c r="I17" s="270"/>
      <c r="J17" s="270">
        <v>0</v>
      </c>
      <c r="K17" s="270">
        <v>0</v>
      </c>
      <c r="L17" s="270">
        <v>0</v>
      </c>
      <c r="M17" s="270">
        <v>0</v>
      </c>
      <c r="N17" s="270">
        <v>0</v>
      </c>
      <c r="O17" s="270"/>
      <c r="P17" s="270"/>
    </row>
    <row r="18" spans="1:16">
      <c r="A18" t="s">
        <v>440</v>
      </c>
      <c r="B18" t="s">
        <v>436</v>
      </c>
      <c r="C18" t="s">
        <v>383</v>
      </c>
      <c r="D18" t="s">
        <v>378</v>
      </c>
      <c r="E18" t="s">
        <v>379</v>
      </c>
      <c r="F18" s="270"/>
      <c r="G18" s="270"/>
      <c r="H18" s="270"/>
      <c r="I18" s="270"/>
      <c r="J18" s="270">
        <v>0</v>
      </c>
      <c r="K18" s="270">
        <v>0</v>
      </c>
      <c r="L18" s="270">
        <v>0</v>
      </c>
      <c r="M18" s="270">
        <v>0</v>
      </c>
      <c r="N18" s="270">
        <v>0</v>
      </c>
      <c r="O18" s="270"/>
      <c r="P18" s="270"/>
    </row>
    <row r="19" spans="1:16">
      <c r="A19" t="s">
        <v>440</v>
      </c>
      <c r="B19" t="s">
        <v>437</v>
      </c>
      <c r="C19" t="s">
        <v>384</v>
      </c>
      <c r="D19" t="s">
        <v>378</v>
      </c>
      <c r="E19" t="s">
        <v>379</v>
      </c>
      <c r="F19" s="270"/>
      <c r="G19" s="270"/>
      <c r="H19" s="270"/>
      <c r="I19" s="270"/>
      <c r="J19" s="270">
        <v>23.6</v>
      </c>
      <c r="K19" s="270">
        <v>34.299999999999997</v>
      </c>
      <c r="L19" s="270">
        <v>-2</v>
      </c>
      <c r="M19" s="270">
        <v>-9.8000000000000007</v>
      </c>
      <c r="N19" s="270">
        <v>5</v>
      </c>
      <c r="O19" s="270"/>
      <c r="P19" s="270"/>
    </row>
    <row r="20" spans="1:16">
      <c r="A20" t="s">
        <v>440</v>
      </c>
      <c r="B20" t="s">
        <v>391</v>
      </c>
      <c r="C20" t="s">
        <v>403</v>
      </c>
      <c r="D20" t="s">
        <v>380</v>
      </c>
      <c r="E20" t="s">
        <v>379</v>
      </c>
      <c r="F20" s="271">
        <v>234.4</v>
      </c>
      <c r="G20" s="271">
        <v>242.5</v>
      </c>
      <c r="H20" s="271">
        <v>249.5</v>
      </c>
      <c r="I20" s="271">
        <v>255.7</v>
      </c>
      <c r="J20" s="271">
        <v>258</v>
      </c>
      <c r="K20" s="271">
        <v>261.39999999999998</v>
      </c>
      <c r="L20" s="271">
        <v>270.60000000000002</v>
      </c>
      <c r="M20" s="271">
        <v>279.7</v>
      </c>
      <c r="N20" s="271">
        <v>287.83249999999998</v>
      </c>
      <c r="O20" s="271">
        <v>295.91250000000002</v>
      </c>
      <c r="P20" s="271"/>
    </row>
    <row r="21" spans="1:16">
      <c r="A21" t="s">
        <v>440</v>
      </c>
      <c r="B21" t="s">
        <v>392</v>
      </c>
      <c r="C21" t="s">
        <v>404</v>
      </c>
      <c r="D21" t="s">
        <v>380</v>
      </c>
      <c r="E21" t="s">
        <v>379</v>
      </c>
      <c r="F21" s="271">
        <v>235.2</v>
      </c>
      <c r="G21" s="271">
        <v>242.4</v>
      </c>
      <c r="H21" s="271">
        <v>250</v>
      </c>
      <c r="I21" s="271">
        <v>255.9</v>
      </c>
      <c r="J21" s="271">
        <v>258.5</v>
      </c>
      <c r="K21" s="271">
        <v>262.10000000000002</v>
      </c>
      <c r="L21" s="271">
        <v>271.7</v>
      </c>
      <c r="M21" s="271">
        <v>280.7</v>
      </c>
      <c r="N21" s="271">
        <v>288.53750000000002</v>
      </c>
      <c r="O21" s="271">
        <v>296.61750000000001</v>
      </c>
      <c r="P21" s="271"/>
    </row>
    <row r="22" spans="1:16">
      <c r="A22" t="s">
        <v>440</v>
      </c>
      <c r="B22" t="s">
        <v>393</v>
      </c>
      <c r="C22" t="s">
        <v>405</v>
      </c>
      <c r="D22" t="s">
        <v>380</v>
      </c>
      <c r="E22" t="s">
        <v>379</v>
      </c>
      <c r="F22" s="271">
        <v>235.2</v>
      </c>
      <c r="G22" s="271">
        <v>241.8</v>
      </c>
      <c r="H22" s="271">
        <v>249.7</v>
      </c>
      <c r="I22" s="271">
        <v>256.3</v>
      </c>
      <c r="J22" s="271">
        <v>258.89999999999998</v>
      </c>
      <c r="K22" s="271">
        <v>263.10000000000002</v>
      </c>
      <c r="L22" s="271">
        <v>272.3</v>
      </c>
      <c r="M22" s="271">
        <v>281.5</v>
      </c>
      <c r="N22" s="271">
        <v>289.27749999999997</v>
      </c>
      <c r="O22" s="271">
        <v>297.41750000000002</v>
      </c>
      <c r="P22" s="271"/>
    </row>
    <row r="23" spans="1:16">
      <c r="A23" t="s">
        <v>440</v>
      </c>
      <c r="B23" t="s">
        <v>394</v>
      </c>
      <c r="C23" t="s">
        <v>406</v>
      </c>
      <c r="D23" t="s">
        <v>380</v>
      </c>
      <c r="E23" t="s">
        <v>379</v>
      </c>
      <c r="F23" s="271">
        <v>234.7</v>
      </c>
      <c r="G23" s="271">
        <v>242.1</v>
      </c>
      <c r="H23" s="271">
        <v>249.7</v>
      </c>
      <c r="I23" s="271">
        <v>256</v>
      </c>
      <c r="J23" s="271">
        <v>258.60000000000002</v>
      </c>
      <c r="K23" s="271">
        <v>263.39999999999998</v>
      </c>
      <c r="L23" s="271">
        <v>272.89999999999998</v>
      </c>
      <c r="M23" s="271">
        <v>281.7</v>
      </c>
      <c r="N23" s="271">
        <v>289.43</v>
      </c>
      <c r="O23" s="271">
        <v>297.63499999999999</v>
      </c>
      <c r="P23" s="271"/>
    </row>
    <row r="24" spans="1:16">
      <c r="A24" t="s">
        <v>440</v>
      </c>
      <c r="B24" t="s">
        <v>395</v>
      </c>
      <c r="C24" t="s">
        <v>388</v>
      </c>
      <c r="D24" t="s">
        <v>380</v>
      </c>
      <c r="E24" t="s">
        <v>379</v>
      </c>
      <c r="F24" s="271">
        <v>236.1</v>
      </c>
      <c r="G24" s="271">
        <v>243</v>
      </c>
      <c r="H24" s="271">
        <v>251</v>
      </c>
      <c r="I24" s="271">
        <v>257</v>
      </c>
      <c r="J24" s="271">
        <v>259.8</v>
      </c>
      <c r="K24" s="271">
        <v>264.39999999999998</v>
      </c>
      <c r="L24" s="271">
        <v>274.7</v>
      </c>
      <c r="M24" s="271">
        <v>284.2</v>
      </c>
      <c r="N24" s="271">
        <v>291.52249999999998</v>
      </c>
      <c r="O24" s="271">
        <v>299.71499999999997</v>
      </c>
      <c r="P24" s="271"/>
    </row>
    <row r="25" spans="1:16">
      <c r="A25" t="s">
        <v>440</v>
      </c>
      <c r="B25" t="s">
        <v>396</v>
      </c>
      <c r="C25" t="s">
        <v>389</v>
      </c>
      <c r="D25" t="s">
        <v>380</v>
      </c>
      <c r="E25" t="s">
        <v>379</v>
      </c>
      <c r="F25" s="271">
        <v>237.9</v>
      </c>
      <c r="G25" s="271">
        <v>244.2</v>
      </c>
      <c r="H25" s="271">
        <v>251.9</v>
      </c>
      <c r="I25" s="271">
        <v>257.60000000000002</v>
      </c>
      <c r="J25" s="271">
        <v>259.60000000000002</v>
      </c>
      <c r="K25" s="271">
        <v>264.89999999999998</v>
      </c>
      <c r="L25" s="271">
        <v>275.10000000000002</v>
      </c>
      <c r="M25" s="271">
        <v>284.10000000000002</v>
      </c>
      <c r="N25" s="271">
        <v>291.41750000000002</v>
      </c>
      <c r="O25" s="271">
        <v>299.76249999999999</v>
      </c>
      <c r="P25" s="271"/>
    </row>
    <row r="26" spans="1:16">
      <c r="A26" t="s">
        <v>440</v>
      </c>
      <c r="B26" t="s">
        <v>397</v>
      </c>
      <c r="C26" t="s">
        <v>390</v>
      </c>
      <c r="D26" t="s">
        <v>380</v>
      </c>
      <c r="E26" t="s">
        <v>379</v>
      </c>
      <c r="F26" s="271">
        <v>238</v>
      </c>
      <c r="G26" s="271">
        <v>245.6</v>
      </c>
      <c r="H26" s="271">
        <v>251.9</v>
      </c>
      <c r="I26" s="271">
        <v>257.7</v>
      </c>
      <c r="J26" s="271">
        <v>259.5</v>
      </c>
      <c r="K26" s="271">
        <v>264.8</v>
      </c>
      <c r="L26" s="271">
        <v>275.3</v>
      </c>
      <c r="M26" s="271">
        <v>284.5</v>
      </c>
      <c r="N26" s="271">
        <v>291.67</v>
      </c>
      <c r="O26" s="271">
        <v>299.97000000000003</v>
      </c>
      <c r="P26" s="271"/>
    </row>
    <row r="27" spans="1:16">
      <c r="A27" t="s">
        <v>440</v>
      </c>
      <c r="B27" t="s">
        <v>398</v>
      </c>
      <c r="C27" t="s">
        <v>407</v>
      </c>
      <c r="D27" t="s">
        <v>380</v>
      </c>
      <c r="E27" t="s">
        <v>379</v>
      </c>
      <c r="F27" s="271">
        <v>238.5</v>
      </c>
      <c r="G27" s="271">
        <v>245.6</v>
      </c>
      <c r="H27" s="271">
        <v>252.1</v>
      </c>
      <c r="I27" s="271">
        <v>257.10000000000002</v>
      </c>
      <c r="J27" s="271">
        <v>259.8</v>
      </c>
      <c r="K27" s="271">
        <v>265.5</v>
      </c>
      <c r="L27" s="271">
        <v>275.8</v>
      </c>
      <c r="M27" s="271">
        <v>284.60000000000002</v>
      </c>
      <c r="N27" s="271">
        <v>291.83</v>
      </c>
      <c r="O27" s="271">
        <v>300.23750000000001</v>
      </c>
      <c r="P27" s="271"/>
    </row>
    <row r="28" spans="1:16">
      <c r="A28" t="s">
        <v>440</v>
      </c>
      <c r="B28" t="s">
        <v>399</v>
      </c>
      <c r="C28" t="s">
        <v>408</v>
      </c>
      <c r="D28" t="s">
        <v>380</v>
      </c>
      <c r="E28" t="s">
        <v>379</v>
      </c>
      <c r="F28" s="271">
        <v>239.4</v>
      </c>
      <c r="G28" s="271">
        <v>246.8</v>
      </c>
      <c r="H28" s="271">
        <v>253.4</v>
      </c>
      <c r="I28" s="271">
        <v>257.5</v>
      </c>
      <c r="J28" s="271">
        <v>260.60000000000002</v>
      </c>
      <c r="K28" s="271">
        <v>267.10000000000002</v>
      </c>
      <c r="L28" s="271">
        <v>278.10000000000002</v>
      </c>
      <c r="M28" s="271">
        <v>286.27249999999998</v>
      </c>
      <c r="N28" s="271">
        <v>293.88499999999999</v>
      </c>
      <c r="O28" s="271">
        <v>302.39</v>
      </c>
      <c r="P28" s="271"/>
    </row>
    <row r="29" spans="1:16">
      <c r="A29" t="s">
        <v>440</v>
      </c>
      <c r="B29" t="s">
        <v>400</v>
      </c>
      <c r="C29" t="s">
        <v>409</v>
      </c>
      <c r="D29" t="s">
        <v>380</v>
      </c>
      <c r="E29" t="s">
        <v>379</v>
      </c>
      <c r="F29" s="271">
        <v>238</v>
      </c>
      <c r="G29" s="271">
        <v>245.8</v>
      </c>
      <c r="H29" s="271">
        <v>252.6</v>
      </c>
      <c r="I29" s="271">
        <v>255.4</v>
      </c>
      <c r="J29" s="271">
        <v>258.8</v>
      </c>
      <c r="K29" s="271">
        <v>265.5</v>
      </c>
      <c r="L29" s="271">
        <v>276</v>
      </c>
      <c r="M29" s="271">
        <v>283.72000000000003</v>
      </c>
      <c r="N29" s="271">
        <v>291.65750000000003</v>
      </c>
      <c r="O29" s="271">
        <v>301.2821975</v>
      </c>
      <c r="P29" s="271"/>
    </row>
    <row r="30" spans="1:16">
      <c r="A30" t="s">
        <v>440</v>
      </c>
      <c r="B30" t="s">
        <v>401</v>
      </c>
      <c r="C30" t="s">
        <v>410</v>
      </c>
      <c r="D30" t="s">
        <v>380</v>
      </c>
      <c r="E30" t="s">
        <v>379</v>
      </c>
      <c r="F30" s="271">
        <v>239.9</v>
      </c>
      <c r="G30" s="271">
        <v>247.6</v>
      </c>
      <c r="H30" s="271">
        <v>254.2</v>
      </c>
      <c r="I30" s="271">
        <v>256.7</v>
      </c>
      <c r="J30" s="271">
        <v>260</v>
      </c>
      <c r="K30" s="271">
        <v>268.39999999999998</v>
      </c>
      <c r="L30" s="271">
        <v>278.10000000000002</v>
      </c>
      <c r="M30" s="271">
        <v>285.79250000000002</v>
      </c>
      <c r="N30" s="271">
        <v>293.91500000000002</v>
      </c>
      <c r="O30" s="271">
        <v>303.614195</v>
      </c>
      <c r="P30" s="271"/>
    </row>
    <row r="31" spans="1:16">
      <c r="A31" t="s">
        <v>440</v>
      </c>
      <c r="B31" t="s">
        <v>402</v>
      </c>
      <c r="C31" t="s">
        <v>411</v>
      </c>
      <c r="D31" t="s">
        <v>380</v>
      </c>
      <c r="E31" t="s">
        <v>379</v>
      </c>
      <c r="F31" s="271">
        <v>240.8</v>
      </c>
      <c r="G31" s="271">
        <v>248.7</v>
      </c>
      <c r="H31" s="271">
        <v>254.8</v>
      </c>
      <c r="I31" s="271">
        <v>257.10000000000002</v>
      </c>
      <c r="J31" s="271">
        <v>261.10000000000002</v>
      </c>
      <c r="K31" s="271">
        <v>269.3</v>
      </c>
      <c r="L31" s="271">
        <v>278.3</v>
      </c>
      <c r="M31" s="271">
        <v>286.45249999999999</v>
      </c>
      <c r="N31" s="271">
        <v>294.6825</v>
      </c>
      <c r="O31" s="271">
        <v>304.40702249999998</v>
      </c>
      <c r="P31" s="271"/>
    </row>
  </sheetData>
  <sheetProtection sort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workbookViewId="0">
      <pane ySplit="2" topLeftCell="A3" activePane="bottomLeft" state="frozen"/>
      <selection activeCell="P16" sqref="P16"/>
      <selection pane="bottomLeft"/>
    </sheetView>
  </sheetViews>
  <sheetFormatPr defaultRowHeight="14.35"/>
  <cols>
    <col min="1" max="1" width="8" customWidth="1"/>
    <col min="2" max="2" width="18.3515625" bestFit="1" customWidth="1"/>
    <col min="3" max="3" width="74.52734375" bestFit="1" customWidth="1"/>
    <col min="4" max="4" width="4.05859375" bestFit="1" customWidth="1"/>
    <col min="5" max="5" width="15.17578125" bestFit="1" customWidth="1"/>
    <col min="6" max="16" width="7.3515625" customWidth="1"/>
    <col min="17" max="17" width="12.703125" customWidth="1"/>
  </cols>
  <sheetData>
    <row r="1" spans="1:17" ht="14.7" thickBot="1"/>
    <row r="2" spans="1:17" ht="40.35" thickBot="1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  <c r="Q2" s="264" t="s">
        <v>412</v>
      </c>
    </row>
    <row r="4" spans="1:17">
      <c r="A4" t="str">
        <f>F_Inputs!$A$4</f>
        <v>TMS</v>
      </c>
      <c r="B4" t="s">
        <v>413</v>
      </c>
      <c r="C4" t="s">
        <v>9</v>
      </c>
      <c r="D4" t="s">
        <v>126</v>
      </c>
      <c r="E4" t="s">
        <v>379</v>
      </c>
      <c r="F4" s="225"/>
      <c r="G4" s="225"/>
      <c r="H4" s="225"/>
      <c r="I4" s="225"/>
      <c r="J4" s="261"/>
      <c r="K4" s="261"/>
      <c r="L4" s="261"/>
      <c r="M4" s="261"/>
      <c r="N4" s="261"/>
      <c r="O4" s="225"/>
      <c r="P4" s="261"/>
    </row>
    <row r="5" spans="1:17">
      <c r="A5" t="str">
        <f>F_Inputs!$A$4</f>
        <v>TMS</v>
      </c>
      <c r="B5" t="s">
        <v>414</v>
      </c>
      <c r="C5" t="s">
        <v>415</v>
      </c>
      <c r="D5" t="s">
        <v>378</v>
      </c>
      <c r="E5" t="s">
        <v>379</v>
      </c>
      <c r="F5" s="225"/>
      <c r="G5" s="225"/>
      <c r="H5" s="225"/>
      <c r="I5" s="225"/>
      <c r="J5" s="261"/>
      <c r="K5" s="261"/>
      <c r="L5" s="261"/>
      <c r="M5" s="261"/>
      <c r="N5" s="261"/>
      <c r="O5" s="225"/>
      <c r="P5" s="225"/>
    </row>
    <row r="6" spans="1:17">
      <c r="A6" t="str">
        <f>F_Inputs!$A$4</f>
        <v>TMS</v>
      </c>
      <c r="B6" t="s">
        <v>416</v>
      </c>
      <c r="C6" t="s">
        <v>417</v>
      </c>
      <c r="D6" t="s">
        <v>126</v>
      </c>
      <c r="E6" t="s">
        <v>379</v>
      </c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61"/>
    </row>
    <row r="7" spans="1:17">
      <c r="A7" t="str">
        <f>F_Inputs!$A$4</f>
        <v>TMS</v>
      </c>
      <c r="B7" t="s">
        <v>418</v>
      </c>
      <c r="C7" t="s">
        <v>381</v>
      </c>
      <c r="D7" t="s">
        <v>380</v>
      </c>
      <c r="E7" t="s">
        <v>379</v>
      </c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61"/>
    </row>
    <row r="8" spans="1:17">
      <c r="A8" t="str">
        <f>F_Inputs!$A$4</f>
        <v>TMS</v>
      </c>
      <c r="B8" t="s">
        <v>419</v>
      </c>
      <c r="C8" t="s">
        <v>420</v>
      </c>
      <c r="D8" t="s">
        <v>378</v>
      </c>
      <c r="E8" t="s">
        <v>379</v>
      </c>
      <c r="F8" s="225"/>
      <c r="G8" s="225"/>
      <c r="H8" s="225"/>
      <c r="I8" s="225"/>
      <c r="J8" s="261"/>
      <c r="K8" s="261"/>
      <c r="L8" s="261"/>
      <c r="M8" s="261"/>
      <c r="N8" s="261"/>
      <c r="O8" s="225"/>
      <c r="P8" s="225"/>
    </row>
    <row r="9" spans="1:17">
      <c r="A9" t="str">
        <f>F_Inputs!$A$4</f>
        <v>TMS</v>
      </c>
      <c r="B9" t="s">
        <v>421</v>
      </c>
      <c r="C9" t="s">
        <v>422</v>
      </c>
      <c r="D9" t="s">
        <v>378</v>
      </c>
      <c r="E9" t="s">
        <v>379</v>
      </c>
      <c r="F9" s="225"/>
      <c r="G9" s="225"/>
      <c r="H9" s="225"/>
      <c r="I9" s="225"/>
      <c r="J9" s="261"/>
      <c r="K9" s="261"/>
      <c r="L9" s="261"/>
      <c r="M9" s="261"/>
      <c r="N9" s="261"/>
      <c r="O9" s="225"/>
      <c r="P9" s="225"/>
    </row>
    <row r="10" spans="1:17">
      <c r="A10" t="str">
        <f>F_Inputs!$A$4</f>
        <v>TMS</v>
      </c>
      <c r="B10" t="s">
        <v>423</v>
      </c>
      <c r="C10" t="s">
        <v>424</v>
      </c>
      <c r="D10" t="s">
        <v>378</v>
      </c>
      <c r="E10" t="s">
        <v>379</v>
      </c>
      <c r="F10" s="225"/>
      <c r="G10" s="225"/>
      <c r="H10" s="225"/>
      <c r="I10" s="225"/>
      <c r="J10" s="261"/>
      <c r="K10" s="261"/>
      <c r="L10" s="261"/>
      <c r="M10" s="261"/>
      <c r="N10" s="261"/>
      <c r="O10" s="225"/>
      <c r="P10" s="225"/>
    </row>
    <row r="11" spans="1:17">
      <c r="A11" t="str">
        <f>F_Inputs!$A$4</f>
        <v>TMS</v>
      </c>
      <c r="B11" t="s">
        <v>425</v>
      </c>
      <c r="C11" t="s">
        <v>426</v>
      </c>
      <c r="D11" t="s">
        <v>378</v>
      </c>
      <c r="E11" t="s">
        <v>379</v>
      </c>
      <c r="F11" s="225"/>
      <c r="G11" s="225"/>
      <c r="H11" s="225"/>
      <c r="I11" s="225"/>
      <c r="J11" s="261"/>
      <c r="K11" s="261"/>
      <c r="L11" s="261"/>
      <c r="M11" s="261"/>
      <c r="N11" s="261"/>
      <c r="O11" s="225"/>
      <c r="P11" s="225"/>
    </row>
    <row r="12" spans="1:17">
      <c r="A12" t="str">
        <f>F_Inputs!$A$4</f>
        <v>TMS</v>
      </c>
      <c r="B12" t="s">
        <v>427</v>
      </c>
      <c r="C12" t="s">
        <v>428</v>
      </c>
      <c r="D12" t="s">
        <v>378</v>
      </c>
      <c r="E12" t="s">
        <v>379</v>
      </c>
      <c r="F12" s="225"/>
      <c r="G12" s="225"/>
      <c r="H12" s="225"/>
      <c r="I12" s="225"/>
      <c r="J12" s="261"/>
      <c r="K12" s="261"/>
      <c r="L12" s="261"/>
      <c r="M12" s="261"/>
      <c r="N12" s="261"/>
      <c r="O12" s="225"/>
      <c r="P12" s="225"/>
    </row>
    <row r="13" spans="1:17">
      <c r="A13" t="str">
        <f>F_Inputs!$A$4</f>
        <v>TMS</v>
      </c>
      <c r="B13" t="s">
        <v>385</v>
      </c>
      <c r="C13" t="s">
        <v>386</v>
      </c>
      <c r="D13" t="s">
        <v>378</v>
      </c>
      <c r="E13" t="s">
        <v>379</v>
      </c>
      <c r="F13" s="225"/>
      <c r="G13" s="225"/>
      <c r="H13" s="225"/>
      <c r="I13" s="225"/>
      <c r="J13" s="261"/>
      <c r="K13" s="261"/>
      <c r="L13" s="261"/>
      <c r="M13" s="261"/>
      <c r="N13" s="261"/>
      <c r="O13" s="225"/>
      <c r="P13" s="225"/>
    </row>
    <row r="14" spans="1:17">
      <c r="A14" t="str">
        <f>F_Inputs!$A$4</f>
        <v>TMS</v>
      </c>
      <c r="B14" t="s">
        <v>429</v>
      </c>
      <c r="C14" t="s">
        <v>430</v>
      </c>
      <c r="D14" t="s">
        <v>378</v>
      </c>
      <c r="E14" t="s">
        <v>379</v>
      </c>
      <c r="F14" s="225"/>
      <c r="G14" s="225"/>
      <c r="H14" s="225"/>
      <c r="I14" s="225"/>
      <c r="J14" s="261"/>
      <c r="K14" s="261"/>
      <c r="L14" s="261"/>
      <c r="M14" s="261"/>
      <c r="N14" s="261"/>
      <c r="O14" s="225"/>
      <c r="P14" s="225"/>
    </row>
    <row r="15" spans="1:17">
      <c r="A15" t="str">
        <f>F_Inputs!$A$4</f>
        <v>TMS</v>
      </c>
      <c r="B15" t="s">
        <v>431</v>
      </c>
      <c r="C15" t="s">
        <v>432</v>
      </c>
      <c r="D15" t="s">
        <v>378</v>
      </c>
      <c r="E15" t="s">
        <v>379</v>
      </c>
      <c r="F15" s="225"/>
      <c r="G15" s="225"/>
      <c r="H15" s="225"/>
      <c r="I15" s="261"/>
      <c r="J15" s="261"/>
      <c r="K15" s="261"/>
      <c r="L15" s="261"/>
      <c r="M15" s="261"/>
      <c r="N15" s="261"/>
      <c r="O15" s="225"/>
      <c r="P15" s="225"/>
    </row>
    <row r="16" spans="1:17">
      <c r="A16" t="str">
        <f>F_Inputs!$A$4</f>
        <v>TMS</v>
      </c>
      <c r="B16" t="s">
        <v>433</v>
      </c>
      <c r="C16" t="s">
        <v>434</v>
      </c>
      <c r="D16" t="s">
        <v>147</v>
      </c>
      <c r="E16" t="s">
        <v>379</v>
      </c>
      <c r="F16" s="265"/>
      <c r="G16" s="265"/>
      <c r="H16" s="265"/>
      <c r="I16" s="265"/>
      <c r="J16" s="266"/>
      <c r="K16" s="266"/>
      <c r="L16" s="266"/>
      <c r="M16" s="266"/>
      <c r="N16" s="266"/>
      <c r="O16" s="265"/>
      <c r="P16" s="265"/>
    </row>
    <row r="17" spans="1:17">
      <c r="A17" t="str">
        <f>F_Inputs!$A$4</f>
        <v>TMS</v>
      </c>
      <c r="B17" t="s">
        <v>435</v>
      </c>
      <c r="C17" t="s">
        <v>382</v>
      </c>
      <c r="D17" t="s">
        <v>378</v>
      </c>
      <c r="E17" t="s">
        <v>379</v>
      </c>
      <c r="F17" s="225"/>
      <c r="G17" s="225"/>
      <c r="H17" s="225"/>
      <c r="I17" s="225"/>
      <c r="J17" s="261"/>
      <c r="K17" s="261"/>
      <c r="L17" s="261"/>
      <c r="M17" s="261"/>
      <c r="N17" s="261"/>
      <c r="O17" s="225"/>
      <c r="P17" s="225"/>
    </row>
    <row r="18" spans="1:17">
      <c r="A18" t="str">
        <f>F_Inputs!$A$4</f>
        <v>TMS</v>
      </c>
      <c r="B18" t="s">
        <v>436</v>
      </c>
      <c r="C18" t="s">
        <v>383</v>
      </c>
      <c r="D18" t="s">
        <v>378</v>
      </c>
      <c r="E18" t="s">
        <v>379</v>
      </c>
      <c r="F18" s="225"/>
      <c r="G18" s="225"/>
      <c r="H18" s="225"/>
      <c r="I18" s="225"/>
      <c r="J18" s="261"/>
      <c r="K18" s="261"/>
      <c r="L18" s="261"/>
      <c r="M18" s="261"/>
      <c r="N18" s="261"/>
      <c r="O18" s="225"/>
      <c r="P18" s="225"/>
    </row>
    <row r="19" spans="1:17">
      <c r="A19" t="str">
        <f>F_Inputs!$A$4</f>
        <v>TMS</v>
      </c>
      <c r="B19" t="s">
        <v>437</v>
      </c>
      <c r="C19" t="s">
        <v>384</v>
      </c>
      <c r="D19" t="s">
        <v>378</v>
      </c>
      <c r="E19" t="s">
        <v>379</v>
      </c>
      <c r="F19" s="225"/>
      <c r="G19" s="225"/>
      <c r="H19" s="225"/>
      <c r="I19" s="225"/>
      <c r="J19" s="261"/>
      <c r="K19" s="261"/>
      <c r="L19" s="261"/>
      <c r="M19" s="261"/>
      <c r="N19" s="261"/>
      <c r="O19" s="225"/>
      <c r="P19" s="225"/>
    </row>
    <row r="20" spans="1:17">
      <c r="A20" t="str">
        <f>F_Inputs!$A$4</f>
        <v>TMS</v>
      </c>
      <c r="B20" t="s">
        <v>391</v>
      </c>
      <c r="C20" t="s">
        <v>403</v>
      </c>
      <c r="D20" t="s">
        <v>380</v>
      </c>
      <c r="E20" t="s">
        <v>379</v>
      </c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25"/>
    </row>
    <row r="21" spans="1:17">
      <c r="A21" t="str">
        <f>F_Inputs!$A$4</f>
        <v>TMS</v>
      </c>
      <c r="B21" t="s">
        <v>392</v>
      </c>
      <c r="C21" t="s">
        <v>404</v>
      </c>
      <c r="D21" t="s">
        <v>380</v>
      </c>
      <c r="E21" t="s">
        <v>379</v>
      </c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25"/>
    </row>
    <row r="22" spans="1:17">
      <c r="A22" t="str">
        <f>F_Inputs!$A$4</f>
        <v>TMS</v>
      </c>
      <c r="B22" t="s">
        <v>393</v>
      </c>
      <c r="C22" t="s">
        <v>405</v>
      </c>
      <c r="D22" t="s">
        <v>380</v>
      </c>
      <c r="E22" t="s">
        <v>379</v>
      </c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25"/>
    </row>
    <row r="23" spans="1:17">
      <c r="A23" t="str">
        <f>F_Inputs!$A$4</f>
        <v>TMS</v>
      </c>
      <c r="B23" t="s">
        <v>394</v>
      </c>
      <c r="C23" t="s">
        <v>406</v>
      </c>
      <c r="D23" t="s">
        <v>380</v>
      </c>
      <c r="E23" t="s">
        <v>379</v>
      </c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25"/>
    </row>
    <row r="24" spans="1:17">
      <c r="A24" t="str">
        <f>F_Inputs!$A$4</f>
        <v>TMS</v>
      </c>
      <c r="B24" t="s">
        <v>395</v>
      </c>
      <c r="C24" t="s">
        <v>388</v>
      </c>
      <c r="D24" t="s">
        <v>380</v>
      </c>
      <c r="E24" t="s">
        <v>379</v>
      </c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25"/>
    </row>
    <row r="25" spans="1:17">
      <c r="A25" t="str">
        <f>F_Inputs!$A$4</f>
        <v>TMS</v>
      </c>
      <c r="B25" t="s">
        <v>396</v>
      </c>
      <c r="C25" t="s">
        <v>389</v>
      </c>
      <c r="D25" t="s">
        <v>380</v>
      </c>
      <c r="E25" t="s">
        <v>379</v>
      </c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25"/>
    </row>
    <row r="26" spans="1:17">
      <c r="A26" t="str">
        <f>F_Inputs!$A$4</f>
        <v>TMS</v>
      </c>
      <c r="B26" t="s">
        <v>397</v>
      </c>
      <c r="C26" t="s">
        <v>390</v>
      </c>
      <c r="D26" t="s">
        <v>380</v>
      </c>
      <c r="E26" t="s">
        <v>379</v>
      </c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25"/>
    </row>
    <row r="27" spans="1:17">
      <c r="A27" t="str">
        <f>F_Inputs!$A$4</f>
        <v>TMS</v>
      </c>
      <c r="B27" t="s">
        <v>398</v>
      </c>
      <c r="C27" t="s">
        <v>407</v>
      </c>
      <c r="D27" t="s">
        <v>380</v>
      </c>
      <c r="E27" t="s">
        <v>379</v>
      </c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25"/>
    </row>
    <row r="28" spans="1:17">
      <c r="A28" t="str">
        <f>F_Inputs!$A$4</f>
        <v>TMS</v>
      </c>
      <c r="B28" t="s">
        <v>399</v>
      </c>
      <c r="C28" t="s">
        <v>408</v>
      </c>
      <c r="D28" t="s">
        <v>380</v>
      </c>
      <c r="E28" t="s">
        <v>379</v>
      </c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25"/>
    </row>
    <row r="29" spans="1:17">
      <c r="A29" t="str">
        <f>F_Inputs!$A$4</f>
        <v>TMS</v>
      </c>
      <c r="B29" t="s">
        <v>400</v>
      </c>
      <c r="C29" t="s">
        <v>409</v>
      </c>
      <c r="D29" t="s">
        <v>380</v>
      </c>
      <c r="E29" t="s">
        <v>379</v>
      </c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25"/>
    </row>
    <row r="30" spans="1:17">
      <c r="A30" t="str">
        <f>F_Inputs!$A$4</f>
        <v>TMS</v>
      </c>
      <c r="B30" t="s">
        <v>401</v>
      </c>
      <c r="C30" t="s">
        <v>410</v>
      </c>
      <c r="D30" t="s">
        <v>380</v>
      </c>
      <c r="E30" t="s">
        <v>379</v>
      </c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25"/>
    </row>
    <row r="31" spans="1:17">
      <c r="A31" t="str">
        <f>F_Inputs!$A$4</f>
        <v>TMS</v>
      </c>
      <c r="B31" t="s">
        <v>402</v>
      </c>
      <c r="C31" t="s">
        <v>411</v>
      </c>
      <c r="D31" t="s">
        <v>380</v>
      </c>
      <c r="E31" t="s">
        <v>379</v>
      </c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25"/>
    </row>
    <row r="32" spans="1:17">
      <c r="A32" t="str">
        <f>F_Inputs!$A$4</f>
        <v>TMS</v>
      </c>
      <c r="B32" s="267"/>
      <c r="C32" s="267" t="s">
        <v>163</v>
      </c>
      <c r="D32" s="267" t="s">
        <v>378</v>
      </c>
      <c r="E32" s="267"/>
      <c r="F32" s="268"/>
      <c r="G32" s="268"/>
      <c r="H32" s="268"/>
      <c r="I32" s="268"/>
      <c r="J32" s="262">
        <v>25.765070896153816</v>
      </c>
      <c r="K32" s="262">
        <v>19.934718659649711</v>
      </c>
      <c r="L32" s="262">
        <v>2.8741147557220756</v>
      </c>
      <c r="M32" s="262">
        <v>7.1477397815730086</v>
      </c>
      <c r="N32" s="262">
        <v>0.74743186412277396</v>
      </c>
      <c r="O32" s="268"/>
      <c r="P32" s="268"/>
      <c r="Q32" t="s">
        <v>438</v>
      </c>
    </row>
    <row r="33" spans="1:16">
      <c r="A33" s="267"/>
      <c r="B33" s="267"/>
      <c r="C33" s="267"/>
      <c r="D33" s="267"/>
      <c r="E33" s="267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</row>
    <row r="34" spans="1:16">
      <c r="A34" s="267"/>
      <c r="B34" s="267"/>
      <c r="C34" s="267"/>
      <c r="D34" s="267"/>
      <c r="E34" s="267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</row>
    <row r="35" spans="1:16">
      <c r="A35" s="267"/>
      <c r="B35" s="267"/>
      <c r="C35" s="267"/>
      <c r="D35" s="267"/>
      <c r="E35" s="267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</row>
    <row r="36" spans="1:16">
      <c r="A36" s="267"/>
      <c r="B36" s="267"/>
      <c r="C36" s="267"/>
      <c r="D36" s="267"/>
      <c r="E36" s="267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</row>
    <row r="37" spans="1:16">
      <c r="A37" s="267"/>
      <c r="B37" s="267"/>
      <c r="C37" s="267"/>
      <c r="D37" s="267"/>
      <c r="E37" s="267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</row>
    <row r="38" spans="1:16">
      <c r="A38" s="267"/>
      <c r="B38" s="267"/>
      <c r="C38" s="267"/>
      <c r="D38" s="267"/>
      <c r="E38" s="267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</row>
    <row r="39" spans="1:16">
      <c r="A39" s="267"/>
      <c r="B39" s="267"/>
      <c r="C39" s="267"/>
      <c r="D39" s="267"/>
      <c r="E39" s="267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</row>
    <row r="40" spans="1:16">
      <c r="A40" s="267"/>
      <c r="B40" s="267"/>
      <c r="C40" s="267"/>
      <c r="D40" s="267"/>
      <c r="E40" s="267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</row>
    <row r="41" spans="1:16">
      <c r="A41" s="267"/>
      <c r="B41" s="267"/>
      <c r="C41" s="267"/>
      <c r="D41" s="267"/>
      <c r="E41" s="267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</row>
    <row r="42" spans="1:16">
      <c r="A42" s="267"/>
      <c r="B42" s="267"/>
      <c r="C42" s="267"/>
      <c r="D42" s="267"/>
      <c r="E42" s="267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</row>
    <row r="43" spans="1:16">
      <c r="A43" s="267"/>
      <c r="B43" s="267"/>
      <c r="C43" s="267"/>
      <c r="D43" s="267"/>
      <c r="E43" s="267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</row>
    <row r="44" spans="1:16">
      <c r="A44" s="267"/>
      <c r="B44" s="267"/>
      <c r="C44" s="267"/>
      <c r="D44" s="267"/>
      <c r="E44" s="267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</row>
    <row r="45" spans="1:16">
      <c r="A45" s="267"/>
      <c r="B45" s="267"/>
      <c r="C45" s="267"/>
      <c r="D45" s="267"/>
      <c r="E45" s="267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2"/>
  <sheetViews>
    <sheetView workbookViewId="0">
      <pane ySplit="2" topLeftCell="A3" activePane="bottomLeft" state="frozen"/>
      <selection activeCell="P16" sqref="P16"/>
      <selection pane="bottomLeft"/>
    </sheetView>
  </sheetViews>
  <sheetFormatPr defaultRowHeight="14.35"/>
  <cols>
    <col min="1" max="1" width="7.8203125" bestFit="1" customWidth="1"/>
    <col min="2" max="2" width="18.3515625" bestFit="1" customWidth="1"/>
    <col min="3" max="3" width="74.52734375" bestFit="1" customWidth="1"/>
    <col min="4" max="4" width="4.05859375" bestFit="1" customWidth="1"/>
    <col min="5" max="5" width="15.17578125" bestFit="1" customWidth="1"/>
    <col min="6" max="16" width="7.3515625" customWidth="1"/>
  </cols>
  <sheetData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tr">
        <f>F_Inputs!$A$4</f>
        <v>TMS</v>
      </c>
      <c r="B4" t="s">
        <v>413</v>
      </c>
      <c r="C4" t="s">
        <v>9</v>
      </c>
      <c r="D4" t="s">
        <v>126</v>
      </c>
      <c r="E4" t="s">
        <v>379</v>
      </c>
      <c r="F4" s="225"/>
      <c r="G4" s="225"/>
      <c r="H4" s="225"/>
      <c r="I4" s="225"/>
      <c r="J4" s="262">
        <f>IF(InpOverride!J4="",F_Inputs!J4,InpOverride!J4)</f>
        <v>0</v>
      </c>
      <c r="K4" s="262">
        <f>IF(InpOverride!K4="",F_Inputs!K4,InpOverride!K4)</f>
        <v>0</v>
      </c>
      <c r="L4" s="262">
        <f>IF(InpOverride!L4="",F_Inputs!L4,InpOverride!L4)</f>
        <v>0</v>
      </c>
      <c r="M4" s="262">
        <f>IF(InpOverride!M4="",F_Inputs!M4,InpOverride!M4)</f>
        <v>0</v>
      </c>
      <c r="N4" s="262">
        <f>IF(InpOverride!N4="",F_Inputs!N4,InpOverride!N4)</f>
        <v>0</v>
      </c>
      <c r="O4" s="225"/>
      <c r="P4" s="262">
        <f>IF(InpOverride!P4="",F_Inputs!P4,InpOverride!P4)</f>
        <v>2</v>
      </c>
    </row>
    <row r="5" spans="1:16">
      <c r="A5" t="str">
        <f>F_Inputs!$A$4</f>
        <v>TMS</v>
      </c>
      <c r="B5" t="s">
        <v>414</v>
      </c>
      <c r="C5" t="s">
        <v>415</v>
      </c>
      <c r="D5" t="s">
        <v>378</v>
      </c>
      <c r="E5" t="s">
        <v>379</v>
      </c>
      <c r="F5" s="225"/>
      <c r="G5" s="225"/>
      <c r="H5" s="225"/>
      <c r="I5" s="225"/>
      <c r="J5" s="262">
        <f>IF(InpOverride!J5="",F_Inputs!J5,InpOverride!J5)</f>
        <v>0</v>
      </c>
      <c r="K5" s="262">
        <f>IF(InpOverride!K5="",F_Inputs!K5,InpOverride!K5)</f>
        <v>0</v>
      </c>
      <c r="L5" s="262">
        <f>IF(InpOverride!L5="",F_Inputs!L5,InpOverride!L5)</f>
        <v>0</v>
      </c>
      <c r="M5" s="262">
        <f>IF(InpOverride!M5="",F_Inputs!M5,InpOverride!M5)</f>
        <v>0</v>
      </c>
      <c r="N5" s="262">
        <f>IF(InpOverride!N5="",F_Inputs!N5,InpOverride!N5)</f>
        <v>0</v>
      </c>
      <c r="O5" s="225"/>
      <c r="P5" s="225"/>
    </row>
    <row r="6" spans="1:16">
      <c r="A6" t="str">
        <f>F_Inputs!$A$4</f>
        <v>TMS</v>
      </c>
      <c r="B6" t="s">
        <v>416</v>
      </c>
      <c r="C6" t="s">
        <v>417</v>
      </c>
      <c r="D6" t="s">
        <v>126</v>
      </c>
      <c r="E6" t="s">
        <v>379</v>
      </c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62">
        <f>IF(InpOverride!P6="",F_Inputs!P6,InpOverride!P6)</f>
        <v>96.4196886435126</v>
      </c>
    </row>
    <row r="7" spans="1:16">
      <c r="A7" t="str">
        <f>F_Inputs!$A$4</f>
        <v>TMS</v>
      </c>
      <c r="B7" t="s">
        <v>418</v>
      </c>
      <c r="C7" t="s">
        <v>381</v>
      </c>
      <c r="D7" t="s">
        <v>380</v>
      </c>
      <c r="E7" t="s">
        <v>379</v>
      </c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62">
        <f>IF(InpOverride!P7="",F_Inputs!P7,InpOverride!P7)</f>
        <v>96.4</v>
      </c>
    </row>
    <row r="8" spans="1:16">
      <c r="A8" t="str">
        <f>F_Inputs!$A$4</f>
        <v>TMS</v>
      </c>
      <c r="B8" t="s">
        <v>419</v>
      </c>
      <c r="C8" t="s">
        <v>420</v>
      </c>
      <c r="D8" t="s">
        <v>378</v>
      </c>
      <c r="E8" t="s">
        <v>379</v>
      </c>
      <c r="F8" s="225"/>
      <c r="G8" s="225"/>
      <c r="H8" s="225"/>
      <c r="I8" s="225"/>
      <c r="J8" s="262">
        <f>IF(InpOverride!J8="",F_Inputs!J8,InpOverride!J8)</f>
        <v>183.00455218924699</v>
      </c>
      <c r="K8" s="262">
        <f>IF(InpOverride!K8="",F_Inputs!K8,InpOverride!K8)</f>
        <v>82.516819192595406</v>
      </c>
      <c r="L8" s="262">
        <f>IF(InpOverride!L8="",F_Inputs!L8,InpOverride!L8)</f>
        <v>57.267184077716699</v>
      </c>
      <c r="M8" s="262">
        <f>IF(InpOverride!M8="",F_Inputs!M8,InpOverride!M8)</f>
        <v>58.2370782320016</v>
      </c>
      <c r="N8" s="262">
        <f>IF(InpOverride!N8="",F_Inputs!N8,InpOverride!N8)</f>
        <v>24.192754385000502</v>
      </c>
      <c r="O8" s="225"/>
      <c r="P8" s="225"/>
    </row>
    <row r="9" spans="1:16">
      <c r="A9" t="str">
        <f>F_Inputs!$A$4</f>
        <v>TMS</v>
      </c>
      <c r="B9" t="s">
        <v>421</v>
      </c>
      <c r="C9" t="s">
        <v>422</v>
      </c>
      <c r="D9" t="s">
        <v>378</v>
      </c>
      <c r="E9" t="s">
        <v>379</v>
      </c>
      <c r="F9" s="225"/>
      <c r="G9" s="225"/>
      <c r="H9" s="225"/>
      <c r="I9" s="225"/>
      <c r="J9" s="262">
        <f>IF(InpOverride!J9="",F_Inputs!J9,InpOverride!J9)</f>
        <v>158.65960828650299</v>
      </c>
      <c r="K9" s="262">
        <f>IF(InpOverride!K9="",F_Inputs!K9,InpOverride!K9)</f>
        <v>63.147318184010501</v>
      </c>
      <c r="L9" s="262">
        <f>IF(InpOverride!L9="",F_Inputs!L9,InpOverride!L9)</f>
        <v>54.884326768046598</v>
      </c>
      <c r="M9" s="262">
        <f>IF(InpOverride!M9="",F_Inputs!M9,InpOverride!M9)</f>
        <v>51.550757859932197</v>
      </c>
      <c r="N9" s="262">
        <f>IF(InpOverride!N9="",F_Inputs!N9,InpOverride!N9)</f>
        <v>23.6570717272939</v>
      </c>
      <c r="O9" s="225"/>
      <c r="P9" s="225"/>
    </row>
    <row r="10" spans="1:16">
      <c r="A10" t="str">
        <f>F_Inputs!$A$4</f>
        <v>TMS</v>
      </c>
      <c r="B10" t="s">
        <v>423</v>
      </c>
      <c r="C10" t="s">
        <v>424</v>
      </c>
      <c r="D10" t="s">
        <v>378</v>
      </c>
      <c r="E10" t="s">
        <v>379</v>
      </c>
      <c r="F10" s="225"/>
      <c r="G10" s="225"/>
      <c r="H10" s="225"/>
      <c r="I10" s="225"/>
      <c r="J10" s="262">
        <f>IF(InpOverride!J10="",F_Inputs!J10,InpOverride!J10)</f>
        <v>123.60092286</v>
      </c>
      <c r="K10" s="262">
        <f>IF(InpOverride!K10="",F_Inputs!K10,InpOverride!K10)</f>
        <v>81.668295520000001</v>
      </c>
      <c r="L10" s="262">
        <f>IF(InpOverride!L10="",F_Inputs!L10,InpOverride!L10)</f>
        <v>38.725567699999999</v>
      </c>
      <c r="M10" s="262">
        <f>IF(InpOverride!M10="",F_Inputs!M10,InpOverride!M10)</f>
        <v>41.567999999999998</v>
      </c>
      <c r="N10" s="262">
        <f>IF(InpOverride!N10="",F_Inputs!N10,InpOverride!N10)</f>
        <v>24.81</v>
      </c>
      <c r="O10" s="225"/>
      <c r="P10" s="225"/>
    </row>
    <row r="11" spans="1:16">
      <c r="A11" t="str">
        <f>F_Inputs!$A$4</f>
        <v>TMS</v>
      </c>
      <c r="B11" t="s">
        <v>425</v>
      </c>
      <c r="C11" t="s">
        <v>426</v>
      </c>
      <c r="D11" t="s">
        <v>378</v>
      </c>
      <c r="E11" t="s">
        <v>379</v>
      </c>
      <c r="F11" s="225"/>
      <c r="G11" s="225"/>
      <c r="H11" s="225"/>
      <c r="I11" s="225"/>
      <c r="J11" s="262">
        <f>IF(InpOverride!J11="",F_Inputs!J11,InpOverride!J11)</f>
        <v>0</v>
      </c>
      <c r="K11" s="262">
        <f>IF(InpOverride!K11="",F_Inputs!K11,InpOverride!K11)</f>
        <v>0</v>
      </c>
      <c r="L11" s="262">
        <f>IF(InpOverride!L11="",F_Inputs!L11,InpOverride!L11)</f>
        <v>0</v>
      </c>
      <c r="M11" s="262">
        <f>IF(InpOverride!M11="",F_Inputs!M11,InpOverride!M11)</f>
        <v>0</v>
      </c>
      <c r="N11" s="262">
        <f>IF(InpOverride!N11="",F_Inputs!N11,InpOverride!N11)</f>
        <v>0</v>
      </c>
      <c r="O11" s="225"/>
      <c r="P11" s="225"/>
    </row>
    <row r="12" spans="1:16">
      <c r="A12" t="str">
        <f>F_Inputs!$A$4</f>
        <v>TMS</v>
      </c>
      <c r="B12" t="s">
        <v>427</v>
      </c>
      <c r="C12" t="s">
        <v>428</v>
      </c>
      <c r="D12" t="s">
        <v>378</v>
      </c>
      <c r="E12" t="s">
        <v>379</v>
      </c>
      <c r="F12" s="225"/>
      <c r="G12" s="225"/>
      <c r="H12" s="225"/>
      <c r="I12" s="225"/>
      <c r="J12" s="262">
        <f>IF(InpOverride!J12="",F_Inputs!J12,InpOverride!J12)</f>
        <v>0</v>
      </c>
      <c r="K12" s="262">
        <f>IF(InpOverride!K12="",F_Inputs!K12,InpOverride!K12)</f>
        <v>0</v>
      </c>
      <c r="L12" s="262">
        <f>IF(InpOverride!L12="",F_Inputs!L12,InpOverride!L12)</f>
        <v>0</v>
      </c>
      <c r="M12" s="262">
        <f>IF(InpOverride!M12="",F_Inputs!M12,InpOverride!M12)</f>
        <v>0</v>
      </c>
      <c r="N12" s="262">
        <f>IF(InpOverride!N12="",F_Inputs!N12,InpOverride!N12)</f>
        <v>0</v>
      </c>
      <c r="O12" s="225"/>
      <c r="P12" s="225"/>
    </row>
    <row r="13" spans="1:16">
      <c r="A13" t="str">
        <f>F_Inputs!$A$4</f>
        <v>TMS</v>
      </c>
      <c r="B13" t="s">
        <v>385</v>
      </c>
      <c r="C13" t="s">
        <v>386</v>
      </c>
      <c r="D13" t="s">
        <v>378</v>
      </c>
      <c r="E13" t="s">
        <v>379</v>
      </c>
      <c r="F13" s="225"/>
      <c r="G13" s="225"/>
      <c r="H13" s="225"/>
      <c r="I13" s="225"/>
      <c r="J13" s="262">
        <f>IF(InpOverride!J13="",F_Inputs!J13,InpOverride!J13)</f>
        <v>0</v>
      </c>
      <c r="K13" s="262">
        <f>IF(InpOverride!K13="",F_Inputs!K13,InpOverride!K13)</f>
        <v>0</v>
      </c>
      <c r="L13" s="262">
        <f>IF(InpOverride!L13="",F_Inputs!L13,InpOverride!L13)</f>
        <v>0</v>
      </c>
      <c r="M13" s="262">
        <f>IF(InpOverride!M13="",F_Inputs!M13,InpOverride!M13)</f>
        <v>0</v>
      </c>
      <c r="N13" s="262">
        <f>IF(InpOverride!N13="",F_Inputs!N13,InpOverride!N13)</f>
        <v>0</v>
      </c>
      <c r="O13" s="225"/>
      <c r="P13" s="225"/>
    </row>
    <row r="14" spans="1:16">
      <c r="A14" t="str">
        <f>F_Inputs!$A$4</f>
        <v>TMS</v>
      </c>
      <c r="B14" t="s">
        <v>429</v>
      </c>
      <c r="C14" t="s">
        <v>430</v>
      </c>
      <c r="D14" t="s">
        <v>378</v>
      </c>
      <c r="E14" t="s">
        <v>379</v>
      </c>
      <c r="F14" s="225"/>
      <c r="G14" s="225"/>
      <c r="H14" s="225"/>
      <c r="I14" s="225"/>
      <c r="J14" s="262">
        <f>IF(InpOverride!J14="",F_Inputs!J14,InpOverride!J14)</f>
        <v>0</v>
      </c>
      <c r="K14" s="262">
        <f>IF(InpOverride!K14="",F_Inputs!K14,InpOverride!K14)</f>
        <v>0</v>
      </c>
      <c r="L14" s="262">
        <f>IF(InpOverride!L14="",F_Inputs!L14,InpOverride!L14)</f>
        <v>0</v>
      </c>
      <c r="M14" s="262">
        <f>IF(InpOverride!M14="",F_Inputs!M14,InpOverride!M14)</f>
        <v>0</v>
      </c>
      <c r="N14" s="262">
        <f>IF(InpOverride!N14="",F_Inputs!N14,InpOverride!N14)</f>
        <v>0</v>
      </c>
      <c r="O14" s="225"/>
      <c r="P14" s="225"/>
    </row>
    <row r="15" spans="1:16">
      <c r="A15" t="str">
        <f>F_Inputs!$A$4</f>
        <v>TMS</v>
      </c>
      <c r="B15" t="s">
        <v>431</v>
      </c>
      <c r="C15" t="s">
        <v>432</v>
      </c>
      <c r="D15" t="s">
        <v>378</v>
      </c>
      <c r="E15" t="s">
        <v>379</v>
      </c>
      <c r="F15" s="225"/>
      <c r="G15" s="225"/>
      <c r="H15" s="225"/>
      <c r="I15" s="262">
        <f>IF(InpOverride!I15="",F_Inputs!I15,InpOverride!I15)</f>
        <v>0</v>
      </c>
      <c r="J15" s="268"/>
      <c r="K15" s="268"/>
      <c r="L15" s="268"/>
      <c r="M15" s="268"/>
      <c r="N15" s="268"/>
      <c r="O15" s="225"/>
      <c r="P15" s="225"/>
    </row>
    <row r="16" spans="1:16">
      <c r="A16" t="str">
        <f>F_Inputs!$A$4</f>
        <v>TMS</v>
      </c>
      <c r="B16" t="s">
        <v>433</v>
      </c>
      <c r="C16" t="s">
        <v>434</v>
      </c>
      <c r="D16" t="s">
        <v>147</v>
      </c>
      <c r="E16" t="s">
        <v>379</v>
      </c>
      <c r="F16" s="265"/>
      <c r="G16" s="265"/>
      <c r="H16" s="265"/>
      <c r="I16" s="265"/>
      <c r="J16" s="262">
        <f>IF(InpOverride!J16="",F_Inputs!J16,InpOverride!J16)</f>
        <v>0</v>
      </c>
      <c r="K16" s="262">
        <f>IF(InpOverride!K16="",F_Inputs!K16,InpOverride!K16)</f>
        <v>0</v>
      </c>
      <c r="L16" s="262">
        <f>IF(InpOverride!L16="",F_Inputs!L16,InpOverride!L16)</f>
        <v>0</v>
      </c>
      <c r="M16" s="262">
        <f>IF(InpOverride!M16="",F_Inputs!M16,InpOverride!M16)</f>
        <v>0</v>
      </c>
      <c r="N16" s="262">
        <f>IF(InpOverride!N16="",F_Inputs!N16,InpOverride!N16)</f>
        <v>0</v>
      </c>
      <c r="O16" s="265"/>
      <c r="P16" s="265"/>
    </row>
    <row r="17" spans="1:16">
      <c r="A17" t="str">
        <f>F_Inputs!$A$4</f>
        <v>TMS</v>
      </c>
      <c r="B17" t="s">
        <v>435</v>
      </c>
      <c r="C17" t="s">
        <v>382</v>
      </c>
      <c r="D17" t="s">
        <v>378</v>
      </c>
      <c r="E17" t="s">
        <v>379</v>
      </c>
      <c r="F17" s="225"/>
      <c r="G17" s="225"/>
      <c r="H17" s="225"/>
      <c r="I17" s="225"/>
      <c r="J17" s="262">
        <f>IF(InpOverride!J17="",F_Inputs!J17,InpOverride!J17)</f>
        <v>0</v>
      </c>
      <c r="K17" s="262">
        <f>IF(InpOverride!K17="",F_Inputs!K17,InpOverride!K17)</f>
        <v>0</v>
      </c>
      <c r="L17" s="262">
        <f>IF(InpOverride!L17="",F_Inputs!L17,InpOverride!L17)</f>
        <v>0</v>
      </c>
      <c r="M17" s="262">
        <f>IF(InpOverride!M17="",F_Inputs!M17,InpOverride!M17)</f>
        <v>0</v>
      </c>
      <c r="N17" s="262">
        <f>IF(InpOverride!N17="",F_Inputs!N17,InpOverride!N17)</f>
        <v>0</v>
      </c>
      <c r="O17" s="225"/>
      <c r="P17" s="225"/>
    </row>
    <row r="18" spans="1:16">
      <c r="A18" t="str">
        <f>F_Inputs!$A$4</f>
        <v>TMS</v>
      </c>
      <c r="B18" t="s">
        <v>436</v>
      </c>
      <c r="C18" t="s">
        <v>383</v>
      </c>
      <c r="D18" t="s">
        <v>378</v>
      </c>
      <c r="E18" t="s">
        <v>379</v>
      </c>
      <c r="F18" s="225"/>
      <c r="G18" s="225"/>
      <c r="H18" s="225"/>
      <c r="I18" s="225"/>
      <c r="J18" s="262">
        <f>IF(InpOverride!J18="",F_Inputs!J18,InpOverride!J18)</f>
        <v>0</v>
      </c>
      <c r="K18" s="262">
        <f>IF(InpOverride!K18="",F_Inputs!K18,InpOverride!K18)</f>
        <v>0</v>
      </c>
      <c r="L18" s="262">
        <f>IF(InpOverride!L18="",F_Inputs!L18,InpOverride!L18)</f>
        <v>0</v>
      </c>
      <c r="M18" s="262">
        <f>IF(InpOverride!M18="",F_Inputs!M18,InpOverride!M18)</f>
        <v>0</v>
      </c>
      <c r="N18" s="262">
        <f>IF(InpOverride!N18="",F_Inputs!N18,InpOverride!N18)</f>
        <v>0</v>
      </c>
      <c r="O18" s="225"/>
      <c r="P18" s="225"/>
    </row>
    <row r="19" spans="1:16">
      <c r="A19" t="str">
        <f>F_Inputs!$A$4</f>
        <v>TMS</v>
      </c>
      <c r="B19" t="s">
        <v>437</v>
      </c>
      <c r="C19" t="s">
        <v>384</v>
      </c>
      <c r="D19" t="s">
        <v>378</v>
      </c>
      <c r="E19" t="s">
        <v>379</v>
      </c>
      <c r="F19" s="225"/>
      <c r="G19" s="225"/>
      <c r="H19" s="225"/>
      <c r="I19" s="225"/>
      <c r="J19" s="262">
        <f>IF(InpOverride!J19="",F_Inputs!J19,InpOverride!J19)</f>
        <v>23.6</v>
      </c>
      <c r="K19" s="262">
        <f>IF(InpOverride!K19="",F_Inputs!K19,InpOverride!K19)</f>
        <v>34.299999999999997</v>
      </c>
      <c r="L19" s="262">
        <f>IF(InpOverride!L19="",F_Inputs!L19,InpOverride!L19)</f>
        <v>-2</v>
      </c>
      <c r="M19" s="262">
        <f>IF(InpOverride!M19="",F_Inputs!M19,InpOverride!M19)</f>
        <v>-9.8000000000000007</v>
      </c>
      <c r="N19" s="262">
        <f>IF(InpOverride!N19="",F_Inputs!N19,InpOverride!N19)</f>
        <v>5</v>
      </c>
      <c r="O19" s="225"/>
      <c r="P19" s="225"/>
    </row>
    <row r="20" spans="1:16">
      <c r="A20" t="str">
        <f>F_Inputs!$A$4</f>
        <v>TMS</v>
      </c>
      <c r="B20" t="s">
        <v>391</v>
      </c>
      <c r="C20" t="s">
        <v>403</v>
      </c>
      <c r="D20" t="s">
        <v>380</v>
      </c>
      <c r="E20" t="s">
        <v>379</v>
      </c>
      <c r="F20" s="262">
        <f>IF(InpOverride!F20="",F_Inputs!F20,InpOverride!F20)</f>
        <v>234.4</v>
      </c>
      <c r="G20" s="262">
        <f>IF(InpOverride!G20="",F_Inputs!G20,InpOverride!G20)</f>
        <v>242.5</v>
      </c>
      <c r="H20" s="262">
        <f>IF(InpOverride!H20="",F_Inputs!H20,InpOverride!H20)</f>
        <v>249.5</v>
      </c>
      <c r="I20" s="262">
        <f>IF(InpOverride!I20="",F_Inputs!I20,InpOverride!I20)</f>
        <v>255.7</v>
      </c>
      <c r="J20" s="262">
        <f>IF(InpOverride!J20="",F_Inputs!J20,InpOverride!J20)</f>
        <v>258</v>
      </c>
      <c r="K20" s="262">
        <f>IF(InpOverride!K20="",F_Inputs!K20,InpOverride!K20)</f>
        <v>261.39999999999998</v>
      </c>
      <c r="L20" s="262">
        <f>IF(InpOverride!L20="",F_Inputs!L20,InpOverride!L20)</f>
        <v>270.60000000000002</v>
      </c>
      <c r="M20" s="262">
        <f>IF(InpOverride!M20="",F_Inputs!M20,InpOverride!M20)</f>
        <v>279.7</v>
      </c>
      <c r="N20" s="262">
        <f>IF(InpOverride!N20="",F_Inputs!N20,InpOverride!N20)</f>
        <v>287.83249999999998</v>
      </c>
      <c r="O20" s="262">
        <f>IF(InpOverride!O20="",F_Inputs!O20,InpOverride!O20)</f>
        <v>295.91250000000002</v>
      </c>
      <c r="P20" s="225"/>
    </row>
    <row r="21" spans="1:16">
      <c r="A21" t="str">
        <f>F_Inputs!$A$4</f>
        <v>TMS</v>
      </c>
      <c r="B21" t="s">
        <v>392</v>
      </c>
      <c r="C21" t="s">
        <v>404</v>
      </c>
      <c r="D21" t="s">
        <v>380</v>
      </c>
      <c r="E21" t="s">
        <v>379</v>
      </c>
      <c r="F21" s="262">
        <f>IF(InpOverride!F21="",F_Inputs!F21,InpOverride!F21)</f>
        <v>235.2</v>
      </c>
      <c r="G21" s="262">
        <f>IF(InpOverride!G21="",F_Inputs!G21,InpOverride!G21)</f>
        <v>242.4</v>
      </c>
      <c r="H21" s="262">
        <f>IF(InpOverride!H21="",F_Inputs!H21,InpOverride!H21)</f>
        <v>250</v>
      </c>
      <c r="I21" s="262">
        <f>IF(InpOverride!I21="",F_Inputs!I21,InpOverride!I21)</f>
        <v>255.9</v>
      </c>
      <c r="J21" s="262">
        <f>IF(InpOverride!J21="",F_Inputs!J21,InpOverride!J21)</f>
        <v>258.5</v>
      </c>
      <c r="K21" s="262">
        <f>IF(InpOverride!K21="",F_Inputs!K21,InpOverride!K21)</f>
        <v>262.10000000000002</v>
      </c>
      <c r="L21" s="262">
        <f>IF(InpOverride!L21="",F_Inputs!L21,InpOverride!L21)</f>
        <v>271.7</v>
      </c>
      <c r="M21" s="262">
        <f>IF(InpOverride!M21="",F_Inputs!M21,InpOverride!M21)</f>
        <v>280.7</v>
      </c>
      <c r="N21" s="262">
        <f>IF(InpOverride!N21="",F_Inputs!N21,InpOverride!N21)</f>
        <v>288.53750000000002</v>
      </c>
      <c r="O21" s="262">
        <f>IF(InpOverride!O21="",F_Inputs!O21,InpOverride!O21)</f>
        <v>296.61750000000001</v>
      </c>
      <c r="P21" s="225"/>
    </row>
    <row r="22" spans="1:16">
      <c r="A22" t="str">
        <f>F_Inputs!$A$4</f>
        <v>TMS</v>
      </c>
      <c r="B22" t="s">
        <v>393</v>
      </c>
      <c r="C22" t="s">
        <v>405</v>
      </c>
      <c r="D22" t="s">
        <v>380</v>
      </c>
      <c r="E22" t="s">
        <v>379</v>
      </c>
      <c r="F22" s="262">
        <f>IF(InpOverride!F22="",F_Inputs!F22,InpOverride!F22)</f>
        <v>235.2</v>
      </c>
      <c r="G22" s="262">
        <f>IF(InpOverride!G22="",F_Inputs!G22,InpOverride!G22)</f>
        <v>241.8</v>
      </c>
      <c r="H22" s="262">
        <f>IF(InpOverride!H22="",F_Inputs!H22,InpOverride!H22)</f>
        <v>249.7</v>
      </c>
      <c r="I22" s="262">
        <f>IF(InpOverride!I22="",F_Inputs!I22,InpOverride!I22)</f>
        <v>256.3</v>
      </c>
      <c r="J22" s="262">
        <f>IF(InpOverride!J22="",F_Inputs!J22,InpOverride!J22)</f>
        <v>258.89999999999998</v>
      </c>
      <c r="K22" s="262">
        <f>IF(InpOverride!K22="",F_Inputs!K22,InpOverride!K22)</f>
        <v>263.10000000000002</v>
      </c>
      <c r="L22" s="262">
        <f>IF(InpOverride!L22="",F_Inputs!L22,InpOverride!L22)</f>
        <v>272.3</v>
      </c>
      <c r="M22" s="262">
        <f>IF(InpOverride!M22="",F_Inputs!M22,InpOverride!M22)</f>
        <v>281.5</v>
      </c>
      <c r="N22" s="262">
        <f>IF(InpOverride!N22="",F_Inputs!N22,InpOverride!N22)</f>
        <v>289.27749999999997</v>
      </c>
      <c r="O22" s="262">
        <f>IF(InpOverride!O22="",F_Inputs!O22,InpOverride!O22)</f>
        <v>297.41750000000002</v>
      </c>
      <c r="P22" s="225"/>
    </row>
    <row r="23" spans="1:16">
      <c r="A23" t="str">
        <f>F_Inputs!$A$4</f>
        <v>TMS</v>
      </c>
      <c r="B23" t="s">
        <v>394</v>
      </c>
      <c r="C23" t="s">
        <v>406</v>
      </c>
      <c r="D23" t="s">
        <v>380</v>
      </c>
      <c r="E23" t="s">
        <v>379</v>
      </c>
      <c r="F23" s="262">
        <f>IF(InpOverride!F23="",F_Inputs!F23,InpOverride!F23)</f>
        <v>234.7</v>
      </c>
      <c r="G23" s="262">
        <f>IF(InpOverride!G23="",F_Inputs!G23,InpOverride!G23)</f>
        <v>242.1</v>
      </c>
      <c r="H23" s="262">
        <f>IF(InpOverride!H23="",F_Inputs!H23,InpOverride!H23)</f>
        <v>249.7</v>
      </c>
      <c r="I23" s="262">
        <f>IF(InpOverride!I23="",F_Inputs!I23,InpOverride!I23)</f>
        <v>256</v>
      </c>
      <c r="J23" s="262">
        <f>IF(InpOverride!J23="",F_Inputs!J23,InpOverride!J23)</f>
        <v>258.60000000000002</v>
      </c>
      <c r="K23" s="262">
        <f>IF(InpOverride!K23="",F_Inputs!K23,InpOverride!K23)</f>
        <v>263.39999999999998</v>
      </c>
      <c r="L23" s="262">
        <f>IF(InpOverride!L23="",F_Inputs!L23,InpOverride!L23)</f>
        <v>272.89999999999998</v>
      </c>
      <c r="M23" s="262">
        <f>IF(InpOverride!M23="",F_Inputs!M23,InpOverride!M23)</f>
        <v>281.7</v>
      </c>
      <c r="N23" s="262">
        <f>IF(InpOverride!N23="",F_Inputs!N23,InpOverride!N23)</f>
        <v>289.43</v>
      </c>
      <c r="O23" s="262">
        <f>IF(InpOverride!O23="",F_Inputs!O23,InpOverride!O23)</f>
        <v>297.63499999999999</v>
      </c>
      <c r="P23" s="225"/>
    </row>
    <row r="24" spans="1:16">
      <c r="A24" t="str">
        <f>F_Inputs!$A$4</f>
        <v>TMS</v>
      </c>
      <c r="B24" t="s">
        <v>395</v>
      </c>
      <c r="C24" t="s">
        <v>388</v>
      </c>
      <c r="D24" t="s">
        <v>380</v>
      </c>
      <c r="E24" t="s">
        <v>379</v>
      </c>
      <c r="F24" s="262">
        <f>IF(InpOverride!F24="",F_Inputs!F24,InpOverride!F24)</f>
        <v>236.1</v>
      </c>
      <c r="G24" s="262">
        <f>IF(InpOverride!G24="",F_Inputs!G24,InpOverride!G24)</f>
        <v>243</v>
      </c>
      <c r="H24" s="262">
        <f>IF(InpOverride!H24="",F_Inputs!H24,InpOverride!H24)</f>
        <v>251</v>
      </c>
      <c r="I24" s="262">
        <f>IF(InpOverride!I24="",F_Inputs!I24,InpOverride!I24)</f>
        <v>257</v>
      </c>
      <c r="J24" s="262">
        <f>IF(InpOverride!J24="",F_Inputs!J24,InpOverride!J24)</f>
        <v>259.8</v>
      </c>
      <c r="K24" s="262">
        <f>IF(InpOverride!K24="",F_Inputs!K24,InpOverride!K24)</f>
        <v>264.39999999999998</v>
      </c>
      <c r="L24" s="262">
        <f>IF(InpOverride!L24="",F_Inputs!L24,InpOverride!L24)</f>
        <v>274.7</v>
      </c>
      <c r="M24" s="262">
        <f>IF(InpOverride!M24="",F_Inputs!M24,InpOverride!M24)</f>
        <v>284.2</v>
      </c>
      <c r="N24" s="262">
        <f>IF(InpOverride!N24="",F_Inputs!N24,InpOverride!N24)</f>
        <v>291.52249999999998</v>
      </c>
      <c r="O24" s="262">
        <f>IF(InpOverride!O24="",F_Inputs!O24,InpOverride!O24)</f>
        <v>299.71499999999997</v>
      </c>
      <c r="P24" s="225"/>
    </row>
    <row r="25" spans="1:16">
      <c r="A25" t="str">
        <f>F_Inputs!$A$4</f>
        <v>TMS</v>
      </c>
      <c r="B25" t="s">
        <v>396</v>
      </c>
      <c r="C25" t="s">
        <v>389</v>
      </c>
      <c r="D25" t="s">
        <v>380</v>
      </c>
      <c r="E25" t="s">
        <v>379</v>
      </c>
      <c r="F25" s="262">
        <f>IF(InpOverride!F25="",F_Inputs!F25,InpOverride!F25)</f>
        <v>237.9</v>
      </c>
      <c r="G25" s="262">
        <f>IF(InpOverride!G25="",F_Inputs!G25,InpOverride!G25)</f>
        <v>244.2</v>
      </c>
      <c r="H25" s="262">
        <f>IF(InpOverride!H25="",F_Inputs!H25,InpOverride!H25)</f>
        <v>251.9</v>
      </c>
      <c r="I25" s="262">
        <f>IF(InpOverride!I25="",F_Inputs!I25,InpOverride!I25)</f>
        <v>257.60000000000002</v>
      </c>
      <c r="J25" s="262">
        <f>IF(InpOverride!J25="",F_Inputs!J25,InpOverride!J25)</f>
        <v>259.60000000000002</v>
      </c>
      <c r="K25" s="262">
        <f>IF(InpOverride!K25="",F_Inputs!K25,InpOverride!K25)</f>
        <v>264.89999999999998</v>
      </c>
      <c r="L25" s="262">
        <f>IF(InpOverride!L25="",F_Inputs!L25,InpOverride!L25)</f>
        <v>275.10000000000002</v>
      </c>
      <c r="M25" s="262">
        <f>IF(InpOverride!M25="",F_Inputs!M25,InpOverride!M25)</f>
        <v>284.10000000000002</v>
      </c>
      <c r="N25" s="262">
        <f>IF(InpOverride!N25="",F_Inputs!N25,InpOverride!N25)</f>
        <v>291.41750000000002</v>
      </c>
      <c r="O25" s="262">
        <f>IF(InpOverride!O25="",F_Inputs!O25,InpOverride!O25)</f>
        <v>299.76249999999999</v>
      </c>
      <c r="P25" s="225"/>
    </row>
    <row r="26" spans="1:16">
      <c r="A26" t="str">
        <f>F_Inputs!$A$4</f>
        <v>TMS</v>
      </c>
      <c r="B26" t="s">
        <v>397</v>
      </c>
      <c r="C26" t="s">
        <v>390</v>
      </c>
      <c r="D26" t="s">
        <v>380</v>
      </c>
      <c r="E26" t="s">
        <v>379</v>
      </c>
      <c r="F26" s="262">
        <f>IF(InpOverride!F26="",F_Inputs!F26,InpOverride!F26)</f>
        <v>238</v>
      </c>
      <c r="G26" s="262">
        <f>IF(InpOverride!G26="",F_Inputs!G26,InpOverride!G26)</f>
        <v>245.6</v>
      </c>
      <c r="H26" s="262">
        <f>IF(InpOverride!H26="",F_Inputs!H26,InpOverride!H26)</f>
        <v>251.9</v>
      </c>
      <c r="I26" s="262">
        <f>IF(InpOverride!I26="",F_Inputs!I26,InpOverride!I26)</f>
        <v>257.7</v>
      </c>
      <c r="J26" s="262">
        <f>IF(InpOverride!J26="",F_Inputs!J26,InpOverride!J26)</f>
        <v>259.5</v>
      </c>
      <c r="K26" s="262">
        <f>IF(InpOverride!K26="",F_Inputs!K26,InpOverride!K26)</f>
        <v>264.8</v>
      </c>
      <c r="L26" s="262">
        <f>IF(InpOverride!L26="",F_Inputs!L26,InpOverride!L26)</f>
        <v>275.3</v>
      </c>
      <c r="M26" s="262">
        <f>IF(InpOverride!M26="",F_Inputs!M26,InpOverride!M26)</f>
        <v>284.5</v>
      </c>
      <c r="N26" s="262">
        <f>IF(InpOverride!N26="",F_Inputs!N26,InpOverride!N26)</f>
        <v>291.67</v>
      </c>
      <c r="O26" s="262">
        <f>IF(InpOverride!O26="",F_Inputs!O26,InpOverride!O26)</f>
        <v>299.97000000000003</v>
      </c>
      <c r="P26" s="225"/>
    </row>
    <row r="27" spans="1:16">
      <c r="A27" t="str">
        <f>F_Inputs!$A$4</f>
        <v>TMS</v>
      </c>
      <c r="B27" t="s">
        <v>398</v>
      </c>
      <c r="C27" t="s">
        <v>407</v>
      </c>
      <c r="D27" t="s">
        <v>380</v>
      </c>
      <c r="E27" t="s">
        <v>379</v>
      </c>
      <c r="F27" s="262">
        <f>IF(InpOverride!F27="",F_Inputs!F27,InpOverride!F27)</f>
        <v>238.5</v>
      </c>
      <c r="G27" s="262">
        <f>IF(InpOverride!G27="",F_Inputs!G27,InpOverride!G27)</f>
        <v>245.6</v>
      </c>
      <c r="H27" s="262">
        <f>IF(InpOverride!H27="",F_Inputs!H27,InpOverride!H27)</f>
        <v>252.1</v>
      </c>
      <c r="I27" s="262">
        <f>IF(InpOverride!I27="",F_Inputs!I27,InpOverride!I27)</f>
        <v>257.10000000000002</v>
      </c>
      <c r="J27" s="262">
        <f>IF(InpOverride!J27="",F_Inputs!J27,InpOverride!J27)</f>
        <v>259.8</v>
      </c>
      <c r="K27" s="262">
        <f>IF(InpOverride!K27="",F_Inputs!K27,InpOverride!K27)</f>
        <v>265.5</v>
      </c>
      <c r="L27" s="262">
        <f>IF(InpOverride!L27="",F_Inputs!L27,InpOverride!L27)</f>
        <v>275.8</v>
      </c>
      <c r="M27" s="262">
        <f>IF(InpOverride!M27="",F_Inputs!M27,InpOverride!M27)</f>
        <v>284.60000000000002</v>
      </c>
      <c r="N27" s="262">
        <f>IF(InpOverride!N27="",F_Inputs!N27,InpOverride!N27)</f>
        <v>291.83</v>
      </c>
      <c r="O27" s="262">
        <f>IF(InpOverride!O27="",F_Inputs!O27,InpOverride!O27)</f>
        <v>300.23750000000001</v>
      </c>
      <c r="P27" s="225"/>
    </row>
    <row r="28" spans="1:16">
      <c r="A28" t="str">
        <f>F_Inputs!$A$4</f>
        <v>TMS</v>
      </c>
      <c r="B28" t="s">
        <v>399</v>
      </c>
      <c r="C28" t="s">
        <v>408</v>
      </c>
      <c r="D28" t="s">
        <v>380</v>
      </c>
      <c r="E28" t="s">
        <v>379</v>
      </c>
      <c r="F28" s="262">
        <f>IF(InpOverride!F28="",F_Inputs!F28,InpOverride!F28)</f>
        <v>239.4</v>
      </c>
      <c r="G28" s="262">
        <f>IF(InpOverride!G28="",F_Inputs!G28,InpOverride!G28)</f>
        <v>246.8</v>
      </c>
      <c r="H28" s="262">
        <f>IF(InpOverride!H28="",F_Inputs!H28,InpOverride!H28)</f>
        <v>253.4</v>
      </c>
      <c r="I28" s="262">
        <f>IF(InpOverride!I28="",F_Inputs!I28,InpOverride!I28)</f>
        <v>257.5</v>
      </c>
      <c r="J28" s="262">
        <f>IF(InpOverride!J28="",F_Inputs!J28,InpOverride!J28)</f>
        <v>260.60000000000002</v>
      </c>
      <c r="K28" s="262">
        <f>IF(InpOverride!K28="",F_Inputs!K28,InpOverride!K28)</f>
        <v>267.10000000000002</v>
      </c>
      <c r="L28" s="262">
        <f>IF(InpOverride!L28="",F_Inputs!L28,InpOverride!L28)</f>
        <v>278.10000000000002</v>
      </c>
      <c r="M28" s="262">
        <f>IF(InpOverride!M28="",F_Inputs!M28,InpOverride!M28)</f>
        <v>286.27249999999998</v>
      </c>
      <c r="N28" s="262">
        <f>IF(InpOverride!N28="",F_Inputs!N28,InpOverride!N28)</f>
        <v>293.88499999999999</v>
      </c>
      <c r="O28" s="262">
        <f>IF(InpOverride!O28="",F_Inputs!O28,InpOverride!O28)</f>
        <v>302.39</v>
      </c>
      <c r="P28" s="225"/>
    </row>
    <row r="29" spans="1:16">
      <c r="A29" t="str">
        <f>F_Inputs!$A$4</f>
        <v>TMS</v>
      </c>
      <c r="B29" t="s">
        <v>400</v>
      </c>
      <c r="C29" t="s">
        <v>409</v>
      </c>
      <c r="D29" t="s">
        <v>380</v>
      </c>
      <c r="E29" t="s">
        <v>379</v>
      </c>
      <c r="F29" s="262">
        <f>IF(InpOverride!F29="",F_Inputs!F29,InpOverride!F29)</f>
        <v>238</v>
      </c>
      <c r="G29" s="262">
        <f>IF(InpOverride!G29="",F_Inputs!G29,InpOverride!G29)</f>
        <v>245.8</v>
      </c>
      <c r="H29" s="262">
        <f>IF(InpOverride!H29="",F_Inputs!H29,InpOverride!H29)</f>
        <v>252.6</v>
      </c>
      <c r="I29" s="262">
        <f>IF(InpOverride!I29="",F_Inputs!I29,InpOverride!I29)</f>
        <v>255.4</v>
      </c>
      <c r="J29" s="262">
        <f>IF(InpOverride!J29="",F_Inputs!J29,InpOverride!J29)</f>
        <v>258.8</v>
      </c>
      <c r="K29" s="262">
        <f>IF(InpOverride!K29="",F_Inputs!K29,InpOverride!K29)</f>
        <v>265.5</v>
      </c>
      <c r="L29" s="262">
        <f>IF(InpOverride!L29="",F_Inputs!L29,InpOverride!L29)</f>
        <v>276</v>
      </c>
      <c r="M29" s="262">
        <f>IF(InpOverride!M29="",F_Inputs!M29,InpOverride!M29)</f>
        <v>283.72000000000003</v>
      </c>
      <c r="N29" s="262">
        <f>IF(InpOverride!N29="",F_Inputs!N29,InpOverride!N29)</f>
        <v>291.65750000000003</v>
      </c>
      <c r="O29" s="262">
        <f>IF(InpOverride!O29="",F_Inputs!O29,InpOverride!O29)</f>
        <v>301.2821975</v>
      </c>
      <c r="P29" s="225"/>
    </row>
    <row r="30" spans="1:16">
      <c r="A30" t="str">
        <f>F_Inputs!$A$4</f>
        <v>TMS</v>
      </c>
      <c r="B30" t="s">
        <v>401</v>
      </c>
      <c r="C30" t="s">
        <v>410</v>
      </c>
      <c r="D30" t="s">
        <v>380</v>
      </c>
      <c r="E30" t="s">
        <v>379</v>
      </c>
      <c r="F30" s="262">
        <f>IF(InpOverride!F30="",F_Inputs!F30,InpOverride!F30)</f>
        <v>239.9</v>
      </c>
      <c r="G30" s="262">
        <f>IF(InpOverride!G30="",F_Inputs!G30,InpOverride!G30)</f>
        <v>247.6</v>
      </c>
      <c r="H30" s="262">
        <f>IF(InpOverride!H30="",F_Inputs!H30,InpOverride!H30)</f>
        <v>254.2</v>
      </c>
      <c r="I30" s="262">
        <f>IF(InpOverride!I30="",F_Inputs!I30,InpOverride!I30)</f>
        <v>256.7</v>
      </c>
      <c r="J30" s="262">
        <f>IF(InpOverride!J30="",F_Inputs!J30,InpOverride!J30)</f>
        <v>260</v>
      </c>
      <c r="K30" s="262">
        <f>IF(InpOverride!K30="",F_Inputs!K30,InpOverride!K30)</f>
        <v>268.39999999999998</v>
      </c>
      <c r="L30" s="262">
        <f>IF(InpOverride!L30="",F_Inputs!L30,InpOverride!L30)</f>
        <v>278.10000000000002</v>
      </c>
      <c r="M30" s="262">
        <f>IF(InpOverride!M30="",F_Inputs!M30,InpOverride!M30)</f>
        <v>285.79250000000002</v>
      </c>
      <c r="N30" s="262">
        <f>IF(InpOverride!N30="",F_Inputs!N30,InpOverride!N30)</f>
        <v>293.91500000000002</v>
      </c>
      <c r="O30" s="262">
        <f>IF(InpOverride!O30="",F_Inputs!O30,InpOverride!O30)</f>
        <v>303.614195</v>
      </c>
      <c r="P30" s="225"/>
    </row>
    <row r="31" spans="1:16">
      <c r="A31" t="str">
        <f>F_Inputs!$A$4</f>
        <v>TMS</v>
      </c>
      <c r="B31" t="s">
        <v>402</v>
      </c>
      <c r="C31" t="s">
        <v>411</v>
      </c>
      <c r="D31" t="s">
        <v>380</v>
      </c>
      <c r="E31" t="s">
        <v>379</v>
      </c>
      <c r="F31" s="262">
        <f>IF(InpOverride!F31="",F_Inputs!F31,InpOverride!F31)</f>
        <v>240.8</v>
      </c>
      <c r="G31" s="262">
        <f>IF(InpOverride!G31="",F_Inputs!G31,InpOverride!G31)</f>
        <v>248.7</v>
      </c>
      <c r="H31" s="262">
        <f>IF(InpOverride!H31="",F_Inputs!H31,InpOverride!H31)</f>
        <v>254.8</v>
      </c>
      <c r="I31" s="262">
        <f>IF(InpOverride!I31="",F_Inputs!I31,InpOverride!I31)</f>
        <v>257.10000000000002</v>
      </c>
      <c r="J31" s="262">
        <f>IF(InpOverride!J31="",F_Inputs!J31,InpOverride!J31)</f>
        <v>261.10000000000002</v>
      </c>
      <c r="K31" s="262">
        <f>IF(InpOverride!K31="",F_Inputs!K31,InpOverride!K31)</f>
        <v>269.3</v>
      </c>
      <c r="L31" s="262">
        <f>IF(InpOverride!L31="",F_Inputs!L31,InpOverride!L31)</f>
        <v>278.3</v>
      </c>
      <c r="M31" s="262">
        <f>IF(InpOverride!M31="",F_Inputs!M31,InpOverride!M31)</f>
        <v>286.45249999999999</v>
      </c>
      <c r="N31" s="262">
        <f>IF(InpOverride!N31="",F_Inputs!N31,InpOverride!N31)</f>
        <v>294.6825</v>
      </c>
      <c r="O31" s="262">
        <f>IF(InpOverride!O31="",F_Inputs!O31,InpOverride!O31)</f>
        <v>304.40702249999998</v>
      </c>
      <c r="P31" s="225"/>
    </row>
    <row r="32" spans="1:16">
      <c r="A32" t="str">
        <f>F_Inputs!$A$4</f>
        <v>TMS</v>
      </c>
      <c r="B32" s="267"/>
      <c r="C32" s="267" t="s">
        <v>163</v>
      </c>
      <c r="D32" s="267" t="s">
        <v>378</v>
      </c>
      <c r="E32" s="267"/>
      <c r="F32" s="268"/>
      <c r="G32" s="268"/>
      <c r="H32" s="268"/>
      <c r="I32" s="268"/>
      <c r="J32" s="262">
        <f>IF(InpOverride!J32="",F_Inputs!J32,InpOverride!J32)</f>
        <v>25.765070896153816</v>
      </c>
      <c r="K32" s="262">
        <f>IF(InpOverride!K32="",F_Inputs!K32,InpOverride!K32)</f>
        <v>19.934718659649711</v>
      </c>
      <c r="L32" s="262">
        <f>IF(InpOverride!L32="",F_Inputs!L32,InpOverride!L32)</f>
        <v>2.8741147557220756</v>
      </c>
      <c r="M32" s="262">
        <f>IF(InpOverride!M32="",F_Inputs!M32,InpOverride!M32)</f>
        <v>7.1477397815730086</v>
      </c>
      <c r="N32" s="262">
        <f>IF(InpOverride!N32="",F_Inputs!N32,InpOverride!N32)</f>
        <v>0.74743186412277396</v>
      </c>
      <c r="O32" s="268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zoomScaleNormal="100" workbookViewId="0">
      <pane xSplit="3" ySplit="2" topLeftCell="D3" activePane="bottomRight" state="frozen"/>
      <selection activeCell="P16" sqref="P16"/>
      <selection pane="topRight" activeCell="P16" sqref="P16"/>
      <selection pane="bottomLeft" activeCell="P16" sqref="P16"/>
      <selection pane="bottomRight"/>
    </sheetView>
  </sheetViews>
  <sheetFormatPr defaultColWidth="8.87890625" defaultRowHeight="14.35"/>
  <cols>
    <col min="1" max="1" width="7.8203125" style="259" customWidth="1"/>
    <col min="2" max="2" width="28.8203125" style="259" customWidth="1"/>
    <col min="3" max="3" width="22.41015625" style="259" customWidth="1"/>
    <col min="4" max="4" width="3.17578125" style="259" customWidth="1"/>
    <col min="5" max="5" width="15.17578125" style="259" customWidth="1"/>
    <col min="6" max="6" width="7.8203125" style="259" bestFit="1" customWidth="1"/>
    <col min="7" max="7" width="14.05859375" style="259" customWidth="1"/>
    <col min="8" max="16384" width="8.87890625" style="259"/>
  </cols>
  <sheetData>
    <row r="1" spans="1:7">
      <c r="C1" s="259" t="s">
        <v>443</v>
      </c>
    </row>
    <row r="2" spans="1:7">
      <c r="A2" s="259" t="s">
        <v>372</v>
      </c>
      <c r="B2" s="259" t="s">
        <v>373</v>
      </c>
      <c r="C2" s="259" t="s">
        <v>374</v>
      </c>
      <c r="D2" s="259" t="s">
        <v>375</v>
      </c>
      <c r="E2" s="259" t="s">
        <v>376</v>
      </c>
      <c r="F2" s="260" t="s">
        <v>366</v>
      </c>
      <c r="G2" s="260" t="s">
        <v>387</v>
      </c>
    </row>
    <row r="4" spans="1:7">
      <c r="B4" s="259" t="s">
        <v>441</v>
      </c>
      <c r="C4" s="91" t="s">
        <v>307</v>
      </c>
      <c r="D4" s="259" t="s">
        <v>378</v>
      </c>
      <c r="E4" s="259" t="s">
        <v>379</v>
      </c>
      <c r="F4" s="273"/>
      <c r="G4" s="273">
        <f>'Totex menu adjustments'!P12</f>
        <v>63.627764072167899</v>
      </c>
    </row>
    <row r="5" spans="1:7">
      <c r="B5" s="259" t="s">
        <v>442</v>
      </c>
      <c r="C5" s="91" t="s">
        <v>310</v>
      </c>
      <c r="D5" s="259" t="s">
        <v>378</v>
      </c>
      <c r="E5" s="259" t="s">
        <v>379</v>
      </c>
      <c r="F5" s="273">
        <f>'Totex menu adjustments'!P19</f>
        <v>-135.44256855634848</v>
      </c>
      <c r="G5" s="273"/>
    </row>
  </sheetData>
  <sheetProtection sort="0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P16" sqref="P16"/>
      <selection pane="topRight" activeCell="P16" sqref="P16"/>
      <selection pane="bottomLeft" activeCell="P16" sqref="P16"/>
      <selection pane="bottomRight"/>
    </sheetView>
  </sheetViews>
  <sheetFormatPr defaultColWidth="0" defaultRowHeight="12.7" zeroHeight="1"/>
  <cols>
    <col min="1" max="3" width="3.05859375" style="30" customWidth="1"/>
    <col min="4" max="4" width="10" style="30" customWidth="1"/>
    <col min="5" max="5" width="45" style="39" customWidth="1"/>
    <col min="6" max="6" width="6" style="30" customWidth="1"/>
    <col min="7" max="7" width="10.05859375" style="30" customWidth="1"/>
    <col min="8" max="8" width="12.05859375" style="30" customWidth="1"/>
    <col min="9" max="16" width="14.52734375" style="30" customWidth="1"/>
    <col min="17" max="21" width="13.52734375" style="30" customWidth="1"/>
    <col min="22" max="22" width="10.52734375" style="45" customWidth="1"/>
    <col min="23" max="24" width="9.05859375" style="30" customWidth="1"/>
    <col min="25" max="25" width="9.05859375" style="30" hidden="1" customWidth="1"/>
    <col min="26" max="27" width="13.05859375" style="30" hidden="1" customWidth="1"/>
    <col min="28" max="16384" width="9.05859375" style="30" hidden="1"/>
  </cols>
  <sheetData>
    <row r="1" spans="1:24" s="2" customFormat="1" ht="33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83">
        <v>4</v>
      </c>
      <c r="M7" s="83">
        <v>3</v>
      </c>
      <c r="N7" s="83">
        <v>2</v>
      </c>
      <c r="O7" s="83">
        <v>1</v>
      </c>
      <c r="P7" s="83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13"/>
      <c r="R8" s="13"/>
      <c r="S8" s="13"/>
      <c r="T8" s="13"/>
      <c r="U8" s="13"/>
      <c r="V8" s="15"/>
      <c r="W8" s="15"/>
      <c r="X8" s="15"/>
    </row>
    <row r="9" spans="1:24" s="22" customFormat="1" ht="13.7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3"/>
      <c r="B11" s="13"/>
      <c r="C11" s="14"/>
      <c r="D11" s="13" t="s">
        <v>6</v>
      </c>
      <c r="E11" s="17" t="s">
        <v>7</v>
      </c>
      <c r="H11" s="23" t="str">
        <f>InpActive!A4</f>
        <v>TMS</v>
      </c>
      <c r="I11" s="150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3"/>
      <c r="B12" s="13"/>
      <c r="C12" s="14"/>
      <c r="D12" s="13" t="s">
        <v>6</v>
      </c>
      <c r="E12" s="17" t="s">
        <v>9</v>
      </c>
      <c r="H12" s="23" t="str">
        <f>IF(InpActive!P4=1,"WoC","WaSC")</f>
        <v>WaSC</v>
      </c>
      <c r="I12" s="150" t="s">
        <v>10</v>
      </c>
      <c r="K12" s="24" t="b">
        <f>CompanyType="WoC"</f>
        <v>0</v>
      </c>
      <c r="M12" s="150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3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50" t="s">
        <v>13</v>
      </c>
      <c r="K13" s="24" t="b">
        <f>CompanyEnhanced="Yes"</f>
        <v>0</v>
      </c>
      <c r="M13" s="150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3"/>
      <c r="B15" s="13"/>
      <c r="C15" s="14"/>
      <c r="D15" s="13" t="s">
        <v>15</v>
      </c>
      <c r="E15" s="17" t="s">
        <v>16</v>
      </c>
      <c r="F15" s="13"/>
      <c r="G15" s="13"/>
      <c r="H15" s="158">
        <f>IF(CompanyName="BRL",3.67%,IF(CompanyEnhanced="Yes",3.7%,3.6%))</f>
        <v>3.6000000000000004E-2</v>
      </c>
      <c r="I15" s="150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7" s="22" customFormat="1" ht="13.7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7" s="3" customFormat="1"/>
    <row r="19" spans="1:27" s="22" customFormat="1" ht="13.7">
      <c r="A19" s="18"/>
      <c r="B19" s="19"/>
      <c r="C19" s="19"/>
      <c r="D19" s="20"/>
      <c r="E19" s="21" t="s">
        <v>19</v>
      </c>
      <c r="F19" s="16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7" s="22" customFormat="1" ht="13.7">
      <c r="A20" s="172"/>
      <c r="B20" s="172"/>
      <c r="C20" s="172"/>
      <c r="D20" s="173"/>
      <c r="E20" s="174"/>
      <c r="F20" s="175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</row>
    <row r="21" spans="1:27" s="3" customFormat="1">
      <c r="E21" s="90" t="s">
        <v>20</v>
      </c>
    </row>
    <row r="22" spans="1:27" s="193" customFormat="1">
      <c r="A22" s="263"/>
      <c r="B22" s="3"/>
      <c r="C22" s="3"/>
      <c r="D22" s="3" t="s">
        <v>21</v>
      </c>
      <c r="E22" s="3" t="s">
        <v>22</v>
      </c>
      <c r="F22" s="3"/>
      <c r="G22" s="3"/>
      <c r="H22" s="226"/>
      <c r="I22" s="89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7" s="193" customFormat="1">
      <c r="A23" s="263"/>
      <c r="B23" s="3"/>
      <c r="C23" s="3"/>
      <c r="D23" s="3" t="s">
        <v>21</v>
      </c>
      <c r="E23" s="3" t="s">
        <v>24</v>
      </c>
      <c r="F23" s="3"/>
      <c r="G23" s="3"/>
      <c r="H23" s="226">
        <f>InpActive!P6</f>
        <v>96.4196886435126</v>
      </c>
      <c r="I23" s="89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s="193" customFormat="1">
      <c r="A24" s="3"/>
      <c r="B24" s="3"/>
      <c r="C24" s="3"/>
      <c r="D24" s="3"/>
      <c r="E24" s="3"/>
      <c r="F24" s="89"/>
      <c r="G24" s="89"/>
      <c r="H24" s="89"/>
      <c r="I24" s="8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s="193" customFormat="1">
      <c r="A25" s="3"/>
      <c r="B25" s="3"/>
      <c r="C25" s="3"/>
      <c r="D25" s="3"/>
      <c r="E25" s="90" t="s">
        <v>26</v>
      </c>
      <c r="F25" s="33"/>
      <c r="G25" s="3"/>
      <c r="H25" s="89"/>
      <c r="I25" s="8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s="193" customFormat="1">
      <c r="A26" s="263"/>
      <c r="B26" s="3"/>
      <c r="C26" s="3"/>
      <c r="D26" s="3" t="s">
        <v>21</v>
      </c>
      <c r="E26" s="3" t="s">
        <v>27</v>
      </c>
      <c r="F26" s="33" t="s">
        <v>28</v>
      </c>
      <c r="G26" s="3"/>
      <c r="H26" s="89"/>
      <c r="I26" s="89"/>
      <c r="J26" s="3"/>
      <c r="K26" s="3"/>
      <c r="L26" s="35"/>
      <c r="M26" s="35"/>
      <c r="N26" s="35"/>
      <c r="O26" s="35"/>
      <c r="P26" s="35"/>
      <c r="Q26" s="59" t="s">
        <v>29</v>
      </c>
      <c r="R26" s="3"/>
      <c r="S26" s="3"/>
      <c r="T26" s="3"/>
      <c r="U26" s="3"/>
      <c r="V26" s="3"/>
      <c r="W26" s="3"/>
      <c r="X26" s="3"/>
    </row>
    <row r="27" spans="1:27" s="193" customFormat="1">
      <c r="A27" s="263"/>
      <c r="B27" s="3"/>
      <c r="C27" s="3"/>
      <c r="D27" s="3" t="s">
        <v>21</v>
      </c>
      <c r="E27" s="3" t="s">
        <v>30</v>
      </c>
      <c r="F27" s="33" t="s">
        <v>28</v>
      </c>
      <c r="G27" s="3"/>
      <c r="H27" s="89"/>
      <c r="I27" s="89"/>
      <c r="J27" s="3"/>
      <c r="K27" s="3"/>
      <c r="L27" s="35">
        <f>InpActive!J5</f>
        <v>0</v>
      </c>
      <c r="M27" s="35">
        <f>InpActive!K5</f>
        <v>0</v>
      </c>
      <c r="N27" s="35">
        <f>InpActive!L5</f>
        <v>0</v>
      </c>
      <c r="O27" s="35">
        <f>InpActive!M5</f>
        <v>0</v>
      </c>
      <c r="P27" s="35">
        <f>InpActive!N5</f>
        <v>0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7" s="193" customFormat="1">
      <c r="A28" s="3"/>
      <c r="B28" s="3"/>
      <c r="C28" s="3"/>
      <c r="D28" s="3"/>
      <c r="E28" s="3"/>
      <c r="F28" s="33"/>
      <c r="G28" s="3"/>
      <c r="H28" s="89"/>
      <c r="I28" s="89"/>
      <c r="J28" s="3"/>
      <c r="K28" s="3"/>
      <c r="L28" s="209"/>
      <c r="M28" s="209"/>
      <c r="N28" s="209"/>
      <c r="O28" s="209"/>
      <c r="P28" s="209"/>
      <c r="Q28" s="59"/>
      <c r="R28" s="3"/>
      <c r="S28" s="3"/>
      <c r="T28" s="3"/>
      <c r="U28" s="3"/>
      <c r="V28" s="3"/>
      <c r="W28" s="3"/>
      <c r="X28" s="3"/>
    </row>
    <row r="29" spans="1:27" s="22" customFormat="1" ht="13.7">
      <c r="A29" s="18"/>
      <c r="B29" s="19"/>
      <c r="C29" s="19"/>
      <c r="D29" s="20"/>
      <c r="E29" s="21" t="s">
        <v>32</v>
      </c>
      <c r="F29" s="16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7" s="22" customFormat="1" ht="12.75" customHeight="1">
      <c r="A30" s="172"/>
      <c r="B30" s="172"/>
      <c r="C30" s="172"/>
      <c r="D30" s="173"/>
      <c r="E30" s="174"/>
      <c r="F30" s="175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</row>
    <row r="31" spans="1:27" s="12" customFormat="1" ht="12" customHeight="1">
      <c r="A31" s="30"/>
      <c r="B31" s="30"/>
      <c r="C31" s="31"/>
      <c r="D31" s="3"/>
      <c r="E31" s="90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  <c r="Y31" s="30"/>
      <c r="Z31" s="30"/>
      <c r="AA31" s="30"/>
    </row>
    <row r="32" spans="1:27" s="12" customFormat="1">
      <c r="A32" s="263"/>
      <c r="B32" s="30"/>
      <c r="C32" s="31"/>
      <c r="D32" s="3" t="s">
        <v>21</v>
      </c>
      <c r="E32" s="3" t="s">
        <v>34</v>
      </c>
      <c r="F32" s="3"/>
      <c r="G32" s="3"/>
      <c r="H32" s="35"/>
      <c r="I32" s="89" t="s">
        <v>35</v>
      </c>
      <c r="J32" s="30"/>
      <c r="K32" s="30"/>
      <c r="R32" s="30"/>
      <c r="S32" s="30"/>
      <c r="T32" s="30"/>
      <c r="U32" s="30"/>
      <c r="V32" s="45"/>
      <c r="W32" s="30"/>
      <c r="X32" s="30"/>
      <c r="Y32" s="30"/>
      <c r="Z32" s="30"/>
      <c r="AA32" s="30"/>
    </row>
    <row r="33" spans="1:27" s="12" customFormat="1">
      <c r="A33" s="263"/>
      <c r="B33" s="30"/>
      <c r="C33" s="31"/>
      <c r="D33" s="3" t="s">
        <v>21</v>
      </c>
      <c r="E33" s="3" t="s">
        <v>36</v>
      </c>
      <c r="F33" s="3"/>
      <c r="G33" s="3"/>
      <c r="H33" s="35">
        <f>InpActive!P7</f>
        <v>96.4</v>
      </c>
      <c r="I33" s="89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  <c r="Y33" s="30"/>
      <c r="Z33" s="30"/>
      <c r="AA33" s="30"/>
    </row>
    <row r="34" spans="1:27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  <c r="Y34" s="30"/>
      <c r="Z34" s="30"/>
      <c r="AA34" s="30"/>
    </row>
    <row r="35" spans="1:27" s="22" customFormat="1" ht="13.7">
      <c r="A35" s="18"/>
      <c r="B35" s="19"/>
      <c r="C35" s="19"/>
      <c r="D35" s="20"/>
      <c r="E35" s="21" t="s">
        <v>38</v>
      </c>
      <c r="F35" s="16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7" s="22" customFormat="1" ht="13.7">
      <c r="A36" s="167"/>
      <c r="B36" s="168"/>
      <c r="C36" s="168"/>
      <c r="D36" s="169"/>
      <c r="E36" s="170"/>
      <c r="F36" s="171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</row>
    <row r="37" spans="1:27" s="22" customFormat="1" ht="13.7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7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  <c r="Y38" s="30"/>
      <c r="Z38" s="30"/>
      <c r="AA38" s="30"/>
    </row>
    <row r="39" spans="1:27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  <c r="Y39" s="30"/>
      <c r="Z39" s="30"/>
      <c r="AA39" s="30"/>
    </row>
    <row r="40" spans="1:27" s="12" customFormat="1">
      <c r="A40" s="263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/>
      <c r="M40" s="35"/>
      <c r="N40" s="35"/>
      <c r="O40" s="35"/>
      <c r="P40" s="35"/>
      <c r="Q40" s="59" t="s">
        <v>43</v>
      </c>
      <c r="R40" s="34"/>
      <c r="S40" s="34"/>
      <c r="T40" s="34"/>
      <c r="U40" s="34"/>
      <c r="V40" s="37"/>
      <c r="W40" s="30"/>
      <c r="X40" s="30"/>
      <c r="Y40" s="30"/>
      <c r="Z40" s="30"/>
      <c r="AA40" s="30"/>
    </row>
    <row r="41" spans="1:27" s="12" customFormat="1">
      <c r="A41" s="263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InpActive!J9</f>
        <v>158.65960828650299</v>
      </c>
      <c r="M41" s="35">
        <f>InpActive!K9</f>
        <v>63.147318184010501</v>
      </c>
      <c r="N41" s="35">
        <f>InpActive!L9</f>
        <v>54.884326768046598</v>
      </c>
      <c r="O41" s="35">
        <f>InpActive!M9</f>
        <v>51.550757859932197</v>
      </c>
      <c r="P41" s="35">
        <f>InpActive!N9</f>
        <v>23.6570717272939</v>
      </c>
      <c r="Q41" s="59" t="s">
        <v>45</v>
      </c>
      <c r="R41" s="28"/>
      <c r="S41" s="28"/>
      <c r="T41" s="28"/>
      <c r="U41" s="28"/>
      <c r="V41" s="37"/>
      <c r="W41" s="30"/>
      <c r="X41" s="30"/>
      <c r="Y41" s="30"/>
      <c r="Z41" s="30"/>
      <c r="AA41" s="30"/>
    </row>
    <row r="42" spans="1:27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  <c r="Y42" s="30"/>
      <c r="Z42" s="30"/>
      <c r="AA42" s="30"/>
    </row>
    <row r="43" spans="1:27" s="198" customFormat="1" ht="15.75" customHeight="1">
      <c r="A43" s="195"/>
      <c r="B43" s="196"/>
      <c r="C43" s="196"/>
      <c r="D43" s="197"/>
      <c r="E43" s="203" t="s">
        <v>46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</row>
    <row r="44" spans="1:27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  <c r="Y44" s="30"/>
      <c r="Z44" s="30"/>
      <c r="AA44" s="30"/>
    </row>
    <row r="45" spans="1:27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  <c r="Y45" s="30"/>
      <c r="Z45" s="30"/>
      <c r="AA45" s="30"/>
    </row>
    <row r="46" spans="1:27" s="207" customFormat="1">
      <c r="A46" s="263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8"/>
      <c r="I46" s="40"/>
      <c r="J46" s="40"/>
      <c r="K46" s="40"/>
      <c r="L46" s="35"/>
      <c r="M46" s="35"/>
      <c r="N46" s="35"/>
      <c r="O46" s="35"/>
      <c r="P46" s="35"/>
      <c r="Q46" s="59" t="s">
        <v>49</v>
      </c>
      <c r="R46" s="48"/>
      <c r="S46" s="48"/>
      <c r="T46" s="48"/>
      <c r="U46" s="25"/>
      <c r="V46" s="41"/>
      <c r="W46" s="32"/>
      <c r="X46" s="30"/>
      <c r="Y46" s="208"/>
      <c r="Z46" s="208"/>
      <c r="AA46" s="208"/>
    </row>
    <row r="47" spans="1:27" s="207" customFormat="1">
      <c r="A47" s="263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8"/>
      <c r="I47" s="40"/>
      <c r="J47" s="40"/>
      <c r="K47" s="40"/>
      <c r="L47" s="35">
        <f>InpActive!J8</f>
        <v>183.00455218924699</v>
      </c>
      <c r="M47" s="35">
        <f>InpActive!K8</f>
        <v>82.516819192595406</v>
      </c>
      <c r="N47" s="35">
        <f>InpActive!L8</f>
        <v>57.267184077716699</v>
      </c>
      <c r="O47" s="35">
        <f>InpActive!M8</f>
        <v>58.2370782320016</v>
      </c>
      <c r="P47" s="35">
        <f>InpActive!N8</f>
        <v>24.192754385000502</v>
      </c>
      <c r="Q47" s="59" t="s">
        <v>51</v>
      </c>
      <c r="R47" s="48"/>
      <c r="S47" s="48"/>
      <c r="T47" s="48"/>
      <c r="U47" s="25"/>
      <c r="V47" s="41"/>
      <c r="W47" s="32"/>
      <c r="X47" s="30"/>
      <c r="Y47" s="208"/>
      <c r="Z47" s="208"/>
      <c r="AA47" s="208"/>
    </row>
    <row r="48" spans="1:27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  <c r="Y48" s="30"/>
      <c r="Z48" s="30"/>
      <c r="AA48" s="30"/>
    </row>
    <row r="49" spans="1:27" s="22" customFormat="1" ht="13.7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7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  <c r="Y50" s="30"/>
      <c r="Z50" s="30"/>
      <c r="AA50" s="30"/>
    </row>
    <row r="51" spans="1:27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  <c r="Y51" s="30"/>
      <c r="Z51" s="30"/>
      <c r="AA51" s="30"/>
    </row>
    <row r="52" spans="1:27" s="12" customFormat="1">
      <c r="A52" s="263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8"/>
      <c r="I52" s="40"/>
      <c r="J52" s="40"/>
      <c r="K52" s="40"/>
      <c r="L52" s="35"/>
      <c r="M52" s="35"/>
      <c r="N52" s="35"/>
      <c r="O52" s="35"/>
      <c r="P52" s="35"/>
      <c r="Q52" s="59" t="s">
        <v>56</v>
      </c>
      <c r="R52" s="48"/>
      <c r="S52" s="48"/>
      <c r="T52" s="48"/>
      <c r="U52" s="25"/>
      <c r="V52" s="41"/>
      <c r="W52" s="30"/>
      <c r="X52" s="30"/>
      <c r="Y52" s="30"/>
      <c r="Z52" s="30"/>
      <c r="AA52" s="30"/>
    </row>
    <row r="53" spans="1:27" s="12" customFormat="1">
      <c r="A53" s="263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8"/>
      <c r="I53" s="40"/>
      <c r="J53" s="40"/>
      <c r="K53" s="40"/>
      <c r="L53" s="35">
        <f>InpActive!J10</f>
        <v>123.60092286</v>
      </c>
      <c r="M53" s="35">
        <f>InpActive!K10</f>
        <v>81.668295520000001</v>
      </c>
      <c r="N53" s="35">
        <f>InpActive!L10</f>
        <v>38.725567699999999</v>
      </c>
      <c r="O53" s="35">
        <f>InpActive!M10</f>
        <v>41.567999999999998</v>
      </c>
      <c r="P53" s="35">
        <f>InpActive!N10</f>
        <v>24.81</v>
      </c>
      <c r="Q53" s="59" t="s">
        <v>58</v>
      </c>
      <c r="R53" s="48"/>
      <c r="S53" s="48"/>
      <c r="T53" s="48"/>
      <c r="U53" s="25"/>
      <c r="V53" s="41"/>
      <c r="W53" s="30"/>
      <c r="X53" s="30"/>
      <c r="Y53" s="30"/>
      <c r="Z53" s="30"/>
      <c r="AA53" s="30"/>
    </row>
    <row r="54" spans="1:27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205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  <c r="Y54" s="29"/>
      <c r="Z54" s="29"/>
      <c r="AA54" s="29"/>
    </row>
    <row r="55" spans="1:27" s="22" customFormat="1" ht="13.7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7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  <c r="Y56" s="30"/>
      <c r="Z56" s="30"/>
      <c r="AA56" s="30"/>
    </row>
    <row r="57" spans="1:27" s="22" customFormat="1" ht="13.7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7" s="22" customFormat="1" ht="13.7">
      <c r="A58" s="172"/>
      <c r="B58" s="172"/>
      <c r="C58" s="172"/>
      <c r="D58" s="173"/>
      <c r="E58" s="174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</row>
    <row r="59" spans="1:27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  <c r="Y59" s="30"/>
      <c r="Z59" s="30"/>
      <c r="AA59" s="30"/>
    </row>
    <row r="60" spans="1:27" s="12" customFormat="1">
      <c r="A60" s="263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/>
      <c r="M60" s="35"/>
      <c r="N60" s="35"/>
      <c r="O60" s="35"/>
      <c r="P60" s="35"/>
      <c r="Q60" s="30"/>
      <c r="R60" s="30"/>
      <c r="S60" s="30"/>
      <c r="T60" s="30"/>
      <c r="U60" s="30"/>
      <c r="V60" s="45"/>
      <c r="W60" s="30"/>
      <c r="X60" s="30"/>
      <c r="Y60" s="30"/>
      <c r="Z60" s="30"/>
      <c r="AA60" s="30"/>
    </row>
    <row r="61" spans="1:27" s="12" customFormat="1">
      <c r="A61" s="263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/>
      <c r="M61" s="35"/>
      <c r="N61" s="35"/>
      <c r="O61" s="35"/>
      <c r="P61" s="35"/>
      <c r="Q61" s="36"/>
      <c r="R61" s="30"/>
      <c r="S61" s="30"/>
      <c r="T61" s="30"/>
      <c r="U61" s="30"/>
      <c r="V61" s="45"/>
      <c r="W61" s="30"/>
      <c r="X61" s="30"/>
      <c r="Y61" s="30"/>
      <c r="Z61" s="30"/>
      <c r="AA61" s="30"/>
    </row>
    <row r="62" spans="1:27" s="12" customFormat="1">
      <c r="A62" s="263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/>
      <c r="M62" s="35"/>
      <c r="N62" s="35"/>
      <c r="O62" s="35"/>
      <c r="P62" s="35"/>
      <c r="Q62" s="36" t="s">
        <v>65</v>
      </c>
      <c r="R62" s="30"/>
      <c r="S62" s="30"/>
      <c r="T62" s="30"/>
      <c r="U62" s="30"/>
      <c r="V62" s="45"/>
      <c r="W62" s="30"/>
      <c r="X62" s="30"/>
      <c r="Y62" s="30"/>
      <c r="Z62" s="30"/>
      <c r="AA62" s="30"/>
    </row>
    <row r="63" spans="1:27" s="12" customFormat="1">
      <c r="A63" s="263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/>
      <c r="M63" s="35"/>
      <c r="N63" s="35"/>
      <c r="O63" s="35"/>
      <c r="P63" s="35"/>
      <c r="Q63" s="30"/>
      <c r="R63" s="30"/>
      <c r="S63" s="30"/>
      <c r="T63" s="30"/>
      <c r="U63" s="30"/>
      <c r="V63" s="45"/>
      <c r="W63" s="30"/>
      <c r="X63" s="30"/>
      <c r="Y63" s="30"/>
      <c r="Z63" s="30"/>
      <c r="AA63" s="30"/>
    </row>
    <row r="64" spans="1:27" s="12" customFormat="1">
      <c r="A64" s="263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7"/>
      <c r="M64" s="227"/>
      <c r="N64" s="227"/>
      <c r="O64" s="227"/>
      <c r="P64" s="227"/>
      <c r="Q64" s="36" t="s">
        <v>68</v>
      </c>
      <c r="R64" s="30"/>
      <c r="S64" s="30"/>
      <c r="T64" s="30"/>
      <c r="U64" s="30"/>
      <c r="V64" s="45"/>
      <c r="W64" s="30"/>
      <c r="X64" s="30"/>
      <c r="Y64" s="30"/>
      <c r="Z64" s="30"/>
      <c r="AA64" s="30"/>
    </row>
    <row r="65" spans="1:27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  <c r="Y65" s="30"/>
      <c r="Z65" s="30"/>
      <c r="AA65" s="30"/>
    </row>
    <row r="66" spans="1:27" s="12" customFormat="1">
      <c r="A66" s="263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InpActive!J11</f>
        <v>0</v>
      </c>
      <c r="M66" s="35">
        <f>InpActive!K11</f>
        <v>0</v>
      </c>
      <c r="N66" s="35">
        <f>InpActive!L11</f>
        <v>0</v>
      </c>
      <c r="O66" s="35">
        <f>InpActive!M11</f>
        <v>0</v>
      </c>
      <c r="P66" s="35">
        <f>InpActive!N11</f>
        <v>0</v>
      </c>
      <c r="Q66" s="30"/>
      <c r="R66" s="30"/>
      <c r="S66" s="30"/>
      <c r="T66" s="30"/>
      <c r="U66" s="30"/>
      <c r="V66" s="45"/>
      <c r="W66" s="30"/>
      <c r="X66" s="30"/>
      <c r="Y66" s="30"/>
      <c r="Z66" s="30"/>
      <c r="AA66" s="30"/>
    </row>
    <row r="67" spans="1:27" s="12" customFormat="1">
      <c r="A67" s="263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InpActive!J12</f>
        <v>0</v>
      </c>
      <c r="M67" s="35">
        <f>InpActive!K12</f>
        <v>0</v>
      </c>
      <c r="N67" s="35">
        <f>InpActive!L12</f>
        <v>0</v>
      </c>
      <c r="O67" s="35">
        <f>InpActive!M12</f>
        <v>0</v>
      </c>
      <c r="P67" s="35">
        <f>InpActive!N12</f>
        <v>0</v>
      </c>
      <c r="Q67" s="30"/>
      <c r="R67" s="30"/>
      <c r="S67" s="30"/>
      <c r="T67" s="30"/>
      <c r="U67" s="30"/>
      <c r="V67" s="45"/>
      <c r="W67" s="30"/>
      <c r="X67" s="30"/>
      <c r="Y67" s="30"/>
      <c r="Z67" s="30"/>
      <c r="AA67" s="30"/>
    </row>
    <row r="68" spans="1:27" s="12" customFormat="1">
      <c r="A68" s="263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InpActive!J14</f>
        <v>0</v>
      </c>
      <c r="M68" s="35">
        <f>InpActive!K14</f>
        <v>0</v>
      </c>
      <c r="N68" s="35">
        <f>InpActive!L14</f>
        <v>0</v>
      </c>
      <c r="O68" s="35">
        <f>InpActive!M14</f>
        <v>0</v>
      </c>
      <c r="P68" s="35">
        <f>InpActive!N14</f>
        <v>0</v>
      </c>
      <c r="Q68" s="36" t="s">
        <v>72</v>
      </c>
      <c r="R68" s="30"/>
      <c r="S68" s="30"/>
      <c r="T68" s="30"/>
      <c r="U68" s="30"/>
      <c r="V68" s="45"/>
      <c r="W68" s="30"/>
      <c r="X68" s="30"/>
      <c r="Y68" s="30"/>
      <c r="Z68" s="30"/>
      <c r="AA68" s="30"/>
    </row>
    <row r="69" spans="1:27" s="12" customFormat="1">
      <c r="A69" s="263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InpActive!J13</f>
        <v>0</v>
      </c>
      <c r="M69" s="35">
        <f>InpActive!K13</f>
        <v>0</v>
      </c>
      <c r="N69" s="35">
        <f>InpActive!L13</f>
        <v>0</v>
      </c>
      <c r="O69" s="35">
        <f>InpActive!M13</f>
        <v>0</v>
      </c>
      <c r="P69" s="35">
        <f>InpActive!N13</f>
        <v>0</v>
      </c>
      <c r="Q69" s="30"/>
      <c r="R69" s="30"/>
      <c r="S69" s="30"/>
      <c r="T69" s="30"/>
      <c r="U69" s="30"/>
      <c r="V69" s="45"/>
      <c r="W69" s="30"/>
      <c r="X69" s="30"/>
      <c r="Y69" s="30"/>
      <c r="Z69" s="30"/>
      <c r="AA69" s="30"/>
    </row>
    <row r="70" spans="1:27" s="12" customFormat="1">
      <c r="A70" s="263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7">
        <f>InpActive!J17</f>
        <v>0</v>
      </c>
      <c r="M70" s="227">
        <f>InpActive!K17</f>
        <v>0</v>
      </c>
      <c r="N70" s="227">
        <f>InpActive!L17</f>
        <v>0</v>
      </c>
      <c r="O70" s="227">
        <f>InpActive!M17</f>
        <v>0</v>
      </c>
      <c r="P70" s="227">
        <f>InpActive!N17</f>
        <v>0</v>
      </c>
      <c r="Q70" s="36" t="s">
        <v>75</v>
      </c>
      <c r="R70" s="30"/>
      <c r="S70" s="30"/>
      <c r="T70" s="30"/>
      <c r="U70" s="30"/>
      <c r="V70" s="45"/>
      <c r="W70" s="30"/>
      <c r="X70" s="30"/>
      <c r="Y70" s="30"/>
      <c r="Z70" s="30"/>
      <c r="AA70" s="30"/>
    </row>
    <row r="71" spans="1:27" s="12" customFormat="1">
      <c r="A71" s="263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7">
        <f>InpActive!J18</f>
        <v>0</v>
      </c>
      <c r="M71" s="227">
        <f>InpActive!K18</f>
        <v>0</v>
      </c>
      <c r="N71" s="227">
        <f>InpActive!L18</f>
        <v>0</v>
      </c>
      <c r="O71" s="227">
        <f>InpActive!M18</f>
        <v>0</v>
      </c>
      <c r="P71" s="227">
        <f>InpActive!N18</f>
        <v>0</v>
      </c>
      <c r="Q71" s="36" t="s">
        <v>77</v>
      </c>
      <c r="R71" s="30"/>
      <c r="S71" s="30"/>
      <c r="T71" s="30"/>
      <c r="U71" s="30"/>
      <c r="V71" s="45"/>
      <c r="W71" s="30"/>
      <c r="X71" s="30"/>
      <c r="Y71" s="30"/>
      <c r="Z71" s="30"/>
      <c r="AA71" s="30"/>
    </row>
    <row r="72" spans="1:27" s="12" customFormat="1">
      <c r="A72" s="263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7">
        <f>InpActive!J19</f>
        <v>23.6</v>
      </c>
      <c r="M72" s="227">
        <f>InpActive!K19</f>
        <v>34.299999999999997</v>
      </c>
      <c r="N72" s="227">
        <f>InpActive!L19</f>
        <v>-2</v>
      </c>
      <c r="O72" s="227">
        <f>InpActive!M19</f>
        <v>-9.8000000000000007</v>
      </c>
      <c r="P72" s="227">
        <f>InpActive!N19</f>
        <v>5</v>
      </c>
      <c r="Q72" s="36" t="s">
        <v>79</v>
      </c>
      <c r="R72" s="30"/>
      <c r="S72" s="30"/>
      <c r="T72" s="30"/>
      <c r="U72" s="30"/>
      <c r="V72" s="45"/>
      <c r="W72" s="30"/>
      <c r="X72" s="30"/>
      <c r="Y72" s="30"/>
      <c r="Z72" s="30"/>
      <c r="AA72" s="30"/>
    </row>
    <row r="73" spans="1:27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  <c r="Y73" s="30"/>
      <c r="Z73" s="30"/>
      <c r="AA73" s="30"/>
    </row>
    <row r="74" spans="1:27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  <c r="Y74" s="30"/>
      <c r="Z74" s="30"/>
      <c r="AA74" s="30"/>
    </row>
    <row r="75" spans="1:27" s="191" customFormat="1">
      <c r="A75" s="263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/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  <c r="Y75" s="189"/>
      <c r="Z75" s="189"/>
      <c r="AA75" s="189"/>
    </row>
    <row r="76" spans="1:27" s="12" customFormat="1">
      <c r="A76" s="263"/>
      <c r="B76" s="30"/>
      <c r="C76" s="31"/>
      <c r="D76" s="30"/>
      <c r="E76" s="216"/>
      <c r="F76" s="217"/>
      <c r="G76" s="189"/>
      <c r="H76" s="189"/>
      <c r="I76" s="189"/>
      <c r="J76" s="189"/>
      <c r="K76" s="221"/>
      <c r="L76" s="218"/>
      <c r="M76" s="218"/>
      <c r="N76" s="218"/>
      <c r="O76" s="218"/>
      <c r="P76" s="218"/>
      <c r="Q76" s="36"/>
      <c r="R76" s="30"/>
      <c r="S76" s="30"/>
      <c r="T76" s="30"/>
      <c r="U76" s="30"/>
      <c r="V76" s="45"/>
      <c r="W76" s="30"/>
      <c r="X76" s="30"/>
      <c r="Y76" s="30"/>
      <c r="Z76" s="30"/>
      <c r="AA76" s="30"/>
    </row>
    <row r="77" spans="1:27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  <c r="Y77" s="30"/>
      <c r="Z77" s="30"/>
      <c r="AA77" s="30"/>
    </row>
    <row r="78" spans="1:27" s="191" customFormat="1">
      <c r="A78" s="263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InpActive!I15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  <c r="Y78" s="189"/>
      <c r="Z78" s="189"/>
      <c r="AA78" s="189"/>
    </row>
    <row r="79" spans="1:27" s="12" customFormat="1">
      <c r="A79" s="263"/>
      <c r="B79" s="30"/>
      <c r="C79" s="31"/>
      <c r="D79" s="30"/>
      <c r="E79" s="216"/>
      <c r="F79" s="217"/>
      <c r="G79" s="189"/>
      <c r="H79" s="189"/>
      <c r="I79" s="189"/>
      <c r="J79" s="189"/>
      <c r="K79" s="221"/>
      <c r="L79" s="218"/>
      <c r="M79" s="218"/>
      <c r="N79" s="218"/>
      <c r="O79" s="218"/>
      <c r="P79" s="218"/>
      <c r="Q79" s="36"/>
      <c r="R79" s="30"/>
      <c r="S79" s="30"/>
      <c r="T79" s="30"/>
      <c r="U79" s="30"/>
      <c r="V79" s="45"/>
      <c r="W79" s="30"/>
      <c r="X79" s="30"/>
      <c r="Y79" s="30"/>
      <c r="Z79" s="30"/>
      <c r="AA79" s="30"/>
    </row>
    <row r="80" spans="1:27" customFormat="1" ht="14.35"/>
    <row r="81" spans="1:24" s="22" customFormat="1" ht="13.7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3.7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9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94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94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3.7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7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  <c r="Y113" s="30"/>
      <c r="Z113" s="30"/>
      <c r="AA113" s="30"/>
    </row>
    <row r="114" spans="1:27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  <c r="Y114" s="30"/>
      <c r="Z114" s="30"/>
      <c r="AA114" s="30"/>
    </row>
    <row r="115" spans="1:27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  <c r="Y115" s="30"/>
      <c r="Z115" s="30"/>
      <c r="AA115" s="30"/>
    </row>
    <row r="116" spans="1:27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  <c r="Y116" s="30"/>
      <c r="Z116" s="30"/>
      <c r="AA116" s="30"/>
    </row>
    <row r="117" spans="1:27" s="207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  <c r="Y117" s="208"/>
      <c r="Z117" s="208"/>
      <c r="AA117" s="208"/>
    </row>
    <row r="118" spans="1:27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  <c r="Y118" s="30"/>
      <c r="Z118" s="30"/>
      <c r="AA118" s="30"/>
    </row>
    <row r="119" spans="1:27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  <c r="Y119" s="30"/>
      <c r="Z119" s="30"/>
      <c r="AA119" s="30"/>
    </row>
    <row r="120" spans="1:27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  <c r="Y120" s="30"/>
      <c r="Z120" s="30"/>
      <c r="AA120" s="30"/>
    </row>
    <row r="121" spans="1:27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  <c r="Y121" s="30"/>
      <c r="Z121" s="30"/>
      <c r="AA121" s="30"/>
    </row>
    <row r="122" spans="1:27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  <c r="Y122" s="30"/>
      <c r="Z122" s="30"/>
      <c r="AA122" s="30"/>
    </row>
    <row r="123" spans="1:27" s="22" customFormat="1" ht="13.7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7"/>
    <row r="125" spans="1:27">
      <c r="D125" s="30" t="s">
        <v>15</v>
      </c>
      <c r="E125" s="39" t="s">
        <v>142</v>
      </c>
      <c r="F125" s="33"/>
      <c r="L125" s="179"/>
      <c r="M125" s="179"/>
      <c r="N125" s="179"/>
      <c r="O125" s="179"/>
      <c r="P125" s="179"/>
      <c r="Q125" s="61" t="s">
        <v>143</v>
      </c>
    </row>
    <row r="126" spans="1:27">
      <c r="D126" s="30" t="s">
        <v>15</v>
      </c>
      <c r="E126" s="39" t="s">
        <v>144</v>
      </c>
      <c r="F126" s="33"/>
      <c r="L126" s="179">
        <f>InpActive!J16</f>
        <v>0</v>
      </c>
      <c r="M126" s="179">
        <f>InpActive!K16</f>
        <v>0</v>
      </c>
      <c r="N126" s="179">
        <f>InpActive!L16</f>
        <v>0</v>
      </c>
      <c r="O126" s="179">
        <f>InpActive!M16</f>
        <v>0</v>
      </c>
      <c r="P126" s="179">
        <f>InpActive!N16</f>
        <v>0</v>
      </c>
      <c r="Q126" s="61" t="s">
        <v>145</v>
      </c>
    </row>
    <row r="127" spans="1:27"/>
    <row r="128" spans="1:27" s="22" customFormat="1" ht="13.7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9"/>
    </row>
    <row r="131" spans="1:24">
      <c r="D131" s="3" t="s">
        <v>126</v>
      </c>
      <c r="E131" s="39" t="s">
        <v>149</v>
      </c>
      <c r="H131" s="60">
        <f>EffInc.Coeff.Water</f>
        <v>0.54</v>
      </c>
    </row>
    <row r="132" spans="1:24" ht="12" customHeight="1">
      <c r="D132" s="30" t="s">
        <v>147</v>
      </c>
      <c r="E132" s="39" t="s">
        <v>150</v>
      </c>
      <c r="H132" s="164">
        <f>AllExp.Coeff.Water/100</f>
        <v>0.95</v>
      </c>
    </row>
    <row r="133" spans="1:24" ht="14.35">
      <c r="E133" s="177"/>
      <c r="F133"/>
    </row>
    <row r="134" spans="1:24">
      <c r="D134" s="3" t="s">
        <v>21</v>
      </c>
      <c r="E134" s="39" t="s">
        <v>151</v>
      </c>
      <c r="F134" s="33" t="s">
        <v>28</v>
      </c>
      <c r="L134" s="165"/>
      <c r="M134" s="165"/>
      <c r="N134" s="166"/>
      <c r="O134" s="166"/>
      <c r="P134" s="166"/>
      <c r="V134" s="30"/>
    </row>
    <row r="135" spans="1:24">
      <c r="D135" s="3" t="s">
        <v>21</v>
      </c>
      <c r="E135" s="39" t="s">
        <v>151</v>
      </c>
      <c r="F135" s="33" t="s">
        <v>152</v>
      </c>
      <c r="L135" s="165"/>
      <c r="M135" s="165"/>
      <c r="N135" s="176">
        <f>N134*Indexation.Average</f>
        <v>0</v>
      </c>
      <c r="O135" s="176">
        <f>O134*Indexation.Average</f>
        <v>0</v>
      </c>
      <c r="P135" s="176">
        <f>P134*Indexation.Average</f>
        <v>0</v>
      </c>
      <c r="V135" s="30"/>
    </row>
    <row r="136" spans="1:24" customFormat="1" ht="14.35"/>
    <row r="137" spans="1:24">
      <c r="D137" s="3" t="s">
        <v>21</v>
      </c>
      <c r="E137" s="39" t="s">
        <v>153</v>
      </c>
      <c r="F137" s="33" t="s">
        <v>152</v>
      </c>
      <c r="L137" s="165"/>
      <c r="M137" s="165"/>
      <c r="N137" s="166"/>
      <c r="O137" s="166"/>
      <c r="P137" s="166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65"/>
      <c r="M140" s="165"/>
      <c r="N140" s="88">
        <f>($H130-$H131)*(N137-(N135*$H132))</f>
        <v>0</v>
      </c>
      <c r="O140" s="88">
        <f t="shared" ref="O140:P140" si="3">($H130-$H131)*(O137-(O135*$H132))</f>
        <v>0</v>
      </c>
      <c r="P140" s="88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3.7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8">
        <v>0.75</v>
      </c>
      <c r="Q144" s="61"/>
      <c r="V144" s="30"/>
    </row>
    <row r="145" spans="1:27">
      <c r="D145" s="3"/>
      <c r="F145" s="33"/>
      <c r="Q145" s="61"/>
      <c r="V145" s="30"/>
    </row>
    <row r="146" spans="1:27">
      <c r="D146" s="3" t="s">
        <v>21</v>
      </c>
      <c r="E146" s="186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7" ht="13.5" customHeight="1">
      <c r="D147" s="3" t="s">
        <v>21</v>
      </c>
      <c r="E147" s="187" t="s">
        <v>160</v>
      </c>
      <c r="F147" s="33" t="s">
        <v>152</v>
      </c>
      <c r="L147" s="88">
        <f>L146*$H144</f>
        <v>0</v>
      </c>
      <c r="M147" s="88">
        <f t="shared" ref="M147:P147" si="4">M146*$H144</f>
        <v>0</v>
      </c>
      <c r="N147" s="88">
        <f t="shared" si="4"/>
        <v>0</v>
      </c>
      <c r="O147" s="88">
        <f t="shared" si="4"/>
        <v>0</v>
      </c>
      <c r="P147" s="88">
        <f t="shared" si="4"/>
        <v>0</v>
      </c>
      <c r="Q147" s="61" t="s">
        <v>161</v>
      </c>
      <c r="V147" s="30"/>
    </row>
    <row r="148" spans="1:27">
      <c r="E148" s="30"/>
      <c r="F148" s="33"/>
      <c r="Q148" s="61"/>
      <c r="V148" s="30"/>
    </row>
    <row r="149" spans="1:27" s="22" customFormat="1" ht="13.7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7">
      <c r="D150" s="3"/>
      <c r="F150" s="33"/>
      <c r="Q150" s="61"/>
      <c r="V150" s="30"/>
    </row>
    <row r="151" spans="1:27">
      <c r="D151" s="3" t="s">
        <v>21</v>
      </c>
      <c r="E151" s="186" t="s">
        <v>163</v>
      </c>
      <c r="F151" s="33" t="s">
        <v>28</v>
      </c>
      <c r="L151" s="35">
        <f>InpActive!J32</f>
        <v>25.765070896153816</v>
      </c>
      <c r="M151" s="35">
        <f>InpActive!K32</f>
        <v>19.934718659649711</v>
      </c>
      <c r="N151" s="35">
        <f>InpActive!L32</f>
        <v>2.8741147557220756</v>
      </c>
      <c r="O151" s="35">
        <f>InpActive!M32</f>
        <v>7.1477397815730086</v>
      </c>
      <c r="P151" s="35">
        <f>InpActive!N32</f>
        <v>0.74743186412277396</v>
      </c>
      <c r="Q151" s="61"/>
      <c r="V151" s="30"/>
    </row>
    <row r="152" spans="1:27" ht="13" thickBot="1">
      <c r="E152" s="30"/>
      <c r="F152" s="33"/>
      <c r="Q152" s="61"/>
      <c r="V152" s="30"/>
    </row>
    <row r="153" spans="1:27" ht="13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  <c r="Y153" s="66"/>
      <c r="Z153" s="66"/>
      <c r="AA153" s="66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5:22" hidden="1"/>
    <row r="162" spans="5:22" hidden="1"/>
    <row r="163" spans="5:22" hidden="1"/>
    <row r="164" spans="5:22" s="189" customFormat="1" hidden="1">
      <c r="E164" s="202"/>
      <c r="V164" s="190"/>
    </row>
    <row r="165" spans="5:22" s="189" customFormat="1" hidden="1">
      <c r="E165" s="202"/>
      <c r="V165" s="19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J8" activePane="bottomRight" state="frozen"/>
      <selection activeCell="P16" sqref="P16"/>
      <selection pane="topRight" activeCell="P16" sqref="P16"/>
      <selection pane="bottomLeft" activeCell="P16" sqref="P16"/>
      <selection pane="bottomRight"/>
    </sheetView>
  </sheetViews>
  <sheetFormatPr defaultColWidth="0" defaultRowHeight="12.7" zeroHeight="1"/>
  <cols>
    <col min="1" max="3" width="2.52734375" style="3" customWidth="1"/>
    <col min="4" max="4" width="9.3515625" style="3" bestFit="1" customWidth="1"/>
    <col min="5" max="5" width="49.703125" style="91" customWidth="1"/>
    <col min="6" max="6" width="20.3515625" style="91" customWidth="1"/>
    <col min="7" max="7" width="14.52734375" style="91" customWidth="1"/>
    <col min="8" max="8" width="14.3515625" style="3" customWidth="1"/>
    <col min="9" max="9" width="11.3515625" style="3" customWidth="1"/>
    <col min="10" max="10" width="11.52734375" style="3" customWidth="1"/>
    <col min="11" max="17" width="11.05859375" style="3" customWidth="1"/>
    <col min="18" max="20" width="11.52734375" style="3" customWidth="1"/>
    <col min="21" max="21" width="9.52734375" style="3" customWidth="1"/>
    <col min="22" max="22" width="3.52734375" style="3" customWidth="1"/>
    <col min="23" max="23" width="106.05859375" style="3" bestFit="1" customWidth="1"/>
    <col min="24" max="24" width="3.52734375" style="74" customWidth="1"/>
    <col min="25" max="25" width="13.52734375" style="3" hidden="1" customWidth="1"/>
    <col min="26" max="38" width="9.05859375" style="3" hidden="1" customWidth="1"/>
    <col min="39" max="39" width="10.05859375" style="3" hidden="1" customWidth="1"/>
    <col min="40" max="16384" width="9.05859375" style="3" hidden="1"/>
  </cols>
  <sheetData>
    <row r="1" spans="1:29" s="2" customFormat="1" ht="33">
      <c r="A1" s="1"/>
      <c r="B1" s="1"/>
      <c r="C1" s="1"/>
      <c r="D1" s="181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228"/>
      <c r="B2" s="229"/>
      <c r="C2" s="230"/>
      <c r="D2" s="231"/>
      <c r="E2" s="232"/>
      <c r="F2" s="232"/>
      <c r="G2" s="232"/>
      <c r="H2" s="233"/>
      <c r="I2" s="234"/>
      <c r="J2" s="234"/>
      <c r="K2" s="234"/>
      <c r="L2" s="234"/>
      <c r="M2" s="234"/>
      <c r="N2" s="234"/>
      <c r="O2" s="234"/>
      <c r="P2" s="234"/>
      <c r="Q2" s="234"/>
      <c r="R2" s="235"/>
      <c r="S2" s="235"/>
      <c r="T2" s="235"/>
      <c r="U2" s="234"/>
      <c r="V2" s="234"/>
      <c r="W2" s="234"/>
      <c r="X2" s="236"/>
      <c r="Y2" s="69"/>
      <c r="Z2" s="69"/>
      <c r="AA2" s="69"/>
      <c r="AB2" s="69"/>
      <c r="AC2" s="69"/>
    </row>
    <row r="3" spans="1:29" ht="12.75" customHeight="1">
      <c r="A3" s="237"/>
      <c r="B3" s="238"/>
      <c r="C3" s="239"/>
      <c r="D3" s="240" t="s">
        <v>1</v>
      </c>
      <c r="E3" s="241" t="s">
        <v>1</v>
      </c>
      <c r="F3" s="242"/>
      <c r="G3" s="242"/>
      <c r="H3" s="235"/>
      <c r="I3" s="243" t="str">
        <f t="shared" ref="I3:U3" si="0">AMP.Years</f>
        <v>2012-13</v>
      </c>
      <c r="J3" s="243" t="str">
        <f t="shared" si="0"/>
        <v>2013-14</v>
      </c>
      <c r="K3" s="243" t="str">
        <f t="shared" si="0"/>
        <v>2014-15</v>
      </c>
      <c r="L3" s="244" t="str">
        <f t="shared" si="0"/>
        <v>2015-16</v>
      </c>
      <c r="M3" s="244" t="str">
        <f t="shared" si="0"/>
        <v>2016-17</v>
      </c>
      <c r="N3" s="244" t="str">
        <f t="shared" si="0"/>
        <v>2017-18</v>
      </c>
      <c r="O3" s="244" t="str">
        <f t="shared" si="0"/>
        <v>2018-19</v>
      </c>
      <c r="P3" s="244" t="str">
        <f t="shared" si="0"/>
        <v>2019-20</v>
      </c>
      <c r="Q3" s="243" t="str">
        <f t="shared" si="0"/>
        <v>2020-21</v>
      </c>
      <c r="R3" s="243" t="str">
        <f t="shared" si="0"/>
        <v>2021-22</v>
      </c>
      <c r="S3" s="243" t="str">
        <f t="shared" si="0"/>
        <v>2022-23</v>
      </c>
      <c r="T3" s="243" t="str">
        <f t="shared" si="0"/>
        <v>2023-24</v>
      </c>
      <c r="U3" s="243" t="str">
        <f t="shared" si="0"/>
        <v>2024-25</v>
      </c>
      <c r="V3" s="245"/>
      <c r="W3" s="245"/>
      <c r="X3" s="245"/>
      <c r="Y3" s="69"/>
      <c r="Z3" s="69"/>
      <c r="AA3" s="70"/>
      <c r="AB3" s="71"/>
      <c r="AC3" s="71"/>
    </row>
    <row r="4" spans="1:29">
      <c r="A4" s="246"/>
      <c r="B4" s="247"/>
      <c r="C4" s="248"/>
      <c r="D4" s="249"/>
      <c r="E4" s="241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50"/>
      <c r="W4" s="250"/>
      <c r="X4" s="251"/>
      <c r="Y4" s="72"/>
      <c r="Z4" s="72"/>
      <c r="AA4" s="70"/>
      <c r="AB4" s="71"/>
      <c r="AC4" s="71"/>
    </row>
    <row r="5" spans="1:29">
      <c r="A5" s="252"/>
      <c r="B5" s="247"/>
      <c r="C5" s="253"/>
      <c r="D5" s="249" t="s">
        <v>94</v>
      </c>
      <c r="E5" s="241" t="s">
        <v>2</v>
      </c>
      <c r="F5" s="254"/>
      <c r="G5" s="254"/>
      <c r="H5" s="235"/>
      <c r="I5" s="254">
        <f t="shared" ref="I5:U5" si="1">Calendar.Years</f>
        <v>2012</v>
      </c>
      <c r="J5" s="254">
        <f t="shared" si="1"/>
        <v>2013</v>
      </c>
      <c r="K5" s="254">
        <f t="shared" si="1"/>
        <v>2014</v>
      </c>
      <c r="L5" s="254">
        <f t="shared" si="1"/>
        <v>2015</v>
      </c>
      <c r="M5" s="254">
        <f t="shared" si="1"/>
        <v>2016</v>
      </c>
      <c r="N5" s="254">
        <f t="shared" si="1"/>
        <v>2017</v>
      </c>
      <c r="O5" s="254">
        <f t="shared" si="1"/>
        <v>2018</v>
      </c>
      <c r="P5" s="254">
        <f t="shared" si="1"/>
        <v>2019</v>
      </c>
      <c r="Q5" s="254">
        <f t="shared" si="1"/>
        <v>2020</v>
      </c>
      <c r="R5" s="254">
        <f t="shared" si="1"/>
        <v>2021</v>
      </c>
      <c r="S5" s="254">
        <f t="shared" si="1"/>
        <v>2022</v>
      </c>
      <c r="T5" s="254">
        <f t="shared" si="1"/>
        <v>2023</v>
      </c>
      <c r="U5" s="254">
        <f t="shared" si="1"/>
        <v>2024</v>
      </c>
      <c r="V5" s="247"/>
      <c r="W5" s="247"/>
      <c r="X5" s="251"/>
      <c r="Y5" s="72"/>
      <c r="Z5" s="72"/>
      <c r="AA5" s="73"/>
      <c r="AB5" s="71"/>
      <c r="AC5" s="71"/>
    </row>
    <row r="6" spans="1:29" ht="12.75" customHeight="1">
      <c r="A6" s="235"/>
      <c r="B6" s="235"/>
      <c r="C6" s="235"/>
      <c r="D6" s="235"/>
      <c r="E6" s="241" t="s">
        <v>3</v>
      </c>
      <c r="F6" s="254"/>
      <c r="G6" s="254"/>
      <c r="H6" s="235"/>
      <c r="I6" s="255">
        <v>-2</v>
      </c>
      <c r="J6" s="255">
        <v>-1</v>
      </c>
      <c r="K6" s="255">
        <v>0</v>
      </c>
      <c r="L6" s="255">
        <v>1</v>
      </c>
      <c r="M6" s="255">
        <v>2</v>
      </c>
      <c r="N6" s="255">
        <v>3</v>
      </c>
      <c r="O6" s="255">
        <v>4</v>
      </c>
      <c r="P6" s="255">
        <v>5</v>
      </c>
      <c r="Q6" s="255">
        <v>6</v>
      </c>
      <c r="R6" s="255">
        <v>7</v>
      </c>
      <c r="S6" s="255">
        <v>8</v>
      </c>
      <c r="T6" s="255">
        <v>9</v>
      </c>
      <c r="U6" s="255">
        <v>10</v>
      </c>
      <c r="V6" s="235"/>
      <c r="W6" s="256" t="s">
        <v>166</v>
      </c>
      <c r="X6" s="257"/>
    </row>
    <row r="7" spans="1:29" ht="12.75" customHeight="1">
      <c r="A7" s="235"/>
      <c r="B7" s="235"/>
      <c r="C7" s="235"/>
      <c r="D7" s="235"/>
      <c r="E7" s="235" t="s">
        <v>4</v>
      </c>
      <c r="F7" s="235"/>
      <c r="G7" s="235"/>
      <c r="H7" s="235"/>
      <c r="I7" s="235"/>
      <c r="J7" s="235"/>
      <c r="K7" s="235"/>
      <c r="L7" s="258">
        <v>4</v>
      </c>
      <c r="M7" s="258">
        <v>3</v>
      </c>
      <c r="N7" s="258">
        <v>2</v>
      </c>
      <c r="O7" s="258">
        <v>1</v>
      </c>
      <c r="P7" s="258">
        <v>0</v>
      </c>
      <c r="Q7" s="235"/>
      <c r="R7" s="235"/>
      <c r="S7" s="235"/>
      <c r="T7" s="235"/>
      <c r="U7" s="235"/>
      <c r="V7" s="235"/>
      <c r="W7" s="235"/>
      <c r="X7" s="235"/>
    </row>
    <row r="8" spans="1:29" ht="12.75" customHeight="1">
      <c r="E8" s="3"/>
      <c r="F8" s="3"/>
      <c r="G8" s="3"/>
      <c r="L8" s="83"/>
      <c r="M8" s="83"/>
      <c r="N8" s="83"/>
      <c r="O8" s="83"/>
      <c r="P8" s="83"/>
      <c r="X8" s="3"/>
    </row>
    <row r="9" spans="1:29" s="22" customFormat="1" ht="13.7">
      <c r="A9" s="19"/>
      <c r="B9" s="19"/>
      <c r="C9" s="19"/>
      <c r="D9" s="182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9" s="75" customFormat="1">
      <c r="Q10" s="3"/>
      <c r="R10" s="3"/>
      <c r="S10" s="3"/>
      <c r="T10" s="3"/>
      <c r="X10" s="76"/>
    </row>
    <row r="11" spans="1:29" s="22" customFormat="1" ht="13.7">
      <c r="A11" s="19"/>
      <c r="B11" s="19"/>
      <c r="C11" s="19"/>
      <c r="D11" s="182"/>
      <c r="E11" s="21" t="s">
        <v>168</v>
      </c>
      <c r="F11" s="16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9" s="75" customFormat="1">
      <c r="D12" s="12"/>
      <c r="E12" s="12"/>
      <c r="F12" s="77"/>
      <c r="G12" s="77"/>
      <c r="I12" s="79"/>
      <c r="J12" s="79"/>
      <c r="K12" s="79"/>
      <c r="L12" s="79"/>
      <c r="M12" s="79"/>
      <c r="N12" s="79"/>
      <c r="O12" s="79"/>
      <c r="P12" s="79"/>
      <c r="Q12" s="3"/>
      <c r="R12" s="3"/>
      <c r="S12" s="3"/>
      <c r="T12" s="3"/>
      <c r="X12" s="76"/>
    </row>
    <row r="13" spans="1:29" s="75" customFormat="1">
      <c r="D13" s="30"/>
      <c r="E13" s="78" t="s">
        <v>53</v>
      </c>
      <c r="F13" s="77"/>
      <c r="G13" s="77"/>
      <c r="I13" s="79"/>
      <c r="J13" s="79"/>
      <c r="K13" s="79"/>
      <c r="L13" s="79"/>
      <c r="M13" s="79"/>
      <c r="N13" s="79"/>
      <c r="O13" s="79"/>
      <c r="P13" s="79"/>
      <c r="Q13" s="3"/>
      <c r="R13" s="3"/>
      <c r="S13" s="3"/>
      <c r="T13" s="3"/>
      <c r="X13" s="76"/>
    </row>
    <row r="14" spans="1:29" s="75" customFormat="1">
      <c r="D14" s="30" t="s">
        <v>41</v>
      </c>
      <c r="E14" s="32" t="s">
        <v>169</v>
      </c>
      <c r="F14" s="33" t="s">
        <v>28</v>
      </c>
      <c r="G14" s="77"/>
      <c r="I14" s="79"/>
      <c r="J14" s="79"/>
      <c r="K14" s="79"/>
      <c r="L14" s="50">
        <f>Actual.Totex.Water/Indexation.Average</f>
        <v>0</v>
      </c>
      <c r="M14" s="50">
        <f>Actual.Totex.Water/Indexation.Average</f>
        <v>0</v>
      </c>
      <c r="N14" s="50">
        <f>Actual.Totex.Water/Indexation.Average</f>
        <v>0</v>
      </c>
      <c r="O14" s="50">
        <f>Actual.Totex.Water/Indexation.Average</f>
        <v>0</v>
      </c>
      <c r="P14" s="50">
        <f>Actual.Totex.Water/Indexation.Average</f>
        <v>0</v>
      </c>
      <c r="Q14" s="3"/>
      <c r="R14" s="3"/>
      <c r="S14" s="3"/>
      <c r="T14" s="3"/>
      <c r="X14" s="76"/>
    </row>
    <row r="15" spans="1:29" s="75" customFormat="1">
      <c r="D15" s="30" t="s">
        <v>41</v>
      </c>
      <c r="E15" s="32" t="s">
        <v>170</v>
      </c>
      <c r="F15" s="33" t="s">
        <v>28</v>
      </c>
      <c r="G15" s="77"/>
      <c r="I15" s="79"/>
      <c r="J15" s="79"/>
      <c r="K15" s="79"/>
      <c r="L15" s="50">
        <f>Actual.Totex.Sewerage/Indexation.Average</f>
        <v>116.56966131608824</v>
      </c>
      <c r="M15" s="50">
        <f>Actual.Totex.Sewerage/Indexation.Average</f>
        <v>75.406862629727954</v>
      </c>
      <c r="N15" s="50">
        <f>Actual.Totex.Sewerage/Indexation.Average</f>
        <v>34.466682628745943</v>
      </c>
      <c r="O15" s="50">
        <f>Actual.Totex.Sewerage/Indexation.Average</f>
        <v>35.862264916862244</v>
      </c>
      <c r="P15" s="50">
        <f>Actual.Totex.Sewerage/Indexation.Average</f>
        <v>20.838609331720853</v>
      </c>
      <c r="Q15" s="3"/>
      <c r="R15" s="3"/>
      <c r="S15" s="3"/>
      <c r="T15" s="3"/>
      <c r="X15" s="76"/>
    </row>
    <row r="16" spans="1:29" s="75" customFormat="1">
      <c r="D16" s="30"/>
      <c r="E16" s="32"/>
      <c r="F16" s="33"/>
      <c r="G16" s="77"/>
      <c r="I16" s="79"/>
      <c r="J16" s="79"/>
      <c r="K16" s="79"/>
      <c r="L16" s="50"/>
      <c r="M16" s="50"/>
      <c r="N16" s="50"/>
      <c r="O16" s="50"/>
      <c r="P16" s="50"/>
      <c r="Q16" s="3"/>
      <c r="R16" s="3"/>
      <c r="S16" s="3"/>
      <c r="T16" s="3"/>
      <c r="X16" s="76"/>
    </row>
    <row r="17" spans="1:24" s="75" customFormat="1">
      <c r="D17" s="30"/>
      <c r="E17" s="78" t="s">
        <v>171</v>
      </c>
      <c r="F17" s="77"/>
      <c r="G17" s="77"/>
      <c r="I17" s="79"/>
      <c r="J17" s="79"/>
      <c r="K17" s="79"/>
      <c r="L17" s="79"/>
      <c r="M17" s="79"/>
      <c r="N17" s="79"/>
      <c r="O17" s="79"/>
      <c r="P17" s="79"/>
      <c r="Q17" s="3"/>
      <c r="R17" s="3"/>
      <c r="S17" s="3"/>
      <c r="T17" s="3"/>
      <c r="X17" s="76"/>
    </row>
    <row r="18" spans="1:24" s="75" customFormat="1">
      <c r="D18" s="30" t="s">
        <v>41</v>
      </c>
      <c r="E18" s="32" t="s">
        <v>172</v>
      </c>
      <c r="F18" s="33" t="s">
        <v>28</v>
      </c>
      <c r="G18" s="77"/>
      <c r="I18" s="79"/>
      <c r="J18" s="79"/>
      <c r="K18" s="79"/>
      <c r="L18" s="50">
        <f>SUM(INDEX(Actual.Exclusions.Water,,L6))/Indexation.Average</f>
        <v>0</v>
      </c>
      <c r="M18" s="50">
        <f>SUM(INDEX(Actual.Exclusions.Water,,M6))/Indexation.Average</f>
        <v>0</v>
      </c>
      <c r="N18" s="50">
        <f>SUM(INDEX(Actual.Exclusions.Water,,N6))/Indexation.Average</f>
        <v>0</v>
      </c>
      <c r="O18" s="50">
        <f>SUM(INDEX(Actual.Exclusions.Water,,O6))/Indexation.Average</f>
        <v>0</v>
      </c>
      <c r="P18" s="50">
        <f>SUM(INDEX(Actual.Exclusions.Water,,P6))/Indexation.Average</f>
        <v>0</v>
      </c>
      <c r="Q18" s="3"/>
      <c r="R18" s="3"/>
      <c r="S18" s="3"/>
      <c r="T18" s="3"/>
      <c r="X18" s="76"/>
    </row>
    <row r="19" spans="1:24" s="75" customFormat="1">
      <c r="D19" s="30" t="s">
        <v>41</v>
      </c>
      <c r="E19" s="32" t="s">
        <v>173</v>
      </c>
      <c r="F19" s="33" t="s">
        <v>28</v>
      </c>
      <c r="G19" s="77"/>
      <c r="I19" s="79"/>
      <c r="J19" s="79"/>
      <c r="K19" s="79"/>
      <c r="L19" s="221">
        <f>SUM(Inputs!L66:L72)/Indexation.Average</f>
        <v>22.257471412051906</v>
      </c>
      <c r="M19" s="221">
        <f>SUM(Inputs!M66:M72)/Indexation.Average</f>
        <v>31.670250636812465</v>
      </c>
      <c r="N19" s="221">
        <f>SUM(Inputs!N66:N72)/Indexation.Average</f>
        <v>-1.780047894752796</v>
      </c>
      <c r="O19" s="221">
        <f>SUM(Inputs!O66:O72)/Indexation.Average</f>
        <v>-8.454825735788349</v>
      </c>
      <c r="P19" s="221">
        <f>SUM(Inputs!P66:P72)/Indexation.Average</f>
        <v>4.1996391236841708</v>
      </c>
      <c r="Q19" s="3"/>
      <c r="R19" s="3"/>
      <c r="S19" s="3"/>
      <c r="T19" s="3"/>
      <c r="X19" s="76"/>
    </row>
    <row r="20" spans="1:24" s="75" customFormat="1">
      <c r="D20" s="12"/>
      <c r="E20" s="12"/>
      <c r="F20" s="77"/>
      <c r="G20" s="77"/>
      <c r="I20" s="79"/>
      <c r="J20" s="79"/>
      <c r="K20" s="79"/>
      <c r="L20" s="79"/>
      <c r="M20" s="79"/>
      <c r="N20" s="79"/>
      <c r="O20" s="79"/>
      <c r="P20" s="79"/>
      <c r="Q20" s="3"/>
      <c r="R20" s="3"/>
      <c r="S20" s="3"/>
      <c r="T20" s="3"/>
      <c r="X20" s="76"/>
    </row>
    <row r="21" spans="1:24" s="75" customFormat="1">
      <c r="D21" s="30"/>
      <c r="E21" s="78" t="s">
        <v>174</v>
      </c>
      <c r="F21" s="77"/>
      <c r="G21" s="77"/>
      <c r="I21" s="79"/>
      <c r="J21" s="79"/>
      <c r="K21" s="79"/>
      <c r="L21" s="79"/>
      <c r="M21" s="79"/>
      <c r="N21" s="79"/>
      <c r="O21" s="79"/>
      <c r="P21" s="79"/>
      <c r="Q21" s="3"/>
      <c r="R21" s="3"/>
      <c r="S21" s="3"/>
      <c r="T21" s="3"/>
      <c r="X21" s="76"/>
    </row>
    <row r="22" spans="1:24" s="192" customFormat="1">
      <c r="A22" s="75"/>
      <c r="B22" s="75"/>
      <c r="C22" s="75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7"/>
      <c r="H22" s="75"/>
      <c r="I22" s="79"/>
      <c r="J22" s="79"/>
      <c r="K22" s="79"/>
      <c r="L22" s="50">
        <f>TransitionExp.Water</f>
        <v>0</v>
      </c>
      <c r="M22" s="50"/>
      <c r="N22" s="50"/>
      <c r="O22" s="50"/>
      <c r="P22" s="50"/>
      <c r="Q22" s="3"/>
      <c r="R22" s="3"/>
      <c r="S22" s="3"/>
      <c r="T22" s="3"/>
      <c r="U22" s="75"/>
      <c r="V22" s="75"/>
      <c r="W22" s="75"/>
      <c r="X22" s="76"/>
    </row>
    <row r="23" spans="1:24" s="192" customFormat="1">
      <c r="A23" s="75"/>
      <c r="B23" s="75"/>
      <c r="C23" s="75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7"/>
      <c r="H23" s="75"/>
      <c r="I23" s="79"/>
      <c r="J23" s="79"/>
      <c r="K23" s="79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5"/>
      <c r="V23" s="75"/>
      <c r="W23" s="75"/>
      <c r="X23" s="76"/>
    </row>
    <row r="24" spans="1:24" s="75" customFormat="1">
      <c r="D24" s="12"/>
      <c r="E24" s="12"/>
      <c r="F24" s="77"/>
      <c r="G24" s="77"/>
      <c r="I24" s="79"/>
      <c r="J24" s="79"/>
      <c r="K24" s="79"/>
      <c r="L24" s="79"/>
      <c r="M24" s="79"/>
      <c r="N24" s="79"/>
      <c r="O24" s="79"/>
      <c r="P24" s="79"/>
      <c r="Q24" s="3"/>
      <c r="R24" s="3"/>
      <c r="S24" s="3"/>
      <c r="T24" s="3"/>
      <c r="X24" s="76"/>
    </row>
    <row r="25" spans="1:24" s="75" customFormat="1">
      <c r="D25" s="30"/>
      <c r="E25" s="78" t="s">
        <v>175</v>
      </c>
      <c r="F25" s="77"/>
      <c r="G25" s="77"/>
      <c r="I25" s="79"/>
      <c r="J25" s="79"/>
      <c r="K25" s="79"/>
      <c r="L25" s="79"/>
      <c r="M25" s="79"/>
      <c r="N25" s="79"/>
      <c r="O25" s="79"/>
      <c r="P25" s="79"/>
      <c r="Q25" s="3"/>
      <c r="R25" s="3"/>
      <c r="S25" s="3"/>
      <c r="T25" s="3"/>
      <c r="X25" s="76"/>
    </row>
    <row r="26" spans="1:24" s="192" customFormat="1">
      <c r="A26" s="75"/>
      <c r="B26" s="75"/>
      <c r="C26" s="75"/>
      <c r="D26" s="189"/>
      <c r="E26" s="216"/>
      <c r="F26" s="217"/>
      <c r="G26" s="214"/>
      <c r="I26" s="222"/>
      <c r="J26" s="222"/>
      <c r="K26" s="222"/>
      <c r="L26" s="221"/>
      <c r="M26" s="221"/>
      <c r="N26" s="221"/>
      <c r="O26" s="221"/>
      <c r="P26" s="221"/>
      <c r="Q26" s="3"/>
      <c r="R26" s="3"/>
      <c r="S26" s="3"/>
      <c r="T26" s="3"/>
      <c r="U26" s="75"/>
      <c r="V26" s="75"/>
      <c r="W26" s="75"/>
      <c r="X26" s="76"/>
    </row>
    <row r="27" spans="1:24" s="192" customFormat="1">
      <c r="A27" s="75"/>
      <c r="B27" s="75"/>
      <c r="C27" s="75"/>
      <c r="D27" s="189"/>
      <c r="E27" s="216"/>
      <c r="F27" s="217"/>
      <c r="G27" s="214"/>
      <c r="I27" s="222"/>
      <c r="J27" s="222"/>
      <c r="K27" s="222"/>
      <c r="L27" s="221"/>
      <c r="M27" s="221"/>
      <c r="N27" s="221"/>
      <c r="O27" s="221"/>
      <c r="P27" s="221"/>
      <c r="Q27" s="3"/>
      <c r="R27" s="3"/>
      <c r="S27" s="3"/>
      <c r="T27" s="3"/>
      <c r="U27" s="75"/>
      <c r="V27" s="75"/>
      <c r="W27" s="75"/>
      <c r="X27" s="76"/>
    </row>
    <row r="28" spans="1:24" s="75" customFormat="1">
      <c r="D28" s="12"/>
      <c r="E28" s="12"/>
      <c r="F28" s="77"/>
      <c r="G28" s="77"/>
      <c r="I28" s="79"/>
      <c r="J28" s="79"/>
      <c r="K28" s="79"/>
      <c r="L28" s="79"/>
      <c r="M28" s="79"/>
      <c r="N28" s="79"/>
      <c r="O28" s="79"/>
      <c r="P28" s="79"/>
      <c r="Q28" s="3"/>
      <c r="R28" s="3"/>
      <c r="S28" s="3"/>
      <c r="T28" s="3"/>
      <c r="X28" s="76"/>
    </row>
    <row r="29" spans="1:24" s="75" customFormat="1">
      <c r="D29" s="30"/>
      <c r="E29" s="78" t="s">
        <v>176</v>
      </c>
      <c r="F29" s="77"/>
      <c r="G29" s="77"/>
      <c r="I29" s="79"/>
      <c r="J29" s="79"/>
      <c r="K29" s="79"/>
      <c r="L29" s="79"/>
      <c r="M29" s="79"/>
      <c r="N29" s="79"/>
      <c r="O29" s="79"/>
      <c r="P29" s="79"/>
      <c r="Q29" s="3"/>
      <c r="R29" s="3"/>
      <c r="S29" s="3"/>
      <c r="T29" s="3"/>
      <c r="X29" s="76"/>
    </row>
    <row r="30" spans="1:24" s="75" customFormat="1">
      <c r="D30" s="30" t="s">
        <v>41</v>
      </c>
      <c r="E30" s="32" t="s">
        <v>177</v>
      </c>
      <c r="F30" s="33" t="s">
        <v>28</v>
      </c>
      <c r="G30" s="77"/>
      <c r="I30" s="79"/>
      <c r="J30" s="79"/>
      <c r="K30" s="79"/>
      <c r="L30" s="221">
        <f>L14-L18+L22</f>
        <v>0</v>
      </c>
      <c r="M30" s="221">
        <f t="shared" ref="M30:P30" si="2">M14-M18+M22</f>
        <v>0</v>
      </c>
      <c r="N30" s="221">
        <f t="shared" si="2"/>
        <v>0</v>
      </c>
      <c r="O30" s="221">
        <f t="shared" si="2"/>
        <v>0</v>
      </c>
      <c r="P30" s="221">
        <f t="shared" si="2"/>
        <v>0</v>
      </c>
      <c r="Q30" s="59" t="s">
        <v>178</v>
      </c>
      <c r="R30" s="3"/>
      <c r="S30" s="3"/>
      <c r="T30" s="3"/>
      <c r="X30" s="76"/>
    </row>
    <row r="31" spans="1:24" s="75" customFormat="1">
      <c r="D31" s="30" t="s">
        <v>41</v>
      </c>
      <c r="E31" s="32" t="s">
        <v>179</v>
      </c>
      <c r="F31" s="33" t="s">
        <v>28</v>
      </c>
      <c r="G31" s="77"/>
      <c r="I31" s="79"/>
      <c r="J31" s="79"/>
      <c r="K31" s="79"/>
      <c r="L31" s="221">
        <f>L15-L19+L23</f>
        <v>94.31218990403633</v>
      </c>
      <c r="M31" s="221">
        <f t="shared" ref="M31:P31" si="3">M15-M19+M23</f>
        <v>43.736611992915485</v>
      </c>
      <c r="N31" s="221">
        <f t="shared" si="3"/>
        <v>36.246730523498741</v>
      </c>
      <c r="O31" s="221">
        <f t="shared" si="3"/>
        <v>44.317090652650592</v>
      </c>
      <c r="P31" s="221">
        <f t="shared" si="3"/>
        <v>16.638970208036682</v>
      </c>
      <c r="Q31" s="59" t="s">
        <v>180</v>
      </c>
      <c r="R31" s="3"/>
      <c r="S31" s="3"/>
      <c r="T31" s="3"/>
      <c r="X31" s="76"/>
    </row>
    <row r="32" spans="1:24" s="75" customFormat="1">
      <c r="D32" s="30" t="s">
        <v>41</v>
      </c>
      <c r="E32" s="157" t="s">
        <v>181</v>
      </c>
      <c r="F32" s="33" t="s">
        <v>28</v>
      </c>
      <c r="G32" s="77"/>
      <c r="I32" s="79"/>
      <c r="J32" s="79"/>
      <c r="K32" s="79"/>
      <c r="L32" s="81">
        <f>SUM(L30:L31)</f>
        <v>94.31218990403633</v>
      </c>
      <c r="M32" s="81">
        <f>SUM(M30:M31)</f>
        <v>43.736611992915485</v>
      </c>
      <c r="N32" s="81">
        <f t="shared" ref="N32:P32" si="4">SUM(N30:N31)</f>
        <v>36.246730523498741</v>
      </c>
      <c r="O32" s="81">
        <f t="shared" si="4"/>
        <v>44.317090652650592</v>
      </c>
      <c r="P32" s="81">
        <f t="shared" si="4"/>
        <v>16.638970208036682</v>
      </c>
      <c r="Q32" s="59" t="s">
        <v>182</v>
      </c>
      <c r="R32" s="3"/>
      <c r="S32" s="3"/>
      <c r="T32" s="3"/>
      <c r="X32" s="76"/>
    </row>
    <row r="33" spans="1:24" s="75" customFormat="1">
      <c r="D33" s="30"/>
      <c r="E33" s="39"/>
      <c r="F33" s="39"/>
      <c r="G33" s="39"/>
      <c r="H33" s="83"/>
      <c r="I33" s="79"/>
      <c r="J33" s="79"/>
      <c r="K33" s="79"/>
      <c r="L33" s="50"/>
      <c r="M33" s="50"/>
      <c r="N33" s="50"/>
      <c r="O33" s="50"/>
      <c r="P33" s="50"/>
      <c r="Q33" s="3"/>
      <c r="R33" s="3"/>
      <c r="S33" s="3"/>
      <c r="T33" s="3"/>
      <c r="X33" s="76"/>
    </row>
    <row r="34" spans="1:24" s="22" customFormat="1" ht="13.7">
      <c r="A34" s="19"/>
      <c r="B34" s="19"/>
      <c r="C34" s="19"/>
      <c r="D34" s="182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5" customFormat="1" ht="10.5" customHeight="1">
      <c r="A35" s="3"/>
      <c r="B35" s="3"/>
      <c r="C35" s="3"/>
      <c r="D35" s="30"/>
      <c r="E35" s="39"/>
      <c r="F35" s="39"/>
      <c r="G35" s="39"/>
      <c r="H35" s="83"/>
      <c r="I35" s="84"/>
      <c r="J35" s="84"/>
      <c r="K35" s="84"/>
      <c r="L35" s="84"/>
      <c r="M35" s="84"/>
      <c r="N35" s="84"/>
      <c r="O35" s="84"/>
      <c r="P35" s="84"/>
      <c r="Q35" s="3"/>
      <c r="R35" s="3"/>
      <c r="S35" s="3"/>
      <c r="T35" s="3"/>
      <c r="X35" s="76"/>
    </row>
    <row r="36" spans="1:24" s="22" customFormat="1" ht="13.7">
      <c r="A36" s="19"/>
      <c r="B36" s="19"/>
      <c r="C36" s="19"/>
      <c r="D36" s="182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5" customFormat="1">
      <c r="A38" s="3"/>
      <c r="B38" s="3"/>
      <c r="C38" s="3"/>
      <c r="D38" s="30"/>
      <c r="E38" s="80" t="s">
        <v>185</v>
      </c>
      <c r="F38" s="39"/>
      <c r="G38" s="39"/>
      <c r="H38" s="83"/>
      <c r="I38" s="85"/>
      <c r="J38" s="85"/>
      <c r="K38" s="86"/>
      <c r="L38" s="84"/>
      <c r="M38" s="84"/>
      <c r="N38" s="84"/>
      <c r="O38" s="84"/>
      <c r="P38" s="84"/>
      <c r="Q38" s="3"/>
      <c r="R38" s="3"/>
      <c r="S38" s="3"/>
      <c r="T38" s="3"/>
      <c r="X38" s="76"/>
    </row>
    <row r="39" spans="1:24" s="75" customFormat="1">
      <c r="A39" s="3"/>
      <c r="B39" s="3"/>
      <c r="C39" s="3"/>
      <c r="D39" s="183" t="s">
        <v>15</v>
      </c>
      <c r="E39" s="82" t="s">
        <v>186</v>
      </c>
      <c r="F39" s="39"/>
      <c r="G39" s="87">
        <f>Company.Baseline+Company.Slope*(UB.Chosen-100)</f>
        <v>0.44</v>
      </c>
      <c r="H39" s="89" t="s">
        <v>187</v>
      </c>
      <c r="I39" s="85"/>
      <c r="J39" s="85"/>
      <c r="K39" s="86"/>
      <c r="L39" s="84"/>
      <c r="M39" s="84"/>
      <c r="N39" s="84"/>
      <c r="O39" s="84"/>
      <c r="P39" s="84"/>
      <c r="Q39" s="3"/>
      <c r="R39" s="3"/>
      <c r="S39" s="3"/>
      <c r="T39" s="3"/>
      <c r="X39" s="76"/>
    </row>
    <row r="40" spans="1:24" s="75" customFormat="1">
      <c r="A40" s="3"/>
      <c r="B40" s="3"/>
      <c r="C40" s="3"/>
      <c r="D40" s="30" t="s">
        <v>21</v>
      </c>
      <c r="E40" s="82" t="s">
        <v>188</v>
      </c>
      <c r="F40" s="39"/>
      <c r="G40" s="88">
        <f>Allowed.Exp.Slope*UB.Chosen+Allowed.Exp.Constant</f>
        <v>107.5</v>
      </c>
      <c r="H40" s="89" t="s">
        <v>189</v>
      </c>
      <c r="I40" s="85"/>
      <c r="J40" s="85"/>
      <c r="K40" s="86"/>
      <c r="L40" s="84"/>
      <c r="M40" s="84"/>
      <c r="N40" s="84"/>
      <c r="O40" s="84"/>
      <c r="P40" s="84"/>
      <c r="Q40" s="3"/>
      <c r="R40" s="3"/>
      <c r="S40" s="3"/>
      <c r="T40" s="3"/>
      <c r="X40" s="76"/>
    </row>
    <row r="41" spans="1:24" s="75" customFormat="1">
      <c r="A41" s="3"/>
      <c r="B41" s="3"/>
      <c r="C41" s="3"/>
      <c r="D41" s="30" t="s">
        <v>21</v>
      </c>
      <c r="E41" s="82" t="s">
        <v>190</v>
      </c>
      <c r="F41" s="39"/>
      <c r="G41" s="88">
        <f>Add.Income.2ndOrder*(UB.Chosen^2)+Add.Income.1stOrder*UB.Chosen+Add.Income.Constant</f>
        <v>-4.1999999999999993</v>
      </c>
      <c r="H41" s="89" t="s">
        <v>191</v>
      </c>
      <c r="I41" s="85"/>
      <c r="J41" s="85"/>
      <c r="K41" s="86"/>
      <c r="L41" s="84"/>
      <c r="M41" s="84"/>
      <c r="N41" s="84"/>
      <c r="O41" s="84"/>
      <c r="P41" s="84"/>
      <c r="Q41" s="3"/>
      <c r="R41" s="3"/>
      <c r="S41" s="3"/>
      <c r="T41" s="3"/>
      <c r="X41" s="76"/>
    </row>
    <row r="42" spans="1:24" s="75" customFormat="1">
      <c r="A42" s="3"/>
      <c r="B42" s="3"/>
      <c r="C42" s="3"/>
      <c r="D42" s="30"/>
      <c r="E42" s="32"/>
      <c r="F42" s="39"/>
      <c r="G42" s="39"/>
      <c r="H42" s="39"/>
      <c r="I42" s="85"/>
      <c r="J42" s="85"/>
      <c r="K42" s="86"/>
      <c r="L42" s="84"/>
      <c r="M42" s="84"/>
      <c r="N42" s="84"/>
      <c r="O42" s="84"/>
      <c r="P42" s="84"/>
      <c r="Q42" s="3"/>
      <c r="R42" s="3"/>
      <c r="S42" s="3"/>
      <c r="T42" s="3"/>
      <c r="X42" s="76"/>
    </row>
    <row r="43" spans="1:24" s="75" customFormat="1">
      <c r="A43" s="3"/>
      <c r="B43" s="3"/>
      <c r="C43" s="3"/>
      <c r="D43" s="30"/>
      <c r="E43" s="80" t="s">
        <v>192</v>
      </c>
      <c r="F43" s="39"/>
      <c r="G43" s="39"/>
      <c r="H43" s="39"/>
      <c r="I43" s="85"/>
      <c r="J43" s="85"/>
      <c r="K43" s="86"/>
      <c r="L43" s="84"/>
      <c r="M43" s="84"/>
      <c r="N43" s="84"/>
      <c r="O43" s="84"/>
      <c r="P43" s="84"/>
      <c r="Q43" s="3"/>
      <c r="R43" s="3"/>
      <c r="S43" s="3"/>
      <c r="T43" s="3"/>
      <c r="X43" s="76"/>
    </row>
    <row r="44" spans="1:24" s="75" customFormat="1">
      <c r="A44" s="3"/>
      <c r="B44" s="3"/>
      <c r="C44" s="3"/>
      <c r="D44" s="183" t="s">
        <v>15</v>
      </c>
      <c r="E44" s="82" t="s">
        <v>193</v>
      </c>
      <c r="F44" s="39"/>
      <c r="G44" s="87">
        <f>Company.Baseline+Company.Slope*(LB.Chosen-100)</f>
        <v>0.54</v>
      </c>
      <c r="H44" s="89" t="s">
        <v>194</v>
      </c>
      <c r="I44" s="85"/>
      <c r="J44" s="85"/>
      <c r="K44" s="86"/>
      <c r="L44" s="84"/>
      <c r="M44" s="84"/>
      <c r="N44" s="84"/>
      <c r="O44" s="84"/>
      <c r="P44" s="84"/>
      <c r="Q44" s="3"/>
      <c r="R44" s="3"/>
      <c r="S44" s="3"/>
      <c r="T44" s="3"/>
      <c r="X44" s="76"/>
    </row>
    <row r="45" spans="1:24" s="75" customFormat="1">
      <c r="A45" s="3"/>
      <c r="B45" s="3"/>
      <c r="C45" s="3"/>
      <c r="D45" s="30" t="s">
        <v>21</v>
      </c>
      <c r="E45" s="82" t="s">
        <v>195</v>
      </c>
      <c r="F45" s="39"/>
      <c r="G45" s="88">
        <f>Allowed.Exp.Slope*LB.Chosen+Allowed.Exp.Constant</f>
        <v>95</v>
      </c>
      <c r="H45" s="89" t="s">
        <v>196</v>
      </c>
      <c r="I45" s="85"/>
      <c r="J45" s="85"/>
      <c r="K45" s="86"/>
      <c r="L45" s="84"/>
      <c r="M45" s="84"/>
      <c r="N45" s="84"/>
      <c r="O45" s="84"/>
      <c r="P45" s="84"/>
      <c r="Q45" s="3"/>
      <c r="R45" s="3"/>
      <c r="S45" s="3"/>
      <c r="T45" s="3"/>
      <c r="X45" s="76"/>
    </row>
    <row r="46" spans="1:24" s="75" customFormat="1" ht="13.5" customHeight="1">
      <c r="A46" s="3"/>
      <c r="B46" s="3"/>
      <c r="C46" s="3"/>
      <c r="D46" s="30" t="s">
        <v>21</v>
      </c>
      <c r="E46" s="82" t="s">
        <v>197</v>
      </c>
      <c r="F46" s="39"/>
      <c r="G46" s="88">
        <f>Add.Income.2ndOrder*(LB.Chosen^2)+Add.Income.1stOrder*LB.Chosen+Add.Income.Constant</f>
        <v>2.3000000000000007</v>
      </c>
      <c r="H46" s="89" t="s">
        <v>198</v>
      </c>
      <c r="I46" s="85"/>
      <c r="J46" s="85"/>
      <c r="K46" s="86"/>
      <c r="L46" s="84"/>
      <c r="M46" s="84"/>
      <c r="N46" s="84"/>
      <c r="O46" s="84"/>
      <c r="P46" s="84"/>
      <c r="Q46" s="3"/>
      <c r="R46" s="3"/>
      <c r="S46" s="3"/>
      <c r="T46" s="3"/>
      <c r="X46" s="76"/>
    </row>
    <row r="47" spans="1:24" s="75" customFormat="1" ht="13.5" customHeight="1">
      <c r="A47" s="3"/>
      <c r="B47" s="3"/>
      <c r="C47" s="3"/>
      <c r="D47" s="30"/>
      <c r="E47" s="82"/>
      <c r="F47" s="39"/>
      <c r="G47" s="89"/>
      <c r="H47" s="89"/>
      <c r="I47" s="85"/>
      <c r="J47" s="85"/>
      <c r="K47" s="86"/>
      <c r="L47" s="84"/>
      <c r="M47" s="84"/>
      <c r="N47" s="84"/>
      <c r="O47" s="84"/>
      <c r="P47" s="84"/>
      <c r="Q47" s="3"/>
      <c r="R47" s="3"/>
      <c r="S47" s="3"/>
      <c r="T47" s="3"/>
      <c r="X47" s="76"/>
    </row>
    <row r="48" spans="1:24" s="22" customFormat="1" ht="13.7">
      <c r="A48" s="19"/>
      <c r="B48" s="19"/>
      <c r="C48" s="19"/>
      <c r="D48" s="182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93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92" customFormat="1">
      <c r="A50" s="3"/>
      <c r="B50" s="3"/>
      <c r="C50" s="3"/>
      <c r="D50" s="30"/>
      <c r="E50" s="49" t="s">
        <v>200</v>
      </c>
      <c r="F50" s="39"/>
      <c r="G50" s="39"/>
      <c r="H50" s="83"/>
      <c r="I50" s="85"/>
      <c r="J50" s="85"/>
      <c r="K50" s="86"/>
      <c r="L50" s="84"/>
      <c r="M50" s="84"/>
      <c r="N50" s="84"/>
      <c r="O50" s="84"/>
      <c r="P50" s="84"/>
      <c r="Q50" s="3"/>
      <c r="R50" s="3"/>
      <c r="S50" s="3"/>
      <c r="T50" s="3"/>
      <c r="U50" s="75"/>
      <c r="V50" s="75"/>
      <c r="W50" s="75"/>
      <c r="X50" s="76"/>
    </row>
    <row r="51" spans="1:24" s="192" customFormat="1">
      <c r="A51" s="3"/>
      <c r="B51" s="3"/>
      <c r="C51" s="3"/>
      <c r="D51" s="183" t="s">
        <v>15</v>
      </c>
      <c r="E51" s="32" t="s">
        <v>201</v>
      </c>
      <c r="F51" s="39"/>
      <c r="G51" s="87">
        <f>MIN(MAX(Eff.Inc.Constant+Eff.Inc.Slope*FD.Menu.Choice.Water,UB.EffInc),LB.EffInc)</f>
        <v>0.54</v>
      </c>
      <c r="H51" s="89" t="s">
        <v>202</v>
      </c>
      <c r="I51" s="85"/>
      <c r="J51" s="85"/>
      <c r="K51" s="86"/>
      <c r="L51" s="84"/>
      <c r="M51" s="84"/>
      <c r="N51" s="84"/>
      <c r="O51" s="84"/>
      <c r="P51" s="84"/>
      <c r="Q51" s="3"/>
      <c r="R51" s="3"/>
      <c r="S51" s="3"/>
      <c r="T51" s="3"/>
      <c r="U51" s="75"/>
      <c r="V51" s="75"/>
      <c r="W51" s="75"/>
      <c r="X51" s="76"/>
    </row>
    <row r="52" spans="1:24" s="192" customFormat="1">
      <c r="A52" s="3"/>
      <c r="B52" s="3"/>
      <c r="C52" s="3"/>
      <c r="D52" s="30" t="s">
        <v>21</v>
      </c>
      <c r="E52" s="32" t="s">
        <v>203</v>
      </c>
      <c r="F52" s="39"/>
      <c r="G52" s="88">
        <f>MIN(MAX(Allowed.Exp.Constant+Allowed.Exp.Slope*FD.Menu.Choice.Water,LB.AllExp),UB.AllExp)</f>
        <v>95</v>
      </c>
      <c r="H52" s="89" t="s">
        <v>204</v>
      </c>
      <c r="I52" s="85"/>
      <c r="J52" s="85"/>
      <c r="K52" s="86"/>
      <c r="L52" s="84"/>
      <c r="M52" s="84"/>
      <c r="N52" s="84"/>
      <c r="O52" s="84"/>
      <c r="P52" s="84"/>
      <c r="Q52" s="3"/>
      <c r="R52" s="3"/>
      <c r="S52" s="3"/>
      <c r="T52" s="3"/>
      <c r="U52" s="75"/>
      <c r="V52" s="75"/>
      <c r="W52" s="75"/>
      <c r="X52" s="76"/>
    </row>
    <row r="53" spans="1:24" s="192" customFormat="1">
      <c r="A53" s="3"/>
      <c r="B53" s="3"/>
      <c r="C53" s="3"/>
      <c r="D53" s="30" t="s">
        <v>21</v>
      </c>
      <c r="E53" s="32" t="s">
        <v>205</v>
      </c>
      <c r="F53" s="39"/>
      <c r="G53" s="88">
        <f>MIN(MAX(Add.Income.Constant+Add.Income.1stOrder*FD.Menu.Choice.Water+Add.Income.2ndOrder*(FD.Menu.Choice.Water^2),UB.AddInc),LB.AddInc)</f>
        <v>2.3000000000000007</v>
      </c>
      <c r="H53" s="89" t="s">
        <v>206</v>
      </c>
      <c r="I53" s="85"/>
      <c r="J53" s="85"/>
      <c r="K53" s="86"/>
      <c r="L53" s="84"/>
      <c r="M53" s="84"/>
      <c r="N53" s="84"/>
      <c r="O53" s="84"/>
      <c r="P53" s="84"/>
      <c r="Q53" s="3"/>
      <c r="R53" s="3"/>
      <c r="S53" s="3"/>
      <c r="T53" s="3"/>
      <c r="U53" s="75"/>
      <c r="V53" s="75"/>
      <c r="W53" s="75"/>
      <c r="X53" s="76"/>
    </row>
    <row r="54" spans="1:24" s="192" customFormat="1">
      <c r="A54" s="3"/>
      <c r="B54" s="3"/>
      <c r="C54" s="3"/>
      <c r="D54" s="30"/>
      <c r="E54" s="39"/>
      <c r="F54" s="39"/>
      <c r="G54" s="83"/>
      <c r="H54" s="83"/>
      <c r="I54" s="85"/>
      <c r="J54" s="85"/>
      <c r="K54" s="86"/>
      <c r="L54" s="84"/>
      <c r="M54" s="84"/>
      <c r="N54" s="84"/>
      <c r="O54" s="84"/>
      <c r="P54" s="84"/>
      <c r="Q54" s="3"/>
      <c r="R54" s="3"/>
      <c r="S54" s="3"/>
      <c r="T54" s="3"/>
      <c r="U54" s="75"/>
      <c r="V54" s="75"/>
      <c r="W54" s="75"/>
      <c r="X54" s="76"/>
    </row>
    <row r="55" spans="1:24" s="192" customFormat="1">
      <c r="A55" s="3"/>
      <c r="B55" s="3"/>
      <c r="C55" s="3"/>
      <c r="D55" s="30"/>
      <c r="E55" s="49" t="s">
        <v>207</v>
      </c>
      <c r="F55" s="39"/>
      <c r="G55" s="39"/>
      <c r="H55" s="83"/>
      <c r="I55" s="85"/>
      <c r="J55" s="85"/>
      <c r="K55" s="86"/>
      <c r="L55" s="84"/>
      <c r="M55" s="84"/>
      <c r="N55" s="84"/>
      <c r="O55" s="84"/>
      <c r="P55" s="84"/>
      <c r="Q55" s="3"/>
      <c r="R55" s="3"/>
      <c r="S55" s="3"/>
      <c r="T55" s="3"/>
      <c r="U55" s="75"/>
      <c r="V55" s="75"/>
      <c r="W55" s="75"/>
      <c r="X55" s="76"/>
    </row>
    <row r="56" spans="1:24" s="192" customFormat="1">
      <c r="A56" s="3"/>
      <c r="B56" s="3"/>
      <c r="C56" s="3"/>
      <c r="D56" s="183" t="s">
        <v>15</v>
      </c>
      <c r="E56" s="32" t="s">
        <v>208</v>
      </c>
      <c r="F56" s="39"/>
      <c r="G56" s="87">
        <f>MIN(MAX(Eff.Inc.Constant+Eff.Inc.Slope*FD.Menu.Choice.Sewerage,UB.EffInc),LB.EffInc)</f>
        <v>0.5071606227129748</v>
      </c>
      <c r="H56" s="89" t="s">
        <v>209</v>
      </c>
      <c r="I56" s="85"/>
      <c r="J56" s="85"/>
      <c r="K56" s="86"/>
      <c r="L56" s="84"/>
      <c r="M56" s="84"/>
      <c r="N56" s="84"/>
      <c r="O56" s="84"/>
      <c r="P56" s="84"/>
      <c r="Q56" s="3"/>
      <c r="R56" s="3"/>
      <c r="S56" s="3"/>
      <c r="T56" s="3"/>
      <c r="U56" s="75"/>
      <c r="V56" s="75"/>
      <c r="W56" s="75"/>
      <c r="X56" s="76"/>
    </row>
    <row r="57" spans="1:24" s="192" customFormat="1">
      <c r="A57" s="3"/>
      <c r="B57" s="3"/>
      <c r="C57" s="3"/>
      <c r="D57" s="30" t="s">
        <v>21</v>
      </c>
      <c r="E57" s="32" t="s">
        <v>210</v>
      </c>
      <c r="F57" s="39"/>
      <c r="G57" s="88">
        <f>MIN(MAX(Allowed.Exp.Constant+Allowed.Exp.Slope*FD.Menu.Choice.Sewerage,LB.AllExp),UB.AllExp)</f>
        <v>99.104922160878147</v>
      </c>
      <c r="H57" s="89" t="s">
        <v>211</v>
      </c>
      <c r="I57" s="85"/>
      <c r="J57" s="85"/>
      <c r="K57" s="86"/>
      <c r="L57" s="84"/>
      <c r="M57" s="84"/>
      <c r="N57" s="84"/>
      <c r="O57" s="84"/>
      <c r="P57" s="84"/>
      <c r="Q57" s="3"/>
      <c r="R57" s="3"/>
      <c r="S57" s="3"/>
      <c r="T57" s="3"/>
      <c r="U57" s="75"/>
      <c r="V57" s="75"/>
      <c r="W57" s="75"/>
      <c r="X57" s="76"/>
    </row>
    <row r="58" spans="1:24" s="192" customFormat="1">
      <c r="A58" s="3"/>
      <c r="B58" s="3"/>
      <c r="C58" s="3"/>
      <c r="D58" s="30" t="s">
        <v>21</v>
      </c>
      <c r="E58" s="32" t="s">
        <v>212</v>
      </c>
      <c r="F58" s="39"/>
      <c r="G58" s="88">
        <f>MIN(MAX(Add.Income.Constant+Add.Income.1stOrder*FD.Menu.Choice.Sewerage+Add.Income.2ndOrder*(FD.Menu.Choice.Sewerage^2),UB.AddInc),LB.AddInc)</f>
        <v>0.4411296048562301</v>
      </c>
      <c r="H58" s="89" t="s">
        <v>213</v>
      </c>
      <c r="I58" s="85"/>
      <c r="J58" s="85"/>
      <c r="K58" s="86"/>
      <c r="L58" s="84"/>
      <c r="M58" s="84"/>
      <c r="N58" s="84"/>
      <c r="O58" s="84"/>
      <c r="P58" s="84"/>
      <c r="Q58" s="3"/>
      <c r="R58" s="3"/>
      <c r="S58" s="3"/>
      <c r="T58" s="3"/>
      <c r="U58" s="75"/>
      <c r="V58" s="75"/>
      <c r="W58" s="75"/>
      <c r="X58" s="76"/>
    </row>
    <row r="59" spans="1:24" s="192" customFormat="1">
      <c r="A59" s="3"/>
      <c r="B59" s="3"/>
      <c r="C59" s="3"/>
      <c r="D59" s="30"/>
      <c r="E59" s="39"/>
      <c r="F59" s="39"/>
      <c r="G59" s="83"/>
      <c r="H59" s="83"/>
      <c r="I59" s="85"/>
      <c r="J59" s="85"/>
      <c r="K59" s="86"/>
      <c r="L59" s="84"/>
      <c r="M59" s="84"/>
      <c r="N59" s="84"/>
      <c r="O59" s="84"/>
      <c r="P59" s="84"/>
      <c r="Q59" s="3"/>
      <c r="R59" s="3"/>
      <c r="S59" s="3"/>
      <c r="T59" s="3"/>
      <c r="U59" s="75"/>
      <c r="V59" s="75"/>
      <c r="W59" s="75"/>
      <c r="X59" s="76"/>
    </row>
    <row r="60" spans="1:24" s="22" customFormat="1" ht="13.7">
      <c r="A60" s="19"/>
      <c r="B60" s="19"/>
      <c r="C60" s="19"/>
      <c r="D60" s="182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5" customFormat="1">
      <c r="A62" s="3"/>
      <c r="B62" s="3"/>
      <c r="C62" s="3"/>
      <c r="D62" s="30"/>
      <c r="E62" s="49" t="s">
        <v>200</v>
      </c>
      <c r="F62" s="39"/>
      <c r="G62" s="39"/>
      <c r="H62" s="83"/>
      <c r="I62" s="85"/>
      <c r="J62" s="85"/>
      <c r="K62" s="86"/>
      <c r="L62" s="84"/>
      <c r="M62" s="84"/>
      <c r="N62" s="84"/>
      <c r="O62" s="84"/>
      <c r="P62" s="84"/>
      <c r="Q62" s="3"/>
      <c r="R62" s="3"/>
      <c r="S62" s="3"/>
      <c r="T62" s="3"/>
      <c r="X62" s="76"/>
    </row>
    <row r="63" spans="1:24" s="75" customFormat="1">
      <c r="A63" s="3"/>
      <c r="B63" s="3"/>
      <c r="C63" s="3"/>
      <c r="D63" s="183" t="s">
        <v>15</v>
      </c>
      <c r="E63" s="32" t="s">
        <v>201</v>
      </c>
      <c r="F63" s="39"/>
      <c r="G63" s="87">
        <f>MIN(MAX(Eff.Inc.Constant+Eff.Inc.Slope*Menu.Choice.Water,UB.EffInc),LB.EffInc)</f>
        <v>0.54</v>
      </c>
      <c r="H63" s="89" t="s">
        <v>215</v>
      </c>
      <c r="I63" s="85"/>
      <c r="J63" s="85"/>
      <c r="K63" s="86"/>
      <c r="L63" s="84"/>
      <c r="M63" s="84"/>
      <c r="N63" s="84"/>
      <c r="O63" s="84"/>
      <c r="P63" s="84"/>
      <c r="Q63" s="3"/>
      <c r="R63" s="3"/>
      <c r="S63" s="3"/>
      <c r="T63" s="3"/>
      <c r="X63" s="76"/>
    </row>
    <row r="64" spans="1:24" s="75" customFormat="1">
      <c r="A64" s="3"/>
      <c r="B64" s="3"/>
      <c r="C64" s="3"/>
      <c r="D64" s="30" t="s">
        <v>21</v>
      </c>
      <c r="E64" s="32" t="s">
        <v>203</v>
      </c>
      <c r="F64" s="39"/>
      <c r="G64" s="88">
        <f>MIN(MAX(Allowed.Exp.Constant+Allowed.Exp.Slope*Menu.Choice.Water,LB.AllExp),UB.AllExp)</f>
        <v>95</v>
      </c>
      <c r="H64" s="89" t="s">
        <v>216</v>
      </c>
      <c r="I64" s="85"/>
      <c r="J64" s="199"/>
      <c r="K64" s="86"/>
      <c r="L64" s="84"/>
      <c r="M64" s="84"/>
      <c r="N64" s="84"/>
      <c r="O64" s="84"/>
      <c r="P64" s="84"/>
      <c r="Q64" s="3"/>
      <c r="R64" s="3"/>
      <c r="S64" s="3"/>
      <c r="T64" s="3"/>
      <c r="X64" s="76"/>
    </row>
    <row r="65" spans="1:24" s="75" customFormat="1">
      <c r="A65" s="3"/>
      <c r="B65" s="3"/>
      <c r="C65" s="3"/>
      <c r="D65" s="30" t="s">
        <v>21</v>
      </c>
      <c r="E65" s="32" t="s">
        <v>205</v>
      </c>
      <c r="F65" s="39"/>
      <c r="G65" s="88">
        <f>MIN(MAX(Add.Income.Constant+Add.Income.1stOrder*Menu.Choice.Water+Add.Income.2ndOrder*(Menu.Choice.Water^2),UB.AddInc),LB.AddInc)</f>
        <v>2.3000000000000007</v>
      </c>
      <c r="H65" s="89" t="s">
        <v>217</v>
      </c>
      <c r="I65" s="85"/>
      <c r="J65" s="85"/>
      <c r="K65" s="86"/>
      <c r="L65" s="84"/>
      <c r="M65" s="84"/>
      <c r="N65" s="84"/>
      <c r="O65" s="84"/>
      <c r="P65" s="84"/>
      <c r="Q65" s="3"/>
      <c r="R65" s="3"/>
      <c r="S65" s="3"/>
      <c r="T65" s="3"/>
      <c r="X65" s="76"/>
    </row>
    <row r="66" spans="1:24" s="75" customFormat="1">
      <c r="A66" s="3"/>
      <c r="B66" s="3"/>
      <c r="C66" s="3"/>
      <c r="D66" s="30"/>
      <c r="E66" s="39"/>
      <c r="F66" s="39"/>
      <c r="G66" s="83"/>
      <c r="H66" s="83"/>
      <c r="I66" s="85"/>
      <c r="J66" s="85"/>
      <c r="K66" s="86"/>
      <c r="L66" s="84"/>
      <c r="M66" s="84"/>
      <c r="N66" s="84"/>
      <c r="O66" s="84"/>
      <c r="P66" s="84"/>
      <c r="Q66" s="3"/>
      <c r="R66" s="3"/>
      <c r="S66" s="3"/>
      <c r="T66" s="3"/>
      <c r="X66" s="76"/>
    </row>
    <row r="67" spans="1:24" s="75" customFormat="1">
      <c r="A67" s="3"/>
      <c r="B67" s="3"/>
      <c r="C67" s="3"/>
      <c r="D67" s="30"/>
      <c r="E67" s="49" t="s">
        <v>207</v>
      </c>
      <c r="F67" s="39"/>
      <c r="G67" s="39"/>
      <c r="H67" s="83"/>
      <c r="I67" s="85"/>
      <c r="J67" s="85"/>
      <c r="K67" s="86"/>
      <c r="L67" s="84"/>
      <c r="M67" s="84"/>
      <c r="N67" s="84"/>
      <c r="O67" s="84"/>
      <c r="P67" s="84"/>
      <c r="Q67" s="3"/>
      <c r="R67" s="3"/>
      <c r="S67" s="3"/>
      <c r="T67" s="3"/>
      <c r="X67" s="76"/>
    </row>
    <row r="68" spans="1:24" s="75" customFormat="1">
      <c r="A68" s="3"/>
      <c r="B68" s="3"/>
      <c r="C68" s="3"/>
      <c r="D68" s="183" t="s">
        <v>15</v>
      </c>
      <c r="E68" s="32" t="s">
        <v>208</v>
      </c>
      <c r="F68" s="39"/>
      <c r="G68" s="87">
        <f>MIN(MAX(Eff.Inc.Constant+Eff.Inc.Slope*Menu.Choice.Sewerage,UB.EffInc),LB.EffInc)</f>
        <v>0.50719999999999987</v>
      </c>
      <c r="H68" s="89" t="s">
        <v>218</v>
      </c>
      <c r="I68" s="85"/>
      <c r="J68" s="85"/>
      <c r="K68" s="86"/>
      <c r="L68" s="84"/>
      <c r="M68" s="84"/>
      <c r="N68" s="84"/>
      <c r="O68" s="84"/>
      <c r="P68" s="84"/>
      <c r="Q68" s="3"/>
      <c r="R68" s="3"/>
      <c r="S68" s="3"/>
      <c r="T68" s="3"/>
      <c r="X68" s="76"/>
    </row>
    <row r="69" spans="1:24" s="75" customFormat="1">
      <c r="A69" s="3"/>
      <c r="B69" s="3"/>
      <c r="C69" s="3"/>
      <c r="D69" s="30" t="s">
        <v>21</v>
      </c>
      <c r="E69" s="32" t="s">
        <v>210</v>
      </c>
      <c r="F69" s="39"/>
      <c r="G69" s="88">
        <f>MIN(MAX(Allowed.Exp.Constant+Allowed.Exp.Slope*Menu.Choice.Sewerage,LB.AllExp),UB.AllExp)</f>
        <v>99.1</v>
      </c>
      <c r="H69" s="89" t="s">
        <v>219</v>
      </c>
      <c r="I69" s="85"/>
      <c r="J69" s="85"/>
      <c r="K69" s="86"/>
      <c r="L69" s="84"/>
      <c r="M69" s="84"/>
      <c r="N69" s="84"/>
      <c r="O69" s="84"/>
      <c r="P69" s="84"/>
      <c r="Q69" s="3"/>
      <c r="R69" s="3"/>
      <c r="S69" s="3"/>
      <c r="T69" s="3"/>
      <c r="X69" s="76"/>
    </row>
    <row r="70" spans="1:24" s="75" customFormat="1">
      <c r="A70" s="3"/>
      <c r="B70" s="3"/>
      <c r="C70" s="3"/>
      <c r="D70" s="30" t="s">
        <v>21</v>
      </c>
      <c r="E70" s="32" t="s">
        <v>212</v>
      </c>
      <c r="F70" s="39"/>
      <c r="G70" s="88">
        <f>MIN(MAX(Add.Income.Constant+Add.Income.1stOrder*Menu.Choice.Sewerage+Add.Income.2ndOrder*(Menu.Choice.Sewerage^2),UB.AddInc),LB.AddInc)</f>
        <v>0.44351999999999947</v>
      </c>
      <c r="H70" s="89" t="s">
        <v>220</v>
      </c>
      <c r="I70" s="85"/>
      <c r="J70" s="85"/>
      <c r="K70" s="86"/>
      <c r="L70" s="84"/>
      <c r="M70" s="84"/>
      <c r="N70" s="84"/>
      <c r="O70" s="84"/>
      <c r="P70" s="84"/>
      <c r="Q70" s="3"/>
      <c r="R70" s="3"/>
      <c r="S70" s="3"/>
      <c r="T70" s="3"/>
      <c r="X70" s="76"/>
    </row>
    <row r="71" spans="1:24" s="75" customFormat="1">
      <c r="A71" s="3"/>
      <c r="B71" s="3"/>
      <c r="C71" s="3"/>
      <c r="D71" s="30"/>
      <c r="E71" s="39"/>
      <c r="F71" s="39"/>
      <c r="G71" s="83"/>
      <c r="H71" s="83"/>
      <c r="I71" s="85"/>
      <c r="J71" s="85"/>
      <c r="K71" s="86"/>
      <c r="L71" s="84"/>
      <c r="M71" s="84"/>
      <c r="N71" s="84"/>
      <c r="O71" s="84"/>
      <c r="P71" s="84"/>
      <c r="Q71" s="3"/>
      <c r="R71" s="3"/>
      <c r="S71" s="3"/>
      <c r="T71" s="3"/>
      <c r="X71" s="76"/>
    </row>
    <row r="72" spans="1:24" s="22" customFormat="1" ht="13.7">
      <c r="A72" s="19"/>
      <c r="B72" s="19"/>
      <c r="C72" s="19"/>
      <c r="D72" s="182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3.7">
      <c r="A74" s="19"/>
      <c r="B74" s="19"/>
      <c r="C74" s="19"/>
      <c r="D74" s="182"/>
      <c r="E74" s="21" t="s">
        <v>222</v>
      </c>
      <c r="F74" s="16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5" customFormat="1">
      <c r="A75" s="3"/>
      <c r="B75" s="3"/>
      <c r="C75" s="3"/>
      <c r="Q75" s="3"/>
      <c r="R75" s="3"/>
      <c r="S75" s="3"/>
      <c r="T75" s="3"/>
      <c r="X75" s="76"/>
    </row>
    <row r="76" spans="1:24" s="75" customFormat="1">
      <c r="A76" s="3"/>
      <c r="B76" s="3"/>
      <c r="C76" s="3"/>
      <c r="D76" s="30"/>
      <c r="E76" s="49" t="s">
        <v>223</v>
      </c>
      <c r="F76" s="161"/>
      <c r="G76" s="3"/>
      <c r="L76" s="3"/>
      <c r="M76" s="3"/>
      <c r="N76" s="3"/>
      <c r="R76" s="76"/>
    </row>
    <row r="77" spans="1:24" s="75" customFormat="1">
      <c r="B77" s="3"/>
      <c r="C77" s="3"/>
      <c r="D77" s="183" t="s">
        <v>15</v>
      </c>
      <c r="E77" s="32" t="s">
        <v>224</v>
      </c>
      <c r="F77" s="3"/>
      <c r="G77" s="201">
        <f>IF(SUM(Baseline.Totex.Water)&lt;&gt;0,SUM(Menu.Totex.Water)/SUM(Baseline.Totex.Water),0)</f>
        <v>0</v>
      </c>
      <c r="L77" s="3"/>
      <c r="M77" s="3"/>
      <c r="N77" s="3"/>
      <c r="R77" s="76"/>
    </row>
    <row r="78" spans="1:24" s="75" customFormat="1">
      <c r="B78" s="3"/>
      <c r="C78" s="3"/>
      <c r="D78" s="30" t="s">
        <v>21</v>
      </c>
      <c r="E78" s="32" t="s">
        <v>225</v>
      </c>
      <c r="F78" s="39"/>
      <c r="G78" s="88">
        <f>G77*100</f>
        <v>0</v>
      </c>
      <c r="L78" s="3"/>
      <c r="M78" s="3"/>
      <c r="N78" s="3"/>
      <c r="R78" s="76"/>
    </row>
    <row r="79" spans="1:24" s="75" customFormat="1">
      <c r="B79" s="3"/>
      <c r="C79" s="3"/>
      <c r="D79" s="3"/>
      <c r="E79" s="3"/>
      <c r="F79" s="3"/>
      <c r="G79" s="3"/>
      <c r="L79" s="3"/>
      <c r="M79" s="3"/>
      <c r="N79" s="3"/>
      <c r="R79" s="76"/>
    </row>
    <row r="80" spans="1:24" s="75" customFormat="1">
      <c r="B80" s="3"/>
      <c r="C80" s="3"/>
      <c r="D80" s="30" t="s">
        <v>21</v>
      </c>
      <c r="E80" s="32" t="s">
        <v>226</v>
      </c>
      <c r="F80" s="161"/>
      <c r="G80" s="163">
        <f>(AllExp.Coeff.Water-G78)*EffInc.Coeff.Water+AddInc.Coeff.Water</f>
        <v>53.600000000000009</v>
      </c>
      <c r="L80" s="3"/>
      <c r="M80" s="3"/>
      <c r="N80" s="3"/>
      <c r="R80" s="76"/>
    </row>
    <row r="81" spans="1:24" s="75" customFormat="1">
      <c r="B81" s="3"/>
      <c r="C81" s="3"/>
      <c r="D81" s="183" t="s">
        <v>15</v>
      </c>
      <c r="E81" s="32" t="s">
        <v>227</v>
      </c>
      <c r="F81" s="39"/>
      <c r="G81" s="200">
        <f>G80/100</f>
        <v>0.53600000000000003</v>
      </c>
      <c r="L81" s="3"/>
      <c r="M81" s="3"/>
      <c r="N81" s="3"/>
      <c r="R81" s="76"/>
    </row>
    <row r="82" spans="1:24" s="75" customFormat="1">
      <c r="B82" s="3"/>
      <c r="C82" s="3"/>
      <c r="L82" s="3"/>
      <c r="M82" s="3"/>
      <c r="N82" s="3"/>
      <c r="R82" s="76"/>
    </row>
    <row r="83" spans="1:24" s="75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6"/>
    </row>
    <row r="84" spans="1:24" s="75" customFormat="1">
      <c r="B84" s="3"/>
      <c r="C84" s="3"/>
      <c r="D84" s="183" t="s">
        <v>15</v>
      </c>
      <c r="E84" s="32" t="s">
        <v>229</v>
      </c>
      <c r="F84" s="3"/>
      <c r="G84" s="201">
        <f>IF(SUM(Baseline.Totex.Sewerage)&lt;&gt;0,SUM(Menu.Totex.Sewerage)/SUM(Baseline.Totex.Sewerage),0)</f>
        <v>0.66852005237422929</v>
      </c>
      <c r="L84" s="3"/>
      <c r="M84" s="3"/>
      <c r="N84" s="3"/>
      <c r="R84" s="76"/>
    </row>
    <row r="85" spans="1:24" s="75" customFormat="1">
      <c r="B85" s="3"/>
      <c r="C85" s="3"/>
      <c r="D85" s="30" t="s">
        <v>21</v>
      </c>
      <c r="E85" s="32" t="s">
        <v>230</v>
      </c>
      <c r="F85" s="39"/>
      <c r="G85" s="88">
        <f>G84*100</f>
        <v>66.852005237422929</v>
      </c>
      <c r="L85" s="3"/>
      <c r="M85" s="3"/>
      <c r="N85" s="3"/>
      <c r="R85" s="76"/>
    </row>
    <row r="86" spans="1:24" s="75" customFormat="1">
      <c r="B86" s="3"/>
      <c r="C86" s="3"/>
      <c r="D86" s="3"/>
      <c r="E86" s="3"/>
      <c r="F86" s="3"/>
      <c r="G86" s="3"/>
      <c r="L86" s="3"/>
      <c r="M86" s="3"/>
      <c r="N86" s="3"/>
      <c r="R86" s="76"/>
    </row>
    <row r="87" spans="1:24" s="75" customFormat="1">
      <c r="B87" s="3"/>
      <c r="C87" s="3"/>
      <c r="D87" s="30" t="s">
        <v>21</v>
      </c>
      <c r="E87" s="32" t="s">
        <v>231</v>
      </c>
      <c r="F87" s="39"/>
      <c r="G87" s="162">
        <f>(AllExp.Coeff.Sewerage-G85)*EffInc.Coeff.Sewerage+AddInc.Coeff.Sewerage</f>
        <v>16.799702943579081</v>
      </c>
      <c r="H87" s="79"/>
      <c r="L87" s="3"/>
      <c r="M87" s="3"/>
      <c r="N87" s="3"/>
      <c r="R87" s="76"/>
    </row>
    <row r="88" spans="1:24" s="75" customFormat="1">
      <c r="B88" s="3"/>
      <c r="C88" s="3"/>
      <c r="D88" s="183" t="s">
        <v>15</v>
      </c>
      <c r="E88" s="32" t="s">
        <v>232</v>
      </c>
      <c r="F88" s="39"/>
      <c r="G88" s="200">
        <f>G87/100</f>
        <v>0.16799702943579081</v>
      </c>
      <c r="H88" s="79"/>
      <c r="L88" s="3"/>
      <c r="M88" s="3"/>
      <c r="N88" s="3"/>
      <c r="R88" s="76"/>
    </row>
    <row r="89" spans="1:24" s="75" customFormat="1">
      <c r="A89" s="3"/>
      <c r="B89" s="3"/>
      <c r="C89" s="3"/>
      <c r="Q89" s="3"/>
      <c r="R89" s="3"/>
      <c r="S89" s="3"/>
      <c r="T89" s="3"/>
      <c r="X89" s="76"/>
    </row>
    <row r="90" spans="1:24" s="22" customFormat="1" ht="13.7">
      <c r="A90" s="19"/>
      <c r="B90" s="19"/>
      <c r="C90" s="19"/>
      <c r="D90" s="182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5" customFormat="1">
      <c r="A91" s="3"/>
      <c r="B91" s="3"/>
      <c r="C91" s="3"/>
      <c r="Q91" s="3"/>
      <c r="R91" s="3"/>
      <c r="S91" s="3"/>
      <c r="T91" s="3"/>
      <c r="X91" s="76"/>
    </row>
    <row r="92" spans="1:24" s="75" customFormat="1">
      <c r="A92" s="3"/>
      <c r="B92" s="3"/>
      <c r="C92" s="3"/>
      <c r="E92" s="49" t="s">
        <v>234</v>
      </c>
      <c r="F92" s="161"/>
      <c r="L92" s="3"/>
      <c r="M92" s="3"/>
      <c r="N92" s="3"/>
      <c r="R92" s="76"/>
    </row>
    <row r="93" spans="1:24" s="75" customFormat="1">
      <c r="B93" s="3"/>
      <c r="C93" s="3"/>
      <c r="D93" s="30" t="s">
        <v>41</v>
      </c>
      <c r="E93" s="32" t="s">
        <v>235</v>
      </c>
      <c r="F93" s="33" t="s">
        <v>28</v>
      </c>
      <c r="G93" s="153">
        <f>G81*SUM(Baseline.Totex.Water)</f>
        <v>0</v>
      </c>
      <c r="L93" s="3"/>
      <c r="M93" s="3"/>
      <c r="N93" s="3"/>
      <c r="R93" s="76"/>
    </row>
    <row r="94" spans="1:24" s="75" customFormat="1">
      <c r="B94" s="3"/>
      <c r="C94" s="3"/>
      <c r="D94" s="30" t="s">
        <v>41</v>
      </c>
      <c r="E94" s="32" t="s">
        <v>236</v>
      </c>
      <c r="F94" s="33" t="s">
        <v>28</v>
      </c>
      <c r="G94" s="153">
        <f>G88*SUM(Baseline.Totex.Sewerage)</f>
        <v>59.118000575911395</v>
      </c>
      <c r="L94" s="3"/>
      <c r="M94" s="3"/>
      <c r="N94" s="3"/>
      <c r="R94" s="76"/>
    </row>
    <row r="95" spans="1:24" s="75" customFormat="1">
      <c r="B95" s="3"/>
      <c r="C95" s="3"/>
      <c r="D95" s="30"/>
      <c r="E95" s="32"/>
      <c r="F95" s="33"/>
      <c r="G95" s="153"/>
      <c r="L95" s="3"/>
      <c r="M95" s="3"/>
      <c r="N95" s="3"/>
      <c r="R95" s="76"/>
    </row>
    <row r="96" spans="1:24" s="192" customFormat="1">
      <c r="A96" s="75"/>
      <c r="B96" s="3"/>
      <c r="C96" s="3"/>
      <c r="D96" s="75"/>
      <c r="E96" s="49" t="s">
        <v>237</v>
      </c>
      <c r="F96" s="161"/>
      <c r="G96" s="75"/>
      <c r="H96" s="75"/>
      <c r="I96" s="75"/>
      <c r="J96" s="75"/>
      <c r="K96" s="75"/>
      <c r="L96" s="3"/>
      <c r="M96" s="3"/>
      <c r="N96" s="3"/>
      <c r="O96" s="75"/>
      <c r="P96" s="75"/>
      <c r="Q96" s="75"/>
      <c r="R96" s="76"/>
      <c r="S96" s="75"/>
      <c r="T96" s="75"/>
      <c r="U96" s="75"/>
      <c r="V96" s="75"/>
      <c r="W96" s="75"/>
      <c r="X96" s="75"/>
    </row>
    <row r="97" spans="1:24" s="192" customFormat="1">
      <c r="A97" s="75"/>
      <c r="B97" s="3"/>
      <c r="C97" s="3"/>
      <c r="D97" s="30" t="s">
        <v>41</v>
      </c>
      <c r="E97" s="32" t="s">
        <v>238</v>
      </c>
      <c r="F97" s="33" t="s">
        <v>28</v>
      </c>
      <c r="G97" s="75"/>
      <c r="H97" s="75"/>
      <c r="I97" s="75"/>
      <c r="J97" s="75"/>
      <c r="K97" s="75"/>
      <c r="L97" s="153">
        <f>FD.AddInc.Coeff.Water/100*Baseline.Totex.Water</f>
        <v>0</v>
      </c>
      <c r="M97" s="153">
        <f>FD.AddInc.Coeff.Water/100*Baseline.Totex.Water</f>
        <v>0</v>
      </c>
      <c r="N97" s="153">
        <f>FD.AddInc.Coeff.Water/100*Baseline.Totex.Water</f>
        <v>0</v>
      </c>
      <c r="O97" s="153">
        <f>FD.AddInc.Coeff.Water/100*Baseline.Totex.Water</f>
        <v>0</v>
      </c>
      <c r="P97" s="153">
        <f>FD.AddInc.Coeff.Water/100*Baseline.Totex.Water</f>
        <v>0</v>
      </c>
      <c r="Q97" s="75"/>
      <c r="R97" s="76"/>
      <c r="S97" s="75"/>
      <c r="T97" s="75"/>
      <c r="U97" s="75"/>
      <c r="V97" s="75"/>
      <c r="W97" s="75"/>
      <c r="X97" s="75"/>
    </row>
    <row r="98" spans="1:24" s="192" customFormat="1">
      <c r="A98" s="75"/>
      <c r="B98" s="3"/>
      <c r="C98" s="3"/>
      <c r="D98" s="30" t="s">
        <v>41</v>
      </c>
      <c r="E98" s="32" t="s">
        <v>239</v>
      </c>
      <c r="F98" s="33" t="s">
        <v>28</v>
      </c>
      <c r="G98" s="75"/>
      <c r="H98" s="75"/>
      <c r="I98" s="75"/>
      <c r="J98" s="75"/>
      <c r="K98" s="75"/>
      <c r="L98" s="153">
        <f>FD.AddInc.Coeff.Sewerage/100*Baseline.Totex.Sewerage</f>
        <v>0.69989450310069312</v>
      </c>
      <c r="M98" s="153">
        <f>FD.AddInc.Coeff.Sewerage/100*Baseline.Totex.Sewerage</f>
        <v>0.27856151518243188</v>
      </c>
      <c r="N98" s="153">
        <f>FD.AddInc.Coeff.Sewerage/100*Baseline.Totex.Sewerage</f>
        <v>0.24211101379988609</v>
      </c>
      <c r="O98" s="153">
        <f>FD.AddInc.Coeff.Sewerage/100*Baseline.Totex.Sewerage</f>
        <v>0.22740565444791089</v>
      </c>
      <c r="P98" s="153">
        <f>FD.AddInc.Coeff.Sewerage/100*Baseline.Totex.Sewerage</f>
        <v>0.10435834703116652</v>
      </c>
      <c r="Q98" s="75"/>
      <c r="R98" s="76"/>
      <c r="S98" s="75"/>
      <c r="T98" s="75"/>
      <c r="U98" s="75"/>
      <c r="V98" s="75"/>
      <c r="W98" s="75"/>
      <c r="X98" s="75"/>
    </row>
    <row r="99" spans="1:24" s="75" customFormat="1">
      <c r="B99" s="3"/>
      <c r="C99" s="3"/>
      <c r="D99" s="30"/>
      <c r="E99" s="32"/>
      <c r="F99" s="33"/>
      <c r="G99" s="153"/>
      <c r="L99" s="3"/>
      <c r="M99" s="3"/>
      <c r="N99" s="3"/>
      <c r="R99" s="76"/>
    </row>
    <row r="100" spans="1:24" s="192" customFormat="1">
      <c r="A100" s="75"/>
      <c r="B100" s="3"/>
      <c r="C100" s="3"/>
      <c r="D100" s="75"/>
      <c r="E100" s="49" t="s">
        <v>240</v>
      </c>
      <c r="F100" s="161"/>
      <c r="G100" s="75"/>
      <c r="H100" s="75"/>
      <c r="I100" s="75"/>
      <c r="J100" s="75"/>
      <c r="K100" s="75"/>
      <c r="L100" s="3"/>
      <c r="M100" s="3"/>
      <c r="N100" s="3"/>
      <c r="O100" s="75"/>
      <c r="P100" s="75"/>
      <c r="Q100" s="75"/>
      <c r="R100" s="76"/>
      <c r="S100" s="75"/>
      <c r="T100" s="75"/>
      <c r="U100" s="75"/>
      <c r="V100" s="75"/>
      <c r="W100" s="75"/>
      <c r="X100" s="75"/>
    </row>
    <row r="101" spans="1:24" s="192" customFormat="1">
      <c r="A101" s="75"/>
      <c r="B101" s="3"/>
      <c r="C101" s="3"/>
      <c r="D101" s="30" t="s">
        <v>41</v>
      </c>
      <c r="E101" s="32" t="s">
        <v>241</v>
      </c>
      <c r="F101" s="33" t="s">
        <v>28</v>
      </c>
      <c r="G101" s="153">
        <f>G93-SUM(L97:P97)</f>
        <v>0</v>
      </c>
      <c r="H101" s="75"/>
      <c r="I101" s="75"/>
      <c r="J101" s="75"/>
      <c r="K101" s="75"/>
      <c r="L101" s="3"/>
      <c r="M101" s="3"/>
      <c r="N101" s="3"/>
      <c r="O101" s="75"/>
      <c r="P101" s="75"/>
      <c r="Q101" s="75"/>
      <c r="R101" s="76"/>
      <c r="S101" s="75"/>
      <c r="T101" s="75"/>
      <c r="U101" s="75"/>
      <c r="V101" s="75"/>
      <c r="W101" s="75"/>
      <c r="X101" s="75"/>
    </row>
    <row r="102" spans="1:24" s="192" customFormat="1">
      <c r="A102" s="75"/>
      <c r="B102" s="3"/>
      <c r="C102" s="3"/>
      <c r="D102" s="30" t="s">
        <v>41</v>
      </c>
      <c r="E102" s="32" t="s">
        <v>242</v>
      </c>
      <c r="F102" s="33" t="s">
        <v>28</v>
      </c>
      <c r="G102" s="153">
        <f>G94-SUM(L98:P98)</f>
        <v>57.565669542349305</v>
      </c>
      <c r="H102" s="75"/>
      <c r="I102" s="75"/>
      <c r="J102" s="75"/>
      <c r="K102" s="75"/>
      <c r="L102" s="3"/>
      <c r="M102" s="3"/>
      <c r="N102" s="3"/>
      <c r="O102" s="75"/>
      <c r="P102" s="75"/>
      <c r="Q102" s="75"/>
      <c r="R102" s="76"/>
      <c r="S102" s="75"/>
      <c r="T102" s="75"/>
      <c r="U102" s="75"/>
      <c r="V102" s="75"/>
      <c r="W102" s="75"/>
      <c r="X102" s="75"/>
    </row>
    <row r="103" spans="1:24" s="75" customFormat="1">
      <c r="B103" s="3"/>
      <c r="C103" s="3"/>
      <c r="D103" s="30"/>
      <c r="E103" s="32"/>
      <c r="F103" s="33"/>
      <c r="G103" s="153"/>
      <c r="H103" s="75" t="s">
        <v>243</v>
      </c>
      <c r="L103" s="3"/>
      <c r="M103" s="3"/>
      <c r="N103" s="3"/>
      <c r="R103" s="76"/>
    </row>
    <row r="104" spans="1:24" s="75" customFormat="1">
      <c r="B104" s="3"/>
      <c r="C104" s="3"/>
      <c r="E104" s="49" t="s">
        <v>244</v>
      </c>
      <c r="F104" s="161"/>
      <c r="G104" s="153"/>
      <c r="L104" s="153"/>
      <c r="M104" s="153"/>
      <c r="N104" s="153"/>
      <c r="O104" s="153"/>
      <c r="P104" s="153"/>
      <c r="R104" s="3"/>
      <c r="S104" s="3"/>
      <c r="T104" s="3"/>
      <c r="X104" s="76"/>
    </row>
    <row r="105" spans="1:24" s="75" customFormat="1">
      <c r="B105" s="3"/>
      <c r="C105" s="3"/>
      <c r="D105" s="30" t="s">
        <v>41</v>
      </c>
      <c r="E105" s="32" t="s">
        <v>245</v>
      </c>
      <c r="F105" s="33" t="s">
        <v>28</v>
      </c>
      <c r="G105" s="153"/>
      <c r="L105" s="153">
        <f>IF(SUM(Baseline.Totex.Water)=0,0,$G101*(Baseline.Totex.Water/SUM(Baseline.Totex.Water)))</f>
        <v>0</v>
      </c>
      <c r="M105" s="153">
        <f>IF(SUM(Baseline.Totex.Water)=0,0,$G101*(Baseline.Totex.Water/SUM(Baseline.Totex.Water)))</f>
        <v>0</v>
      </c>
      <c r="N105" s="153">
        <f>IF(SUM(Baseline.Totex.Water)=0,0,$G101*(Baseline.Totex.Water/SUM(Baseline.Totex.Water)))</f>
        <v>0</v>
      </c>
      <c r="O105" s="153">
        <f>IF(SUM(Baseline.Totex.Water)=0,0,$G101*(Baseline.Totex.Water/SUM(Baseline.Totex.Water)))</f>
        <v>0</v>
      </c>
      <c r="P105" s="153">
        <f>IF(SUM(Baseline.Totex.Water)=0,0,$G101*(Baseline.Totex.Water/SUM(Baseline.Totex.Water)))</f>
        <v>0</v>
      </c>
      <c r="R105" s="3"/>
      <c r="S105" s="3"/>
      <c r="T105" s="3"/>
      <c r="X105" s="76"/>
    </row>
    <row r="106" spans="1:24" s="75" customFormat="1">
      <c r="B106" s="3"/>
      <c r="C106" s="3"/>
      <c r="D106" s="30" t="s">
        <v>41</v>
      </c>
      <c r="E106" s="32" t="s">
        <v>246</v>
      </c>
      <c r="F106" s="33" t="s">
        <v>28</v>
      </c>
      <c r="G106" s="153"/>
      <c r="L106" s="153">
        <f>IF(SUM(Baseline.Totex.Sewerage)=0,0,$G102*(Baseline.Totex.Sewerage/SUM(Baseline.Totex.Sewerage)))</f>
        <v>25.954448380477992</v>
      </c>
      <c r="M106" s="153">
        <f>IF(SUM(Baseline.Totex.Sewerage)=0,0,$G102*(Baseline.Totex.Sewerage/SUM(Baseline.Totex.Sewerage)))</f>
        <v>10.330000356568029</v>
      </c>
      <c r="N106" s="153">
        <f>IF(SUM(Baseline.Totex.Sewerage)=0,0,$G102*(Baseline.Totex.Sewerage/SUM(Baseline.Totex.Sewerage)))</f>
        <v>8.9782928458152007</v>
      </c>
      <c r="O106" s="153">
        <f>IF(SUM(Baseline.Totex.Sewerage)=0,0,$G102*(Baseline.Totex.Sewerage/SUM(Baseline.Totex.Sewerage)))</f>
        <v>8.4329685311844429</v>
      </c>
      <c r="P106" s="153">
        <f>IF(SUM(Baseline.Totex.Sewerage)=0,0,$G102*(Baseline.Totex.Sewerage/SUM(Baseline.Totex.Sewerage)))</f>
        <v>3.8699594283036416</v>
      </c>
      <c r="R106" s="3"/>
      <c r="S106" s="3"/>
      <c r="T106" s="3"/>
      <c r="X106" s="76"/>
    </row>
    <row r="107" spans="1:24" s="75" customFormat="1">
      <c r="B107" s="3"/>
      <c r="C107" s="3"/>
      <c r="D107" s="30"/>
      <c r="E107" s="32"/>
      <c r="F107" s="33"/>
      <c r="G107" s="153"/>
      <c r="L107" s="153"/>
      <c r="M107" s="153"/>
      <c r="N107" s="153"/>
      <c r="O107" s="153"/>
      <c r="P107" s="153"/>
      <c r="R107" s="3"/>
      <c r="S107" s="3"/>
      <c r="T107" s="3"/>
      <c r="X107" s="76"/>
    </row>
    <row r="108" spans="1:24" s="192" customFormat="1">
      <c r="A108" s="75"/>
      <c r="B108" s="3"/>
      <c r="C108" s="3"/>
      <c r="D108" s="75"/>
      <c r="E108" s="49" t="s">
        <v>247</v>
      </c>
      <c r="F108" s="161"/>
      <c r="G108" s="153"/>
      <c r="H108" s="75"/>
      <c r="I108" s="75"/>
      <c r="J108" s="75"/>
      <c r="K108" s="75"/>
      <c r="L108" s="153"/>
      <c r="M108" s="153"/>
      <c r="N108" s="153"/>
      <c r="O108" s="153"/>
      <c r="P108" s="153"/>
      <c r="Q108" s="75"/>
      <c r="R108" s="3"/>
      <c r="S108" s="3"/>
      <c r="T108" s="3"/>
      <c r="U108" s="75"/>
      <c r="V108" s="75"/>
      <c r="W108" s="75"/>
      <c r="X108" s="76"/>
    </row>
    <row r="109" spans="1:24" s="192" customFormat="1">
      <c r="A109" s="75"/>
      <c r="B109" s="3"/>
      <c r="C109" s="3"/>
      <c r="D109" s="30" t="s">
        <v>41</v>
      </c>
      <c r="E109" s="32" t="s">
        <v>245</v>
      </c>
      <c r="F109" s="33" t="s">
        <v>28</v>
      </c>
      <c r="G109" s="153"/>
      <c r="H109" s="75"/>
      <c r="I109" s="75"/>
      <c r="J109" s="75"/>
      <c r="K109" s="75"/>
      <c r="L109" s="153">
        <f>L105*(1+WACC)^Calcs!L7</f>
        <v>0</v>
      </c>
      <c r="M109" s="153">
        <f>M105*(1+WACC)^Calcs!M7</f>
        <v>0</v>
      </c>
      <c r="N109" s="153">
        <f>N105*(1+WACC)^Calcs!N7</f>
        <v>0</v>
      </c>
      <c r="O109" s="153">
        <f>O105*(1+WACC)^Calcs!O7</f>
        <v>0</v>
      </c>
      <c r="P109" s="153">
        <f>P105*(1+WACC)^Calcs!P7</f>
        <v>0</v>
      </c>
      <c r="Q109" s="75"/>
      <c r="R109" s="3"/>
      <c r="S109" s="3"/>
      <c r="T109" s="3"/>
      <c r="U109" s="75"/>
      <c r="V109" s="75"/>
      <c r="W109" s="75"/>
      <c r="X109" s="76"/>
    </row>
    <row r="110" spans="1:24" s="192" customFormat="1">
      <c r="A110" s="75"/>
      <c r="B110" s="3"/>
      <c r="C110" s="3"/>
      <c r="D110" s="30" t="s">
        <v>41</v>
      </c>
      <c r="E110" s="32" t="s">
        <v>246</v>
      </c>
      <c r="F110" s="33" t="s">
        <v>28</v>
      </c>
      <c r="G110" s="153"/>
      <c r="H110" s="75"/>
      <c r="I110" s="75"/>
      <c r="J110" s="75"/>
      <c r="K110" s="75"/>
      <c r="L110" s="153">
        <f>L106*(1+WACC)^Calcs!L7</f>
        <v>29.89859805435475</v>
      </c>
      <c r="M110" s="153">
        <f>M106*(1+WACC)^Calcs!M7</f>
        <v>11.486285392960349</v>
      </c>
      <c r="N110" s="153">
        <f>N106*(1+WACC)^Calcs!N7</f>
        <v>9.6363657982420712</v>
      </c>
      <c r="O110" s="153">
        <f>O106*(1+WACC)^Calcs!O7</f>
        <v>8.7365553983070825</v>
      </c>
      <c r="P110" s="153">
        <f>P106*(1+WACC)^Calcs!P7</f>
        <v>3.8699594283036416</v>
      </c>
      <c r="Q110" s="75"/>
      <c r="R110" s="3"/>
      <c r="S110" s="3"/>
      <c r="T110" s="3"/>
      <c r="U110" s="75"/>
      <c r="V110" s="75"/>
      <c r="W110" s="75"/>
      <c r="X110" s="76"/>
    </row>
    <row r="111" spans="1:24" s="192" customFormat="1">
      <c r="A111" s="3"/>
      <c r="B111" s="3"/>
      <c r="C111" s="3"/>
      <c r="D111" s="30"/>
      <c r="E111" s="32"/>
      <c r="F111" s="33"/>
      <c r="G111" s="153"/>
      <c r="H111" s="75"/>
      <c r="I111" s="75"/>
      <c r="J111" s="75"/>
      <c r="K111" s="75"/>
      <c r="L111" s="153"/>
      <c r="M111" s="153"/>
      <c r="N111" s="153"/>
      <c r="O111" s="153"/>
      <c r="P111" s="153"/>
      <c r="Q111" s="75"/>
      <c r="R111" s="3"/>
      <c r="S111" s="3"/>
      <c r="T111" s="3"/>
      <c r="U111" s="75"/>
      <c r="V111" s="75"/>
      <c r="W111" s="75"/>
      <c r="X111" s="76"/>
    </row>
    <row r="112" spans="1:24" s="192" customFormat="1">
      <c r="A112" s="3"/>
      <c r="B112" s="3"/>
      <c r="C112" s="3"/>
      <c r="D112" s="75"/>
      <c r="E112" s="151" t="s">
        <v>127</v>
      </c>
      <c r="F112" s="75"/>
      <c r="G112" s="75"/>
      <c r="H112" s="154"/>
      <c r="I112" s="75"/>
      <c r="J112" s="153"/>
      <c r="K112" s="153"/>
      <c r="L112" s="153"/>
      <c r="M112" s="153"/>
      <c r="N112" s="153"/>
      <c r="O112" s="153"/>
      <c r="P112" s="153"/>
      <c r="Q112" s="75"/>
      <c r="R112" s="3"/>
      <c r="S112" s="3"/>
      <c r="T112" s="3"/>
      <c r="U112" s="75"/>
      <c r="V112" s="75"/>
      <c r="W112" s="75"/>
      <c r="X112" s="76"/>
    </row>
    <row r="113" spans="1:24" s="192" customFormat="1">
      <c r="A113" s="75"/>
      <c r="B113" s="3"/>
      <c r="C113" s="3"/>
      <c r="D113" s="184" t="s">
        <v>41</v>
      </c>
      <c r="E113" s="152" t="s">
        <v>248</v>
      </c>
      <c r="F113" s="33" t="s">
        <v>28</v>
      </c>
      <c r="G113" s="75"/>
      <c r="H113" s="75"/>
      <c r="I113" s="75"/>
      <c r="J113" s="75"/>
      <c r="K113" s="75"/>
      <c r="L113" s="77"/>
      <c r="M113" s="75"/>
      <c r="N113" s="75"/>
      <c r="O113" s="75"/>
      <c r="P113" s="88">
        <f>SUM(L109:P109)</f>
        <v>0</v>
      </c>
      <c r="Q113" s="75"/>
      <c r="R113" s="3"/>
      <c r="S113" s="3"/>
      <c r="T113" s="3"/>
      <c r="U113" s="75"/>
      <c r="V113" s="75"/>
      <c r="W113" s="75"/>
      <c r="X113" s="76"/>
    </row>
    <row r="114" spans="1:24" s="192" customFormat="1">
      <c r="A114" s="75"/>
      <c r="B114" s="3"/>
      <c r="C114" s="3"/>
      <c r="D114" s="184" t="s">
        <v>41</v>
      </c>
      <c r="E114" s="152" t="s">
        <v>249</v>
      </c>
      <c r="F114" s="33" t="s">
        <v>28</v>
      </c>
      <c r="G114" s="75"/>
      <c r="H114" s="75"/>
      <c r="I114" s="75"/>
      <c r="J114" s="75"/>
      <c r="K114" s="75"/>
      <c r="L114" s="77"/>
      <c r="M114" s="75"/>
      <c r="N114" s="75"/>
      <c r="O114" s="75"/>
      <c r="P114" s="88">
        <f>SUM(L110:P110)</f>
        <v>63.627764072167899</v>
      </c>
      <c r="Q114" s="75"/>
      <c r="R114" s="3"/>
      <c r="S114" s="3"/>
      <c r="T114" s="3"/>
      <c r="U114" s="75"/>
      <c r="V114" s="75"/>
      <c r="W114" s="75"/>
      <c r="X114" s="76"/>
    </row>
    <row r="115" spans="1:24" s="192" customFormat="1">
      <c r="A115" s="3"/>
      <c r="B115" s="3"/>
      <c r="C115" s="3"/>
      <c r="D115" s="184"/>
      <c r="E115" s="152"/>
      <c r="F115" s="33"/>
      <c r="G115" s="75"/>
      <c r="H115" s="75"/>
      <c r="I115" s="75"/>
      <c r="J115" s="75"/>
      <c r="K115" s="75"/>
      <c r="L115" s="77"/>
      <c r="M115" s="75"/>
      <c r="N115" s="75"/>
      <c r="O115" s="75"/>
      <c r="P115" s="75"/>
      <c r="Q115" s="75"/>
      <c r="R115" s="3"/>
      <c r="S115" s="3"/>
      <c r="T115" s="3"/>
      <c r="U115" s="75"/>
      <c r="V115" s="75"/>
      <c r="W115" s="75"/>
      <c r="X115" s="76"/>
    </row>
    <row r="116" spans="1:24" s="22" customFormat="1" ht="13.7">
      <c r="A116" s="19"/>
      <c r="B116" s="19"/>
      <c r="C116" s="19"/>
      <c r="D116" s="182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92" customFormat="1">
      <c r="A117" s="3"/>
      <c r="B117" s="3"/>
      <c r="C117" s="3"/>
      <c r="D117" s="30"/>
      <c r="E117" s="32"/>
      <c r="F117" s="33"/>
      <c r="G117" s="153"/>
      <c r="H117" s="75"/>
      <c r="I117" s="75"/>
      <c r="J117" s="75"/>
      <c r="K117" s="75"/>
      <c r="L117" s="153"/>
      <c r="M117" s="153"/>
      <c r="N117" s="153"/>
      <c r="O117" s="153"/>
      <c r="P117" s="153"/>
      <c r="Q117" s="75"/>
      <c r="R117" s="3"/>
      <c r="S117" s="3"/>
      <c r="T117" s="3"/>
      <c r="U117" s="75"/>
      <c r="V117" s="75"/>
      <c r="W117" s="75"/>
      <c r="X117" s="76"/>
    </row>
    <row r="118" spans="1:24" s="192" customFormat="1">
      <c r="A118" s="3"/>
      <c r="B118" s="3"/>
      <c r="C118" s="3"/>
      <c r="E118" s="212"/>
      <c r="F118" s="213"/>
      <c r="G118" s="214"/>
      <c r="L118" s="214"/>
      <c r="M118" s="214"/>
      <c r="N118" s="214"/>
      <c r="O118" s="214"/>
      <c r="P118" s="214"/>
      <c r="Q118" s="193"/>
      <c r="R118" s="193"/>
      <c r="S118" s="193"/>
      <c r="T118" s="193"/>
      <c r="W118" s="75"/>
      <c r="X118" s="215"/>
    </row>
    <row r="119" spans="1:24" s="192" customFormat="1">
      <c r="A119" s="3"/>
      <c r="B119" s="3"/>
      <c r="C119" s="3"/>
      <c r="D119" s="189"/>
      <c r="E119" s="216"/>
      <c r="F119" s="217"/>
      <c r="L119" s="218"/>
      <c r="M119" s="218"/>
      <c r="N119" s="218"/>
      <c r="O119" s="218"/>
      <c r="P119" s="218"/>
      <c r="Q119" s="213"/>
      <c r="R119" s="193"/>
      <c r="S119" s="193"/>
      <c r="T119" s="193"/>
      <c r="W119" s="75"/>
      <c r="X119" s="215"/>
    </row>
    <row r="120" spans="1:24" s="192" customFormat="1">
      <c r="A120" s="3"/>
      <c r="B120" s="3"/>
      <c r="C120" s="3"/>
      <c r="D120" s="189"/>
      <c r="E120" s="216"/>
      <c r="F120" s="217"/>
      <c r="K120" s="218"/>
      <c r="L120" s="218"/>
      <c r="M120" s="218"/>
      <c r="N120" s="218"/>
      <c r="O120" s="218"/>
      <c r="P120" s="218"/>
      <c r="Q120" s="213"/>
      <c r="R120" s="193"/>
      <c r="S120" s="193"/>
      <c r="T120" s="193"/>
      <c r="W120" s="75"/>
      <c r="X120" s="215"/>
    </row>
    <row r="121" spans="1:24" s="192" customFormat="1">
      <c r="A121" s="3"/>
      <c r="B121" s="3"/>
      <c r="C121" s="3"/>
      <c r="D121" s="30"/>
      <c r="E121" s="32"/>
      <c r="F121" s="33"/>
      <c r="G121" s="153"/>
      <c r="H121" s="75"/>
      <c r="I121" s="75"/>
      <c r="J121" s="75"/>
      <c r="K121" s="75"/>
      <c r="L121" s="153"/>
      <c r="M121" s="153"/>
      <c r="N121" s="153"/>
      <c r="O121" s="153"/>
      <c r="P121" s="153"/>
      <c r="Q121" s="75"/>
      <c r="R121" s="3"/>
      <c r="S121" s="3"/>
      <c r="T121" s="3"/>
      <c r="U121" s="75"/>
      <c r="V121" s="75"/>
      <c r="W121" s="75"/>
      <c r="X121" s="76"/>
    </row>
    <row r="122" spans="1:24" s="192" customFormat="1">
      <c r="A122" s="3"/>
      <c r="B122" s="3"/>
      <c r="C122" s="3"/>
      <c r="D122" s="75"/>
      <c r="E122" s="49" t="s">
        <v>251</v>
      </c>
      <c r="F122" s="161"/>
      <c r="G122" s="77"/>
      <c r="H122" s="75"/>
      <c r="I122" s="75"/>
      <c r="J122" s="75"/>
      <c r="K122" s="75"/>
      <c r="L122" s="77"/>
      <c r="M122" s="77"/>
      <c r="N122" s="77"/>
      <c r="O122" s="77"/>
      <c r="P122" s="77"/>
      <c r="Q122" s="75"/>
      <c r="R122" s="3"/>
      <c r="S122" s="3"/>
      <c r="T122" s="3"/>
      <c r="U122" s="75"/>
      <c r="V122" s="75"/>
      <c r="W122" s="75"/>
      <c r="X122" s="76"/>
    </row>
    <row r="123" spans="1:24" s="206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5"/>
      <c r="H123" s="75"/>
      <c r="I123" s="75"/>
      <c r="J123" s="75"/>
      <c r="K123" s="75"/>
      <c r="L123" s="153"/>
      <c r="M123" s="153"/>
      <c r="N123" s="153">
        <f>BR.IDoK.Water/Indexation.Average</f>
        <v>0</v>
      </c>
      <c r="O123" s="153">
        <f>BR.IDoK.Water/Indexation.Average</f>
        <v>0</v>
      </c>
      <c r="P123" s="153">
        <f>BR.IDoK.Water/Indexation.Average</f>
        <v>0</v>
      </c>
      <c r="Q123" s="75"/>
      <c r="R123" s="3"/>
      <c r="S123" s="3"/>
      <c r="T123" s="3"/>
      <c r="U123" s="75"/>
      <c r="V123" s="75"/>
      <c r="W123" s="75"/>
      <c r="X123" s="76"/>
    </row>
    <row r="124" spans="1:24" s="192" customFormat="1">
      <c r="A124" s="3"/>
      <c r="B124" s="3"/>
      <c r="C124" s="3"/>
      <c r="D124" s="30"/>
      <c r="E124" s="32"/>
      <c r="F124" s="33"/>
      <c r="G124" s="75"/>
      <c r="H124" s="75"/>
      <c r="I124" s="75"/>
      <c r="J124" s="75"/>
      <c r="K124" s="153"/>
      <c r="L124" s="153"/>
      <c r="M124" s="153"/>
      <c r="N124" s="153"/>
      <c r="O124" s="153"/>
      <c r="P124" s="153"/>
      <c r="Q124" s="75"/>
      <c r="R124" s="3"/>
      <c r="S124" s="3"/>
      <c r="T124" s="3"/>
      <c r="U124" s="75"/>
      <c r="V124" s="75"/>
      <c r="W124" s="75"/>
      <c r="X124" s="76"/>
    </row>
    <row r="125" spans="1:24" s="192" customFormat="1">
      <c r="A125" s="3"/>
      <c r="B125" s="3"/>
      <c r="C125" s="3"/>
      <c r="D125" s="75"/>
      <c r="E125" s="49" t="s">
        <v>253</v>
      </c>
      <c r="F125" s="161"/>
      <c r="G125" s="153"/>
      <c r="H125" s="75"/>
      <c r="I125" s="75"/>
      <c r="J125" s="75"/>
      <c r="K125" s="75"/>
      <c r="L125" s="153"/>
      <c r="M125" s="153"/>
      <c r="N125" s="153"/>
      <c r="O125" s="153"/>
      <c r="P125" s="153"/>
      <c r="Q125" s="75"/>
      <c r="R125" s="3"/>
      <c r="S125" s="3"/>
      <c r="T125" s="3"/>
      <c r="U125" s="75"/>
      <c r="V125" s="75"/>
      <c r="W125" s="75"/>
      <c r="X125" s="76"/>
    </row>
    <row r="126" spans="1:24" s="192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53"/>
      <c r="H126" s="75"/>
      <c r="I126" s="75"/>
      <c r="J126" s="75"/>
      <c r="K126" s="75"/>
      <c r="L126" s="153">
        <f>(L123)*(1+WACC)^Calcs!L7</f>
        <v>0</v>
      </c>
      <c r="M126" s="153">
        <f>(M123)*(1+WACC)^Calcs!M7</f>
        <v>0</v>
      </c>
      <c r="N126" s="153">
        <f>(N123)*(1+WACC)^Calcs!N7</f>
        <v>0</v>
      </c>
      <c r="O126" s="153">
        <f>(O123)*(1+WACC)^Calcs!O7</f>
        <v>0</v>
      </c>
      <c r="P126" s="153">
        <f>(P123)*(1+WACC)^Calcs!P7</f>
        <v>0</v>
      </c>
      <c r="Q126" s="75"/>
      <c r="R126" s="3"/>
      <c r="S126" s="3"/>
      <c r="T126" s="3"/>
      <c r="U126" s="75"/>
      <c r="V126" s="75"/>
      <c r="W126" s="75"/>
      <c r="X126" s="76"/>
    </row>
    <row r="127" spans="1:24" s="192" customFormat="1">
      <c r="A127" s="3"/>
      <c r="B127" s="3"/>
      <c r="C127" s="3"/>
      <c r="D127" s="189"/>
      <c r="E127" s="216"/>
      <c r="F127" s="217"/>
      <c r="G127" s="218"/>
      <c r="L127" s="218"/>
      <c r="M127" s="218"/>
      <c r="N127" s="218"/>
      <c r="O127" s="218"/>
      <c r="P127" s="218"/>
      <c r="R127" s="193"/>
      <c r="S127" s="193"/>
      <c r="T127" s="193"/>
      <c r="W127" s="75"/>
      <c r="X127" s="215"/>
    </row>
    <row r="128" spans="1:24" s="192" customFormat="1">
      <c r="A128" s="3"/>
      <c r="B128" s="3"/>
      <c r="C128" s="3"/>
      <c r="D128" s="30"/>
      <c r="E128" s="32"/>
      <c r="F128" s="33"/>
      <c r="G128" s="153"/>
      <c r="H128" s="75"/>
      <c r="I128" s="75"/>
      <c r="J128" s="75"/>
      <c r="K128" s="75"/>
      <c r="L128" s="153"/>
      <c r="M128" s="153"/>
      <c r="N128" s="153"/>
      <c r="O128" s="153"/>
      <c r="P128" s="153"/>
      <c r="Q128" s="75"/>
      <c r="R128" s="3"/>
      <c r="S128" s="3"/>
      <c r="T128" s="3"/>
      <c r="U128" s="75"/>
      <c r="V128" s="75"/>
      <c r="W128" s="75"/>
      <c r="X128" s="76"/>
    </row>
    <row r="129" spans="1:24" s="192" customFormat="1">
      <c r="A129" s="3"/>
      <c r="B129" s="3"/>
      <c r="C129" s="3"/>
      <c r="D129" s="75"/>
      <c r="E129" s="151" t="s">
        <v>255</v>
      </c>
      <c r="F129" s="75"/>
      <c r="G129" s="75"/>
      <c r="H129" s="154"/>
      <c r="I129" s="75"/>
      <c r="J129" s="153"/>
      <c r="K129" s="153"/>
      <c r="L129" s="153"/>
      <c r="M129" s="153"/>
      <c r="N129" s="153"/>
      <c r="O129" s="153"/>
      <c r="P129" s="153"/>
      <c r="Q129" s="75"/>
      <c r="R129" s="3"/>
      <c r="S129" s="3"/>
      <c r="T129" s="3"/>
      <c r="U129" s="75"/>
      <c r="V129" s="75"/>
      <c r="W129" s="75"/>
      <c r="X129" s="76"/>
    </row>
    <row r="130" spans="1:24" s="192" customFormat="1">
      <c r="A130" s="3"/>
      <c r="B130" s="3"/>
      <c r="C130" s="3"/>
      <c r="D130" s="184" t="s">
        <v>41</v>
      </c>
      <c r="E130" s="32" t="s">
        <v>254</v>
      </c>
      <c r="F130" s="33" t="s">
        <v>28</v>
      </c>
      <c r="G130" s="75"/>
      <c r="H130" s="75"/>
      <c r="I130" s="75"/>
      <c r="J130" s="75"/>
      <c r="K130" s="75"/>
      <c r="L130" s="77"/>
      <c r="M130" s="75"/>
      <c r="N130" s="75"/>
      <c r="O130" s="75"/>
      <c r="P130" s="88">
        <f>SUM(L126:P126)</f>
        <v>0</v>
      </c>
      <c r="Q130" s="75"/>
      <c r="R130" s="3"/>
      <c r="S130" s="3"/>
      <c r="T130" s="3"/>
      <c r="U130" s="75"/>
      <c r="V130" s="75"/>
      <c r="W130" s="75"/>
      <c r="X130" s="76"/>
    </row>
    <row r="131" spans="1:24" s="192" customFormat="1">
      <c r="A131" s="3"/>
      <c r="B131" s="3"/>
      <c r="C131" s="3"/>
      <c r="D131" s="219"/>
      <c r="E131" s="216"/>
      <c r="F131" s="217"/>
      <c r="L131" s="214"/>
      <c r="R131" s="193"/>
      <c r="S131" s="193"/>
      <c r="T131" s="193"/>
      <c r="W131" s="75"/>
      <c r="X131" s="215"/>
    </row>
    <row r="132" spans="1:24" s="192" customFormat="1">
      <c r="A132" s="3"/>
      <c r="B132" s="3"/>
      <c r="C132" s="3"/>
      <c r="D132" s="30"/>
      <c r="E132" s="32"/>
      <c r="F132" s="33"/>
      <c r="G132" s="153"/>
      <c r="H132" s="75"/>
      <c r="I132" s="75"/>
      <c r="J132" s="75"/>
      <c r="K132" s="75"/>
      <c r="L132" s="153"/>
      <c r="M132" s="153"/>
      <c r="N132" s="153"/>
      <c r="O132" s="153"/>
      <c r="P132" s="153"/>
      <c r="Q132" s="75"/>
      <c r="R132" s="3"/>
      <c r="S132" s="3"/>
      <c r="T132" s="3"/>
      <c r="U132" s="75"/>
      <c r="V132" s="75"/>
      <c r="W132" s="75"/>
      <c r="X132" s="76"/>
    </row>
    <row r="133" spans="1:24" s="22" customFormat="1" ht="13.7">
      <c r="A133" s="19"/>
      <c r="B133" s="19"/>
      <c r="C133" s="19"/>
      <c r="D133" s="182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92" customFormat="1">
      <c r="A134" s="3"/>
      <c r="B134" s="3"/>
      <c r="C134" s="3"/>
      <c r="D134" s="30"/>
      <c r="E134" s="32"/>
      <c r="F134" s="33"/>
      <c r="G134" s="153"/>
      <c r="H134" s="75"/>
      <c r="I134" s="75"/>
      <c r="J134" s="75"/>
      <c r="K134" s="75"/>
      <c r="L134" s="153"/>
      <c r="M134" s="153"/>
      <c r="N134" s="153"/>
      <c r="O134" s="153"/>
      <c r="P134" s="153"/>
      <c r="Q134" s="75"/>
      <c r="R134" s="3"/>
      <c r="S134" s="3"/>
      <c r="T134" s="3"/>
      <c r="U134" s="75"/>
      <c r="V134" s="75"/>
      <c r="W134" s="75"/>
      <c r="X134" s="76"/>
    </row>
    <row r="135" spans="1:24" s="206" customFormat="1">
      <c r="A135" s="3"/>
      <c r="B135" s="3"/>
      <c r="C135" s="3"/>
      <c r="D135" s="25"/>
      <c r="E135" s="27" t="s">
        <v>257</v>
      </c>
      <c r="F135" s="33"/>
      <c r="G135" s="153"/>
      <c r="H135" s="75"/>
      <c r="I135" s="75"/>
      <c r="J135" s="75"/>
      <c r="K135" s="75"/>
      <c r="L135" s="153"/>
      <c r="M135" s="153"/>
      <c r="N135" s="153"/>
      <c r="O135" s="153"/>
      <c r="P135" s="153"/>
      <c r="Q135" s="75"/>
      <c r="R135" s="3"/>
      <c r="S135" s="3"/>
      <c r="T135" s="3"/>
      <c r="U135" s="75"/>
      <c r="V135" s="210"/>
      <c r="W135" s="211" t="s">
        <v>258</v>
      </c>
      <c r="X135" s="76"/>
    </row>
    <row r="136" spans="1:24" s="206" customFormat="1">
      <c r="A136" s="75"/>
      <c r="B136" s="3"/>
      <c r="C136" s="3"/>
      <c r="D136" s="30" t="s">
        <v>41</v>
      </c>
      <c r="E136" s="32" t="s">
        <v>259</v>
      </c>
      <c r="F136" s="33" t="s">
        <v>28</v>
      </c>
      <c r="G136" s="153"/>
      <c r="H136" s="75"/>
      <c r="I136" s="75"/>
      <c r="J136" s="75"/>
      <c r="K136" s="75"/>
      <c r="L136" s="153">
        <f>Baseline.Totex.Water*(FD.AllExp.Coeff.Water/100)</f>
        <v>0</v>
      </c>
      <c r="M136" s="153">
        <f>Baseline.Totex.Water*(FD.AllExp.Coeff.Water/100)</f>
        <v>0</v>
      </c>
      <c r="N136" s="153">
        <f>Baseline.Totex.Water*(FD.AllExp.Coeff.Water/100)</f>
        <v>0</v>
      </c>
      <c r="O136" s="153">
        <f>Baseline.Totex.Water*(FD.AllExp.Coeff.Water/100)</f>
        <v>0</v>
      </c>
      <c r="P136" s="153">
        <f>Baseline.Totex.Water*(FD.AllExp.Coeff.Water/100)</f>
        <v>0</v>
      </c>
      <c r="Q136" s="75"/>
      <c r="R136" s="3"/>
      <c r="S136" s="3"/>
      <c r="T136" s="3"/>
      <c r="U136" s="75"/>
      <c r="V136" s="210"/>
      <c r="W136" s="210"/>
      <c r="X136" s="76"/>
    </row>
    <row r="137" spans="1:24" s="206" customFormat="1">
      <c r="A137" s="75"/>
      <c r="B137" s="3"/>
      <c r="C137" s="3"/>
      <c r="D137" s="30" t="s">
        <v>41</v>
      </c>
      <c r="E137" s="32" t="s">
        <v>260</v>
      </c>
      <c r="F137" s="33" t="s">
        <v>28</v>
      </c>
      <c r="G137" s="153"/>
      <c r="H137" s="75"/>
      <c r="I137" s="75"/>
      <c r="J137" s="75"/>
      <c r="K137" s="75"/>
      <c r="L137" s="153">
        <f>Baseline.Totex.Sewerage*(FD.AllExp.Coeff.Sewerage/100)</f>
        <v>157.23948129309298</v>
      </c>
      <c r="M137" s="153">
        <f>Baseline.Totex.Sewerage*(FD.AllExp.Coeff.Sewerage/100)</f>
        <v>62.58210053294566</v>
      </c>
      <c r="N137" s="153">
        <f>Baseline.Totex.Sewerage*(FD.AllExp.Coeff.Sewerage/100)</f>
        <v>54.393069321994595</v>
      </c>
      <c r="O137" s="153">
        <f>Baseline.Totex.Sewerage*(FD.AllExp.Coeff.Sewerage/100)</f>
        <v>51.089338450428578</v>
      </c>
      <c r="P137" s="153">
        <f>Baseline.Totex.Sewerage*(FD.AllExp.Coeff.Sewerage/100)</f>
        <v>23.445322520877731</v>
      </c>
      <c r="Q137" s="75"/>
      <c r="R137" s="3"/>
      <c r="S137" s="3"/>
      <c r="T137" s="3"/>
      <c r="U137" s="75"/>
      <c r="V137" s="210"/>
      <c r="W137" s="75"/>
      <c r="X137" s="76"/>
    </row>
    <row r="138" spans="1:24" s="206" customFormat="1">
      <c r="A138" s="75"/>
      <c r="B138" s="3"/>
      <c r="C138" s="3"/>
      <c r="D138" s="30"/>
      <c r="E138" s="32"/>
      <c r="F138" s="33"/>
      <c r="G138" s="153"/>
      <c r="H138" s="75"/>
      <c r="I138" s="75"/>
      <c r="J138" s="75"/>
      <c r="K138" s="75"/>
      <c r="L138" s="153"/>
      <c r="M138" s="153"/>
      <c r="N138" s="153"/>
      <c r="O138" s="153"/>
      <c r="P138" s="153"/>
      <c r="Q138" s="75"/>
      <c r="R138" s="3"/>
      <c r="S138" s="3"/>
      <c r="T138" s="3"/>
      <c r="U138" s="75"/>
      <c r="V138" s="210"/>
      <c r="W138" s="75"/>
      <c r="X138" s="76"/>
    </row>
    <row r="139" spans="1:24" s="206" customFormat="1">
      <c r="A139" s="75"/>
      <c r="B139" s="3"/>
      <c r="C139" s="3"/>
      <c r="D139" s="30"/>
      <c r="E139" s="27" t="s">
        <v>47</v>
      </c>
      <c r="F139" s="33"/>
      <c r="G139" s="153"/>
      <c r="H139" s="75"/>
      <c r="I139" s="75"/>
      <c r="J139" s="75"/>
      <c r="K139" s="75"/>
      <c r="L139" s="153"/>
      <c r="M139" s="153"/>
      <c r="N139" s="153"/>
      <c r="O139" s="153"/>
      <c r="P139" s="153"/>
      <c r="Q139" s="75"/>
      <c r="R139" s="3"/>
      <c r="S139" s="3"/>
      <c r="T139" s="3"/>
      <c r="U139" s="75"/>
      <c r="V139" s="210"/>
      <c r="W139" s="211" t="s">
        <v>261</v>
      </c>
      <c r="X139" s="76"/>
    </row>
    <row r="140" spans="1:24" s="206" customFormat="1">
      <c r="A140" s="75"/>
      <c r="B140" s="3"/>
      <c r="C140" s="3"/>
      <c r="D140" s="30" t="s">
        <v>41</v>
      </c>
      <c r="E140" s="32" t="s">
        <v>48</v>
      </c>
      <c r="F140" s="33" t="s">
        <v>28</v>
      </c>
      <c r="G140" s="210"/>
      <c r="H140" s="75"/>
      <c r="I140" s="75"/>
      <c r="J140" s="75"/>
      <c r="K140" s="75"/>
      <c r="L140" s="153">
        <f>Inputs!L46</f>
        <v>0</v>
      </c>
      <c r="M140" s="153">
        <f>Inputs!M46</f>
        <v>0</v>
      </c>
      <c r="N140" s="153">
        <f>Inputs!N46</f>
        <v>0</v>
      </c>
      <c r="O140" s="153">
        <f>Inputs!O46</f>
        <v>0</v>
      </c>
      <c r="P140" s="153">
        <f>Inputs!P46</f>
        <v>0</v>
      </c>
      <c r="Q140" s="75"/>
      <c r="R140" s="3"/>
      <c r="S140" s="3"/>
      <c r="T140" s="3"/>
      <c r="U140" s="75"/>
      <c r="V140" s="210"/>
      <c r="W140" s="75"/>
      <c r="X140" s="76"/>
    </row>
    <row r="141" spans="1:24" s="206" customFormat="1">
      <c r="A141" s="75"/>
      <c r="B141" s="3"/>
      <c r="C141" s="3"/>
      <c r="D141" s="30" t="s">
        <v>41</v>
      </c>
      <c r="E141" s="32" t="s">
        <v>50</v>
      </c>
      <c r="F141" s="33" t="s">
        <v>28</v>
      </c>
      <c r="G141" s="153"/>
      <c r="H141" s="75"/>
      <c r="I141" s="75"/>
      <c r="J141" s="75"/>
      <c r="K141" s="75"/>
      <c r="L141" s="153">
        <f>Inputs!L47</f>
        <v>183.00455218924699</v>
      </c>
      <c r="M141" s="153">
        <f>Inputs!M47</f>
        <v>82.516819192595406</v>
      </c>
      <c r="N141" s="153">
        <f>Inputs!N47</f>
        <v>57.267184077716699</v>
      </c>
      <c r="O141" s="153">
        <f>Inputs!O47</f>
        <v>58.2370782320016</v>
      </c>
      <c r="P141" s="153">
        <f>Inputs!P47</f>
        <v>24.192754385000502</v>
      </c>
      <c r="Q141" s="75"/>
      <c r="R141" s="3"/>
      <c r="S141" s="3"/>
      <c r="T141" s="3"/>
      <c r="U141" s="75"/>
      <c r="V141" s="75"/>
      <c r="W141" s="75"/>
      <c r="X141" s="76"/>
    </row>
    <row r="142" spans="1:24" s="206" customFormat="1">
      <c r="A142" s="75"/>
      <c r="B142" s="3"/>
      <c r="C142" s="3"/>
      <c r="D142" s="30"/>
      <c r="E142" s="32"/>
      <c r="F142" s="33"/>
      <c r="G142" s="153"/>
      <c r="H142" s="75"/>
      <c r="I142" s="75"/>
      <c r="J142" s="75"/>
      <c r="K142" s="75"/>
      <c r="L142" s="153"/>
      <c r="M142" s="153"/>
      <c r="N142" s="153"/>
      <c r="O142" s="153"/>
      <c r="P142" s="153"/>
      <c r="Q142" s="75"/>
      <c r="R142" s="3"/>
      <c r="S142" s="3"/>
      <c r="T142" s="3"/>
      <c r="U142" s="75"/>
      <c r="V142" s="75"/>
      <c r="W142" s="75"/>
      <c r="X142" s="76"/>
    </row>
    <row r="143" spans="1:24" s="206" customFormat="1">
      <c r="A143" s="75"/>
      <c r="B143" s="3"/>
      <c r="C143" s="3"/>
      <c r="D143" s="30"/>
      <c r="E143" s="27" t="s">
        <v>262</v>
      </c>
      <c r="F143" s="33"/>
      <c r="G143" s="153"/>
      <c r="H143" s="75"/>
      <c r="I143" s="75"/>
      <c r="J143" s="75"/>
      <c r="K143" s="75"/>
      <c r="L143" s="153"/>
      <c r="M143" s="153"/>
      <c r="N143" s="153"/>
      <c r="O143" s="153"/>
      <c r="P143" s="153"/>
      <c r="Q143" s="75"/>
      <c r="R143" s="3"/>
      <c r="S143" s="3"/>
      <c r="T143" s="3"/>
      <c r="U143" s="75"/>
      <c r="V143" s="75"/>
      <c r="W143" s="75"/>
      <c r="X143" s="76"/>
    </row>
    <row r="144" spans="1:24" s="206" customFormat="1">
      <c r="A144" s="75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5"/>
      <c r="I144" s="75"/>
      <c r="J144" s="75"/>
      <c r="K144" s="75"/>
      <c r="L144" s="153">
        <f>L140-L136</f>
        <v>0</v>
      </c>
      <c r="M144" s="153">
        <f t="shared" ref="M144:P144" si="5">M140-M136</f>
        <v>0</v>
      </c>
      <c r="N144" s="153">
        <f t="shared" si="5"/>
        <v>0</v>
      </c>
      <c r="O144" s="153">
        <f t="shared" si="5"/>
        <v>0</v>
      </c>
      <c r="P144" s="153">
        <f t="shared" si="5"/>
        <v>0</v>
      </c>
      <c r="Q144" s="75"/>
      <c r="R144" s="3"/>
      <c r="S144" s="3"/>
      <c r="T144" s="3"/>
      <c r="U144" s="75"/>
      <c r="V144" s="75"/>
      <c r="W144" s="75"/>
      <c r="X144" s="76"/>
    </row>
    <row r="145" spans="1:24" s="206" customFormat="1">
      <c r="A145" s="75"/>
      <c r="B145" s="3"/>
      <c r="C145" s="3"/>
      <c r="D145" s="30" t="s">
        <v>41</v>
      </c>
      <c r="E145" s="32" t="s">
        <v>264</v>
      </c>
      <c r="F145" s="33" t="s">
        <v>28</v>
      </c>
      <c r="G145" s="153"/>
      <c r="H145" s="75"/>
      <c r="I145" s="75"/>
      <c r="J145" s="75"/>
      <c r="K145" s="75"/>
      <c r="L145" s="153">
        <f>L141-L137</f>
        <v>25.765070896154015</v>
      </c>
      <c r="M145" s="153">
        <f t="shared" ref="M145:P145" si="6">M141-M137</f>
        <v>19.934718659649747</v>
      </c>
      <c r="N145" s="153">
        <f t="shared" si="6"/>
        <v>2.8741147557221041</v>
      </c>
      <c r="O145" s="153">
        <f t="shared" si="6"/>
        <v>7.1477397815730228</v>
      </c>
      <c r="P145" s="153">
        <f t="shared" si="6"/>
        <v>0.74743186412277041</v>
      </c>
      <c r="Q145" s="75"/>
      <c r="R145" s="3"/>
      <c r="S145" s="3"/>
      <c r="T145" s="3"/>
      <c r="U145" s="75"/>
      <c r="V145" s="75"/>
      <c r="W145" s="75"/>
      <c r="X145" s="76"/>
    </row>
    <row r="146" spans="1:24" s="206" customFormat="1">
      <c r="A146" s="75"/>
      <c r="B146" s="3"/>
      <c r="C146" s="3"/>
      <c r="D146" s="30"/>
      <c r="E146" s="32"/>
      <c r="F146" s="33"/>
      <c r="G146" s="153"/>
      <c r="H146" s="75"/>
      <c r="I146" s="75"/>
      <c r="J146" s="75"/>
      <c r="K146" s="75"/>
      <c r="L146" s="153"/>
      <c r="M146" s="153"/>
      <c r="N146" s="153"/>
      <c r="O146" s="153"/>
      <c r="P146" s="153"/>
      <c r="Q146" s="75"/>
      <c r="R146" s="3"/>
      <c r="S146" s="3"/>
      <c r="T146" s="3"/>
      <c r="U146" s="75"/>
      <c r="V146" s="75"/>
      <c r="W146" s="75"/>
      <c r="X146" s="76"/>
    </row>
    <row r="147" spans="1:24" s="192" customFormat="1">
      <c r="A147" s="75"/>
      <c r="B147" s="3"/>
      <c r="C147" s="3"/>
      <c r="D147" s="30"/>
      <c r="E147" s="27" t="s">
        <v>265</v>
      </c>
      <c r="F147" s="33"/>
      <c r="G147" s="153"/>
      <c r="H147" s="75"/>
      <c r="I147" s="75"/>
      <c r="J147" s="75"/>
      <c r="K147" s="75"/>
      <c r="L147" s="153"/>
      <c r="M147" s="153"/>
      <c r="N147" s="153"/>
      <c r="O147" s="153"/>
      <c r="P147" s="153"/>
      <c r="Q147" s="75"/>
      <c r="R147" s="3"/>
      <c r="S147" s="3"/>
      <c r="T147" s="3"/>
      <c r="U147" s="75"/>
      <c r="V147" s="75"/>
      <c r="W147" s="75"/>
      <c r="X147" s="76"/>
    </row>
    <row r="148" spans="1:24" s="192" customFormat="1">
      <c r="A148" s="75"/>
      <c r="B148" s="3"/>
      <c r="C148" s="3"/>
      <c r="D148" s="30" t="s">
        <v>41</v>
      </c>
      <c r="E148" s="32" t="s">
        <v>266</v>
      </c>
      <c r="F148" s="33" t="s">
        <v>28</v>
      </c>
      <c r="G148" s="153"/>
      <c r="H148" s="75"/>
      <c r="I148" s="75"/>
      <c r="J148" s="75"/>
      <c r="K148" s="75"/>
      <c r="L148" s="153">
        <f>Baseline.Totex.Water*(AllExp.Coeff.Water/100)</f>
        <v>0</v>
      </c>
      <c r="M148" s="153">
        <f>Baseline.Totex.Water*(AllExp.Coeff.Water/100)</f>
        <v>0</v>
      </c>
      <c r="N148" s="153">
        <f>Baseline.Totex.Water*(AllExp.Coeff.Water/100)</f>
        <v>0</v>
      </c>
      <c r="O148" s="153">
        <f>Baseline.Totex.Water*(AllExp.Coeff.Water/100)</f>
        <v>0</v>
      </c>
      <c r="P148" s="153">
        <f>Baseline.Totex.Water*(AllExp.Coeff.Water/100)</f>
        <v>0</v>
      </c>
      <c r="Q148" s="89" t="s">
        <v>267</v>
      </c>
      <c r="R148" s="3"/>
      <c r="S148" s="3"/>
      <c r="T148" s="3"/>
      <c r="U148" s="75"/>
      <c r="V148" s="75"/>
      <c r="W148" s="75"/>
      <c r="X148" s="76"/>
    </row>
    <row r="149" spans="1:24" s="192" customFormat="1">
      <c r="A149" s="75"/>
      <c r="B149" s="3"/>
      <c r="C149" s="3"/>
      <c r="D149" s="30" t="s">
        <v>41</v>
      </c>
      <c r="E149" s="32" t="s">
        <v>268</v>
      </c>
      <c r="F149" s="33" t="s">
        <v>28</v>
      </c>
      <c r="G149" s="153"/>
      <c r="H149" s="75"/>
      <c r="I149" s="75"/>
      <c r="J149" s="75"/>
      <c r="K149" s="75"/>
      <c r="L149" s="153">
        <f>Baseline.Totex.Sewerage*(AllExp.Coeff.Sewerage/100)</f>
        <v>157.23167181192446</v>
      </c>
      <c r="M149" s="153">
        <f>Baseline.Totex.Sewerage*(AllExp.Coeff.Sewerage/100)</f>
        <v>62.578992320354409</v>
      </c>
      <c r="N149" s="153">
        <f>Baseline.Totex.Sewerage*(AllExp.Coeff.Sewerage/100)</f>
        <v>54.390367827134178</v>
      </c>
      <c r="O149" s="153">
        <f>Baseline.Totex.Sewerage*(AllExp.Coeff.Sewerage/100)</f>
        <v>51.086801039192807</v>
      </c>
      <c r="P149" s="153">
        <f>Baseline.Totex.Sewerage*(AllExp.Coeff.Sewerage/100)</f>
        <v>23.444158081748256</v>
      </c>
      <c r="Q149" s="89" t="s">
        <v>269</v>
      </c>
      <c r="R149" s="3"/>
      <c r="S149" s="3"/>
      <c r="T149" s="3"/>
      <c r="U149" s="75"/>
      <c r="V149" s="75"/>
      <c r="W149" s="75"/>
      <c r="X149" s="76"/>
    </row>
    <row r="150" spans="1:24" s="192" customFormat="1">
      <c r="A150" s="75"/>
      <c r="B150" s="3"/>
      <c r="C150" s="3"/>
      <c r="D150" s="30"/>
      <c r="E150" s="32"/>
      <c r="F150" s="33"/>
      <c r="G150" s="153"/>
      <c r="H150" s="75"/>
      <c r="I150" s="75"/>
      <c r="J150" s="75"/>
      <c r="K150" s="75"/>
      <c r="L150" s="153"/>
      <c r="M150" s="153"/>
      <c r="N150" s="153"/>
      <c r="O150" s="153"/>
      <c r="P150" s="153"/>
      <c r="Q150" s="75"/>
      <c r="R150" s="3"/>
      <c r="S150" s="3"/>
      <c r="T150" s="3"/>
      <c r="U150" s="75"/>
      <c r="V150" s="75"/>
      <c r="W150" s="75"/>
      <c r="X150" s="76"/>
    </row>
    <row r="151" spans="1:24" s="192" customFormat="1">
      <c r="A151" s="75"/>
      <c r="B151" s="3"/>
      <c r="C151" s="3"/>
      <c r="D151" s="30"/>
      <c r="E151" s="27" t="s">
        <v>270</v>
      </c>
      <c r="F151" s="33"/>
      <c r="G151" s="153"/>
      <c r="H151" s="75"/>
      <c r="I151" s="75"/>
      <c r="J151" s="75"/>
      <c r="K151" s="75"/>
      <c r="L151" s="153"/>
      <c r="M151" s="153"/>
      <c r="N151" s="153"/>
      <c r="O151" s="153"/>
      <c r="P151" s="153"/>
      <c r="Q151" s="75"/>
      <c r="R151" s="3"/>
      <c r="S151" s="3"/>
      <c r="T151" s="3"/>
      <c r="U151" s="75"/>
      <c r="V151" s="75"/>
      <c r="W151" s="75"/>
      <c r="X151" s="76"/>
    </row>
    <row r="152" spans="1:24" s="192" customFormat="1">
      <c r="A152" s="75"/>
      <c r="B152" s="3"/>
      <c r="C152" s="3"/>
      <c r="D152" s="30" t="s">
        <v>41</v>
      </c>
      <c r="E152" s="32" t="s">
        <v>271</v>
      </c>
      <c r="F152" s="33" t="s">
        <v>28</v>
      </c>
      <c r="G152" s="153"/>
      <c r="H152" s="75"/>
      <c r="I152" s="75"/>
      <c r="J152" s="75"/>
      <c r="K152" s="75"/>
      <c r="L152" s="153">
        <f>L148+L144</f>
        <v>0</v>
      </c>
      <c r="M152" s="153">
        <f t="shared" ref="M152:P152" si="7">M148+M144</f>
        <v>0</v>
      </c>
      <c r="N152" s="153">
        <f t="shared" si="7"/>
        <v>0</v>
      </c>
      <c r="O152" s="153">
        <f t="shared" si="7"/>
        <v>0</v>
      </c>
      <c r="P152" s="153">
        <f t="shared" si="7"/>
        <v>0</v>
      </c>
      <c r="Q152" s="75"/>
      <c r="R152" s="3"/>
      <c r="S152" s="3"/>
      <c r="T152" s="3"/>
      <c r="U152" s="75"/>
      <c r="V152" s="75"/>
      <c r="W152" s="75"/>
      <c r="X152" s="76"/>
    </row>
    <row r="153" spans="1:24" s="192" customFormat="1">
      <c r="A153" s="75"/>
      <c r="B153" s="3"/>
      <c r="C153" s="3"/>
      <c r="D153" s="30" t="s">
        <v>41</v>
      </c>
      <c r="E153" s="32" t="s">
        <v>272</v>
      </c>
      <c r="F153" s="33" t="s">
        <v>28</v>
      </c>
      <c r="G153" s="153"/>
      <c r="H153" s="75"/>
      <c r="I153" s="75"/>
      <c r="J153" s="75"/>
      <c r="K153" s="75"/>
      <c r="L153" s="153">
        <f>L149+L145</f>
        <v>182.99674270807847</v>
      </c>
      <c r="M153" s="153">
        <f t="shared" ref="M153:P153" si="8">M149+M145</f>
        <v>82.513710980004163</v>
      </c>
      <c r="N153" s="153">
        <f t="shared" si="8"/>
        <v>57.264482582856282</v>
      </c>
      <c r="O153" s="153">
        <f t="shared" si="8"/>
        <v>58.234540820765829</v>
      </c>
      <c r="P153" s="153">
        <f t="shared" si="8"/>
        <v>24.191589945871026</v>
      </c>
      <c r="Q153" s="75"/>
      <c r="R153" s="3"/>
      <c r="S153" s="3"/>
      <c r="T153" s="3"/>
      <c r="U153" s="75"/>
      <c r="V153" s="75"/>
      <c r="W153" s="75"/>
      <c r="X153" s="76"/>
    </row>
    <row r="154" spans="1:24" s="192" customFormat="1">
      <c r="A154" s="75"/>
      <c r="B154" s="3"/>
      <c r="C154" s="3"/>
      <c r="D154" s="30"/>
      <c r="E154" s="32"/>
      <c r="F154" s="33"/>
      <c r="G154" s="153"/>
      <c r="H154" s="75"/>
      <c r="I154" s="75"/>
      <c r="J154" s="75"/>
      <c r="K154" s="75"/>
      <c r="L154" s="153"/>
      <c r="M154" s="153"/>
      <c r="N154" s="153"/>
      <c r="O154" s="153"/>
      <c r="P154" s="153"/>
      <c r="Q154" s="75"/>
      <c r="R154" s="3"/>
      <c r="S154" s="3"/>
      <c r="T154" s="3"/>
      <c r="U154" s="75"/>
      <c r="V154" s="75"/>
      <c r="W154" s="75"/>
      <c r="X154" s="76"/>
    </row>
    <row r="155" spans="1:24" s="192" customFormat="1">
      <c r="A155" s="75"/>
      <c r="B155" s="3"/>
      <c r="C155" s="3"/>
      <c r="D155" s="30"/>
      <c r="E155" s="27" t="s">
        <v>273</v>
      </c>
      <c r="F155" s="33"/>
      <c r="G155" s="153"/>
      <c r="H155" s="75"/>
      <c r="I155" s="75"/>
      <c r="J155" s="75"/>
      <c r="K155" s="75"/>
      <c r="L155" s="153"/>
      <c r="M155" s="153"/>
      <c r="N155" s="153"/>
      <c r="O155" s="153"/>
      <c r="P155" s="153"/>
      <c r="Q155" s="75"/>
      <c r="R155" s="3"/>
      <c r="S155" s="3"/>
      <c r="T155" s="3"/>
      <c r="U155" s="75"/>
      <c r="V155" s="75"/>
      <c r="W155" s="75"/>
      <c r="X155" s="76"/>
    </row>
    <row r="156" spans="1:24" s="192" customFormat="1">
      <c r="A156" s="75"/>
      <c r="B156" s="3"/>
      <c r="C156" s="3"/>
      <c r="D156" s="30" t="s">
        <v>41</v>
      </c>
      <c r="E156" s="32" t="s">
        <v>274</v>
      </c>
      <c r="F156" s="33" t="s">
        <v>28</v>
      </c>
      <c r="G156" s="153"/>
      <c r="H156" s="75"/>
      <c r="I156" s="75"/>
      <c r="J156" s="75"/>
      <c r="K156" s="75"/>
      <c r="L156" s="153">
        <f t="shared" ref="L156:P157" si="9">L148-L136</f>
        <v>0</v>
      </c>
      <c r="M156" s="153">
        <f t="shared" si="9"/>
        <v>0</v>
      </c>
      <c r="N156" s="153">
        <f t="shared" si="9"/>
        <v>0</v>
      </c>
      <c r="O156" s="153">
        <f t="shared" si="9"/>
        <v>0</v>
      </c>
      <c r="P156" s="153">
        <f t="shared" si="9"/>
        <v>0</v>
      </c>
      <c r="Q156" s="75"/>
      <c r="R156" s="3"/>
      <c r="S156" s="3"/>
      <c r="T156" s="3"/>
      <c r="U156" s="75"/>
      <c r="V156" s="75"/>
      <c r="W156" s="75"/>
      <c r="X156" s="76"/>
    </row>
    <row r="157" spans="1:24" s="192" customFormat="1">
      <c r="A157" s="75"/>
      <c r="B157" s="3"/>
      <c r="C157" s="3"/>
      <c r="D157" s="30" t="s">
        <v>41</v>
      </c>
      <c r="E157" s="32" t="s">
        <v>275</v>
      </c>
      <c r="F157" s="33" t="s">
        <v>28</v>
      </c>
      <c r="G157" s="153"/>
      <c r="H157" s="75"/>
      <c r="I157" s="75"/>
      <c r="J157" s="75"/>
      <c r="K157" s="75"/>
      <c r="L157" s="153">
        <f t="shared" si="9"/>
        <v>-7.8094811685218701E-3</v>
      </c>
      <c r="M157" s="153">
        <f t="shared" si="9"/>
        <v>-3.1082125912504921E-3</v>
      </c>
      <c r="N157" s="153">
        <f t="shared" si="9"/>
        <v>-2.701494860417597E-3</v>
      </c>
      <c r="O157" s="153">
        <f t="shared" si="9"/>
        <v>-2.5374112357710032E-3</v>
      </c>
      <c r="P157" s="153">
        <f t="shared" si="9"/>
        <v>-1.1644391294751699E-3</v>
      </c>
      <c r="Q157" s="75"/>
      <c r="R157" s="3"/>
      <c r="S157" s="3"/>
      <c r="T157" s="3"/>
      <c r="U157" s="75"/>
      <c r="V157" s="75"/>
      <c r="W157" s="75"/>
      <c r="X157" s="76"/>
    </row>
    <row r="158" spans="1:24" s="192" customFormat="1">
      <c r="A158" s="3"/>
      <c r="B158" s="3"/>
      <c r="C158" s="3"/>
      <c r="D158" s="30"/>
      <c r="E158" s="32"/>
      <c r="F158" s="33"/>
      <c r="G158" s="153"/>
      <c r="H158" s="75"/>
      <c r="I158" s="75"/>
      <c r="J158" s="75"/>
      <c r="K158" s="75"/>
      <c r="L158" s="153"/>
      <c r="M158" s="153"/>
      <c r="N158" s="153"/>
      <c r="O158" s="153"/>
      <c r="P158" s="153"/>
      <c r="Q158" s="75"/>
      <c r="R158" s="3"/>
      <c r="S158" s="3"/>
      <c r="T158" s="3"/>
      <c r="U158" s="75"/>
      <c r="V158" s="75"/>
      <c r="W158" s="75"/>
      <c r="X158" s="76"/>
    </row>
    <row r="159" spans="1:24" s="22" customFormat="1" ht="13.7">
      <c r="A159" s="19"/>
      <c r="B159" s="19"/>
      <c r="C159" s="19"/>
      <c r="D159" s="182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5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6"/>
    </row>
    <row r="161" spans="1:24" s="75" customFormat="1">
      <c r="B161" s="3"/>
      <c r="C161" s="3"/>
      <c r="E161" s="49" t="s">
        <v>277</v>
      </c>
      <c r="F161" s="161"/>
      <c r="G161" s="77"/>
      <c r="L161" s="77"/>
      <c r="M161" s="77"/>
      <c r="N161" s="77"/>
      <c r="O161" s="77"/>
      <c r="P161" s="77"/>
      <c r="Q161" s="3"/>
      <c r="R161" s="3"/>
      <c r="S161" s="3"/>
      <c r="T161" s="3"/>
      <c r="X161" s="76"/>
    </row>
    <row r="162" spans="1:24" s="75" customFormat="1">
      <c r="B162" s="3"/>
      <c r="C162" s="3"/>
      <c r="D162" s="30" t="s">
        <v>41</v>
      </c>
      <c r="E162" s="32" t="s">
        <v>278</v>
      </c>
      <c r="F162" s="33" t="s">
        <v>28</v>
      </c>
      <c r="L162" s="218">
        <f>(Actual.Totex.Water-SUM(Inputs!L60:L64))/Indexation.Average+TransitionExp.Water-L148</f>
        <v>0</v>
      </c>
      <c r="M162" s="218">
        <f>(Actual.Totex.Water-SUM(Inputs!M60:M64))/Indexation.Average-M148</f>
        <v>0</v>
      </c>
      <c r="N162" s="218">
        <f>(Actual.Totex.Water-SUM(Inputs!N60:N64))/Indexation.Average-N148</f>
        <v>0</v>
      </c>
      <c r="O162" s="218">
        <f>(Actual.Totex.Water-SUM(Inputs!O60:O64))/Indexation.Average-O148</f>
        <v>0</v>
      </c>
      <c r="P162" s="218">
        <f>(Actual.Totex.Water-SUM(Inputs!P60:P64))/Indexation.Average-P148</f>
        <v>0</v>
      </c>
      <c r="Q162" s="161"/>
      <c r="R162" s="3"/>
      <c r="S162" s="3"/>
      <c r="T162" s="3"/>
      <c r="W162" s="211" t="s">
        <v>279</v>
      </c>
      <c r="X162" s="76"/>
    </row>
    <row r="163" spans="1:24" s="75" customFormat="1">
      <c r="B163" s="3"/>
      <c r="C163" s="3"/>
      <c r="D163" s="30" t="s">
        <v>41</v>
      </c>
      <c r="E163" s="32" t="s">
        <v>280</v>
      </c>
      <c r="F163" s="33" t="s">
        <v>28</v>
      </c>
      <c r="K163" s="153"/>
      <c r="L163" s="218">
        <f>(Actual.Totex.Sewerage-SUM(Inputs!L66:L72))/Indexation.Average+TransitionExp.Sewerage-L149</f>
        <v>-62.919481907888112</v>
      </c>
      <c r="M163" s="218">
        <f>(Actual.Totex.Sewerage-SUM(Inputs!M66:M72))/Indexation.Average-M149</f>
        <v>-18.842380327438917</v>
      </c>
      <c r="N163" s="218">
        <f>(Actual.Totex.Sewerage-SUM(Inputs!N66:N72))/Indexation.Average-N149</f>
        <v>-18.143637303635444</v>
      </c>
      <c r="O163" s="218">
        <f>(Actual.Totex.Sewerage-SUM(Inputs!O66:O72))/Indexation.Average-O149</f>
        <v>-6.769710386542215</v>
      </c>
      <c r="P163" s="218">
        <f>(Actual.Totex.Sewerage-SUM(Inputs!P66:P72))/Indexation.Average-P149</f>
        <v>-6.8051878737115743</v>
      </c>
      <c r="Q163" s="161"/>
      <c r="R163" s="3"/>
      <c r="S163" s="3"/>
      <c r="T163" s="3"/>
      <c r="X163" s="76"/>
    </row>
    <row r="164" spans="1:24" s="75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6"/>
    </row>
    <row r="165" spans="1:24" s="75" customFormat="1">
      <c r="B165" s="3"/>
      <c r="C165" s="3"/>
      <c r="E165" s="49" t="s">
        <v>281</v>
      </c>
      <c r="G165" s="77"/>
      <c r="L165" s="77"/>
      <c r="M165" s="77"/>
      <c r="N165" s="77"/>
      <c r="O165" s="77"/>
      <c r="P165" s="77"/>
      <c r="Q165" s="3"/>
      <c r="R165" s="3"/>
      <c r="S165" s="3"/>
      <c r="T165" s="3"/>
      <c r="X165" s="76"/>
    </row>
    <row r="166" spans="1:24" s="75" customFormat="1">
      <c r="B166" s="3"/>
      <c r="C166" s="3"/>
      <c r="D166" s="30" t="s">
        <v>41</v>
      </c>
      <c r="E166" s="32" t="s">
        <v>282</v>
      </c>
      <c r="F166" s="33" t="s">
        <v>28</v>
      </c>
      <c r="G166" s="153"/>
      <c r="L166" s="153">
        <f>L162+L156</f>
        <v>0</v>
      </c>
      <c r="M166" s="153">
        <f t="shared" ref="L166:P167" si="10">M162+M156</f>
        <v>0</v>
      </c>
      <c r="N166" s="153">
        <f t="shared" si="10"/>
        <v>0</v>
      </c>
      <c r="O166" s="153">
        <f t="shared" si="10"/>
        <v>0</v>
      </c>
      <c r="P166" s="153">
        <f t="shared" si="10"/>
        <v>0</v>
      </c>
      <c r="Q166" s="89" t="s">
        <v>283</v>
      </c>
      <c r="R166" s="3"/>
      <c r="S166" s="3"/>
      <c r="T166" s="3"/>
      <c r="X166" s="76"/>
    </row>
    <row r="167" spans="1:24" s="75" customFormat="1">
      <c r="B167" s="3"/>
      <c r="C167" s="3"/>
      <c r="D167" s="30" t="s">
        <v>41</v>
      </c>
      <c r="E167" s="32" t="s">
        <v>284</v>
      </c>
      <c r="F167" s="33" t="s">
        <v>28</v>
      </c>
      <c r="G167" s="153"/>
      <c r="L167" s="153">
        <f t="shared" si="10"/>
        <v>-62.927291389056634</v>
      </c>
      <c r="M167" s="153">
        <f t="shared" si="10"/>
        <v>-18.845488540030168</v>
      </c>
      <c r="N167" s="153">
        <f t="shared" si="10"/>
        <v>-18.146338798495862</v>
      </c>
      <c r="O167" s="153">
        <f t="shared" si="10"/>
        <v>-6.772247797777986</v>
      </c>
      <c r="P167" s="153">
        <f t="shared" si="10"/>
        <v>-6.8063523128410495</v>
      </c>
      <c r="Q167" s="89" t="s">
        <v>285</v>
      </c>
      <c r="R167" s="3"/>
      <c r="S167" s="3"/>
      <c r="T167" s="3"/>
      <c r="X167" s="76"/>
    </row>
    <row r="168" spans="1:24" s="75" customFormat="1">
      <c r="B168" s="3"/>
      <c r="C168" s="3"/>
      <c r="D168" s="30"/>
      <c r="E168" s="32"/>
      <c r="F168" s="33"/>
      <c r="G168" s="153"/>
      <c r="L168" s="153"/>
      <c r="M168" s="153"/>
      <c r="N168" s="153"/>
      <c r="O168" s="153"/>
      <c r="P168" s="153"/>
      <c r="Q168" s="89"/>
      <c r="R168" s="3"/>
      <c r="S168" s="3"/>
      <c r="T168" s="3"/>
      <c r="X168" s="76"/>
    </row>
    <row r="169" spans="1:24" s="75" customFormat="1">
      <c r="B169" s="3"/>
      <c r="C169" s="3"/>
      <c r="E169" s="49" t="s">
        <v>286</v>
      </c>
      <c r="J169" s="153"/>
      <c r="K169" s="153"/>
      <c r="L169" s="153"/>
      <c r="M169" s="153"/>
      <c r="N169" s="153"/>
      <c r="O169" s="153"/>
      <c r="P169" s="153"/>
      <c r="Q169" s="153"/>
      <c r="R169" s="153"/>
      <c r="S169" s="3"/>
      <c r="T169" s="3"/>
      <c r="X169" s="76"/>
    </row>
    <row r="170" spans="1:24" s="75" customFormat="1">
      <c r="B170" s="3"/>
      <c r="D170" s="30" t="s">
        <v>41</v>
      </c>
      <c r="E170" s="32" t="s">
        <v>287</v>
      </c>
      <c r="F170" s="33" t="s">
        <v>28</v>
      </c>
      <c r="J170" s="153"/>
      <c r="K170" s="153"/>
      <c r="L170" s="153">
        <f>L166*(1+WACC)^Calcs!L7</f>
        <v>0</v>
      </c>
      <c r="M170" s="153">
        <f>M166*(1+WACC)^Calcs!M7</f>
        <v>0</v>
      </c>
      <c r="N170" s="153">
        <f>N166*(1+WACC)^Calcs!N7</f>
        <v>0</v>
      </c>
      <c r="O170" s="153">
        <f>O166*(1+WACC)^Calcs!O7</f>
        <v>0</v>
      </c>
      <c r="P170" s="153">
        <f>P166*(1+WACC)^Calcs!P7</f>
        <v>0</v>
      </c>
      <c r="Q170" s="153"/>
      <c r="R170" s="153"/>
      <c r="S170" s="3"/>
      <c r="T170" s="3"/>
      <c r="X170" s="76"/>
    </row>
    <row r="171" spans="1:24" s="75" customFormat="1">
      <c r="B171" s="3"/>
      <c r="C171" s="3"/>
      <c r="D171" s="30" t="s">
        <v>41</v>
      </c>
      <c r="E171" s="32" t="s">
        <v>288</v>
      </c>
      <c r="F171" s="33" t="s">
        <v>28</v>
      </c>
      <c r="J171" s="153"/>
      <c r="K171" s="153"/>
      <c r="L171" s="153">
        <f>L167*(1+WACC)^Calcs!L7</f>
        <v>-72.489993403435747</v>
      </c>
      <c r="M171" s="153">
        <f>M167*(1+WACC)^Calcs!M7</f>
        <v>-20.954951816910388</v>
      </c>
      <c r="N171" s="153">
        <f>N167*(1+WACC)^Calcs!N7</f>
        <v>-19.476392847070414</v>
      </c>
      <c r="O171" s="153">
        <f>O167*(1+WACC)^Calcs!O7</f>
        <v>-7.0160487184979941</v>
      </c>
      <c r="P171" s="153">
        <f>P167*(1+WACC)^Calcs!P7</f>
        <v>-6.8063523128410495</v>
      </c>
      <c r="Q171" s="153"/>
      <c r="R171" s="153"/>
      <c r="S171" s="3"/>
      <c r="T171" s="3"/>
      <c r="X171" s="76"/>
    </row>
    <row r="172" spans="1:24" s="75" customFormat="1">
      <c r="B172" s="3"/>
      <c r="C172" s="3"/>
      <c r="D172" s="30"/>
      <c r="E172" s="32"/>
      <c r="F172" s="33"/>
      <c r="J172" s="153"/>
      <c r="K172" s="153"/>
      <c r="L172" s="153"/>
      <c r="M172" s="153"/>
      <c r="N172" s="153"/>
      <c r="O172" s="153"/>
      <c r="P172" s="153"/>
      <c r="Q172" s="153"/>
      <c r="R172" s="153"/>
      <c r="S172" s="3"/>
      <c r="T172" s="3"/>
      <c r="X172" s="76"/>
    </row>
    <row r="173" spans="1:24" s="75" customFormat="1">
      <c r="B173" s="3"/>
      <c r="C173" s="3"/>
      <c r="E173" s="151" t="s">
        <v>289</v>
      </c>
      <c r="H173" s="154"/>
      <c r="J173" s="153"/>
      <c r="K173" s="153"/>
      <c r="L173" s="153"/>
      <c r="M173" s="153"/>
      <c r="N173" s="153"/>
      <c r="O173" s="153"/>
      <c r="P173" s="153"/>
      <c r="Q173" s="153"/>
      <c r="R173" s="153"/>
      <c r="S173" s="3"/>
      <c r="T173" s="3"/>
      <c r="X173" s="76"/>
    </row>
    <row r="174" spans="1:24" s="75" customFormat="1">
      <c r="B174" s="3"/>
      <c r="C174" s="3"/>
      <c r="D174" s="184" t="s">
        <v>41</v>
      </c>
      <c r="E174" s="152" t="s">
        <v>290</v>
      </c>
      <c r="F174" s="33" t="s">
        <v>28</v>
      </c>
      <c r="L174" s="77"/>
      <c r="P174" s="88">
        <f>SUM(L170:P170)</f>
        <v>0</v>
      </c>
      <c r="Q174" s="89"/>
      <c r="R174" s="3"/>
      <c r="S174" s="3"/>
      <c r="T174" s="3"/>
      <c r="X174" s="76"/>
    </row>
    <row r="175" spans="1:24" s="75" customFormat="1">
      <c r="B175" s="3"/>
      <c r="C175" s="3"/>
      <c r="D175" s="184" t="s">
        <v>41</v>
      </c>
      <c r="E175" s="152" t="s">
        <v>291</v>
      </c>
      <c r="F175" s="33" t="s">
        <v>28</v>
      </c>
      <c r="L175" s="77"/>
      <c r="P175" s="88">
        <f>SUM(L171:P171)</f>
        <v>-126.74373909875561</v>
      </c>
      <c r="Q175" s="89"/>
      <c r="R175" s="3"/>
      <c r="S175" s="3"/>
      <c r="T175" s="3"/>
      <c r="X175" s="76"/>
    </row>
    <row r="176" spans="1:24" s="75" customFormat="1">
      <c r="A176" s="3"/>
      <c r="B176" s="3"/>
      <c r="C176" s="3"/>
      <c r="D176" s="184"/>
      <c r="E176" s="152"/>
      <c r="F176" s="33"/>
      <c r="L176" s="77"/>
      <c r="Q176" s="89"/>
      <c r="R176" s="3"/>
      <c r="S176" s="3"/>
      <c r="T176" s="3"/>
      <c r="X176" s="76"/>
    </row>
    <row r="177" spans="1:24" s="22" customFormat="1" ht="13.7">
      <c r="A177" s="19"/>
      <c r="B177" s="19"/>
      <c r="C177" s="19"/>
      <c r="D177" s="182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5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6"/>
    </row>
    <row r="179" spans="1:24" s="75" customFormat="1">
      <c r="A179" s="3"/>
      <c r="B179" s="3"/>
      <c r="C179" s="3"/>
      <c r="E179" s="49" t="s">
        <v>293</v>
      </c>
      <c r="G179" s="77"/>
      <c r="L179" s="77"/>
      <c r="M179" s="77"/>
      <c r="N179" s="77"/>
      <c r="O179" s="77"/>
      <c r="P179" s="77"/>
      <c r="Q179" s="3"/>
      <c r="R179" s="3"/>
      <c r="S179" s="3"/>
      <c r="T179" s="3"/>
      <c r="X179" s="76"/>
    </row>
    <row r="180" spans="1:24" s="75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53"/>
      <c r="L180" s="223">
        <f>(Inputs!L72/Indexation.Average)-Inputs!L151</f>
        <v>-3.5075994841019096</v>
      </c>
      <c r="M180" s="223">
        <f>(Inputs!M72/Indexation.Average)-Inputs!M151</f>
        <v>11.735531977162754</v>
      </c>
      <c r="N180" s="223">
        <f>(Inputs!N72/Indexation.Average)-Inputs!N151</f>
        <v>-4.6541626504748717</v>
      </c>
      <c r="O180" s="223">
        <f>(Inputs!O72/Indexation.Average)-Inputs!O151</f>
        <v>-15.602565517361358</v>
      </c>
      <c r="P180" s="223">
        <f>(Inputs!P72/Indexation.Average)-Inputs!P151</f>
        <v>3.4522072595613968</v>
      </c>
      <c r="Q180" s="89"/>
      <c r="R180" s="3"/>
      <c r="S180" s="3"/>
      <c r="T180" s="3"/>
      <c r="X180" s="76"/>
    </row>
    <row r="181" spans="1:24" s="75" customFormat="1">
      <c r="A181" s="3"/>
      <c r="B181" s="3"/>
      <c r="C181" s="3"/>
      <c r="D181" s="30"/>
      <c r="E181" s="32"/>
      <c r="F181" s="33"/>
      <c r="G181" s="153"/>
      <c r="L181" s="153"/>
      <c r="M181" s="153"/>
      <c r="N181" s="153"/>
      <c r="O181" s="153"/>
      <c r="P181" s="153"/>
      <c r="Q181" s="89"/>
      <c r="R181" s="3"/>
      <c r="S181" s="3"/>
      <c r="T181" s="3"/>
      <c r="X181" s="76"/>
    </row>
    <row r="182" spans="1:24" s="75" customFormat="1">
      <c r="A182" s="3"/>
      <c r="B182" s="3"/>
      <c r="C182" s="3"/>
      <c r="E182" s="49" t="s">
        <v>295</v>
      </c>
      <c r="J182" s="153"/>
      <c r="K182" s="153"/>
      <c r="L182" s="153"/>
      <c r="M182" s="153"/>
      <c r="N182" s="153"/>
      <c r="O182" s="153"/>
      <c r="P182" s="153"/>
      <c r="Q182" s="153"/>
      <c r="R182" s="153"/>
      <c r="S182" s="3"/>
      <c r="T182" s="3"/>
      <c r="X182" s="76"/>
    </row>
    <row r="183" spans="1:24" s="75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53"/>
      <c r="K183" s="153"/>
      <c r="L183" s="223">
        <f>L180*(1+WACC)^Calcs!L7</f>
        <v>-4.0406293970672973</v>
      </c>
      <c r="M183" s="223">
        <f>M180*(1+WACC)^Calcs!M7</f>
        <v>13.049144712003468</v>
      </c>
      <c r="N183" s="223">
        <f>N180*(1+WACC)^Calcs!N7</f>
        <v>-4.9952941561040776</v>
      </c>
      <c r="O183" s="223">
        <f>O180*(1+WACC)^Calcs!O7</f>
        <v>-16.164257875986365</v>
      </c>
      <c r="P183" s="223">
        <f>P180*(1+WACC)^Calcs!P7</f>
        <v>3.4522072595613968</v>
      </c>
      <c r="Q183" s="153"/>
      <c r="R183" s="153"/>
      <c r="S183" s="3"/>
      <c r="T183" s="3"/>
      <c r="X183" s="76"/>
    </row>
    <row r="184" spans="1:24" s="75" customFormat="1">
      <c r="A184" s="3"/>
      <c r="B184" s="3"/>
      <c r="C184" s="3"/>
      <c r="D184" s="30"/>
      <c r="E184" s="32"/>
      <c r="F184" s="33"/>
      <c r="J184" s="153"/>
      <c r="K184" s="153"/>
      <c r="L184" s="153"/>
      <c r="M184" s="153"/>
      <c r="N184" s="153"/>
      <c r="O184" s="153"/>
      <c r="P184" s="153"/>
      <c r="Q184" s="153"/>
      <c r="R184" s="153"/>
      <c r="S184" s="3"/>
      <c r="T184" s="3"/>
      <c r="X184" s="76"/>
    </row>
    <row r="185" spans="1:24" s="75" customFormat="1">
      <c r="A185" s="3"/>
      <c r="B185" s="3"/>
      <c r="C185" s="3"/>
      <c r="E185" s="151" t="s">
        <v>297</v>
      </c>
      <c r="H185" s="154"/>
      <c r="J185" s="153"/>
      <c r="K185" s="153"/>
      <c r="L185" s="153"/>
      <c r="M185" s="153"/>
      <c r="N185" s="153"/>
      <c r="O185" s="153"/>
      <c r="P185" s="153"/>
      <c r="Q185" s="153"/>
      <c r="R185" s="153"/>
      <c r="S185" s="3"/>
      <c r="T185" s="3"/>
      <c r="X185" s="76"/>
    </row>
    <row r="186" spans="1:24" s="75" customFormat="1">
      <c r="A186" s="3"/>
      <c r="B186" s="3"/>
      <c r="C186" s="3"/>
      <c r="D186" s="184" t="s">
        <v>41</v>
      </c>
      <c r="E186" s="152" t="s">
        <v>298</v>
      </c>
      <c r="F186" s="33" t="s">
        <v>28</v>
      </c>
      <c r="L186" s="77"/>
      <c r="P186" s="224">
        <f>SUM(L183:P183)</f>
        <v>-8.6988294575928755</v>
      </c>
      <c r="Q186" s="89"/>
      <c r="R186" s="3"/>
      <c r="S186" s="3"/>
      <c r="T186" s="3"/>
      <c r="X186" s="76"/>
    </row>
    <row r="187" spans="1:24" s="75" customFormat="1">
      <c r="A187" s="3"/>
      <c r="B187" s="3"/>
      <c r="C187" s="3"/>
      <c r="D187" s="184"/>
      <c r="E187" s="152"/>
      <c r="F187" s="33"/>
      <c r="L187" s="77"/>
      <c r="Q187" s="89"/>
      <c r="R187" s="3"/>
      <c r="S187" s="3"/>
      <c r="T187" s="3"/>
      <c r="X187" s="76"/>
    </row>
    <row r="188" spans="1:24" s="22" customFormat="1" ht="13.7">
      <c r="A188" s="19"/>
      <c r="B188" s="19"/>
      <c r="C188" s="19"/>
      <c r="D188" s="182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3.7">
      <c r="A190" s="19"/>
      <c r="B190" s="19"/>
      <c r="C190" s="19"/>
      <c r="D190" s="182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5" customFormat="1">
      <c r="A191" s="3"/>
      <c r="B191" s="3"/>
      <c r="C191" s="3"/>
      <c r="L191" s="77"/>
      <c r="Q191" s="3"/>
      <c r="R191" s="3"/>
      <c r="S191" s="3"/>
      <c r="T191" s="3"/>
      <c r="X191" s="76"/>
    </row>
    <row r="192" spans="1:24">
      <c r="A192" s="75"/>
      <c r="D192" s="28" t="s">
        <v>88</v>
      </c>
      <c r="E192" s="91" t="s">
        <v>301</v>
      </c>
      <c r="F192" s="33"/>
      <c r="G192" s="180">
        <f>IF(SUM(Baseline.Totex.Water)&lt;&gt;0,SUMPRODUCT(PAYG.Water,Baseline.Totex.Water)/SUM(Baseline.Totex.Water),0)</f>
        <v>0</v>
      </c>
      <c r="H192" s="89" t="s">
        <v>302</v>
      </c>
    </row>
    <row r="193" spans="1:24">
      <c r="A193" s="75"/>
      <c r="D193" s="28" t="s">
        <v>88</v>
      </c>
      <c r="E193" s="91" t="s">
        <v>303</v>
      </c>
      <c r="F193" s="33"/>
      <c r="G193" s="204">
        <f>IF(SUM(Baseline.Totex.Sewerage)&lt;&gt;0,SUMPRODUCT(PAYG.Sewerage,Baseline.Totex.Sewerage)/SUM(Baseline.Totex.Sewerage),0)</f>
        <v>0</v>
      </c>
      <c r="H193" s="89" t="s">
        <v>304</v>
      </c>
    </row>
    <row r="194" spans="1:24"/>
    <row r="195" spans="1:24" s="22" customFormat="1" ht="13.7">
      <c r="A195" s="19"/>
      <c r="B195" s="19"/>
      <c r="C195" s="19"/>
      <c r="D195" s="182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5" customFormat="1">
      <c r="A196" s="3"/>
      <c r="B196" s="3"/>
      <c r="C196" s="3"/>
      <c r="L196" s="77"/>
      <c r="Q196" s="3"/>
      <c r="R196" s="3"/>
      <c r="S196" s="3"/>
      <c r="T196" s="3"/>
      <c r="X196" s="76"/>
    </row>
    <row r="197" spans="1:24" s="193" customFormat="1">
      <c r="A197" s="75"/>
      <c r="B197" s="3"/>
      <c r="C197" s="3"/>
      <c r="D197" s="184" t="s">
        <v>41</v>
      </c>
      <c r="E197" s="91" t="s">
        <v>306</v>
      </c>
      <c r="F197" s="33" t="s">
        <v>28</v>
      </c>
      <c r="G197" s="91"/>
      <c r="H197" s="3"/>
      <c r="I197" s="3"/>
      <c r="J197" s="3"/>
      <c r="K197" s="3"/>
      <c r="L197" s="3"/>
      <c r="M197" s="3"/>
      <c r="N197" s="3"/>
      <c r="O197" s="3"/>
      <c r="P197" s="88">
        <f>Total.Adj.Water*WeightedPAYG.Water+P130+P113</f>
        <v>0</v>
      </c>
      <c r="Q197" s="3"/>
      <c r="R197" s="3"/>
      <c r="S197" s="3"/>
      <c r="T197" s="3"/>
      <c r="U197" s="3"/>
      <c r="V197" s="3"/>
      <c r="W197" s="3"/>
      <c r="X197" s="74"/>
    </row>
    <row r="198" spans="1:24" s="193" customFormat="1">
      <c r="A198" s="75"/>
      <c r="B198" s="3"/>
      <c r="C198" s="3"/>
      <c r="D198" s="184" t="s">
        <v>41</v>
      </c>
      <c r="E198" s="91" t="s">
        <v>307</v>
      </c>
      <c r="F198" s="33" t="s">
        <v>28</v>
      </c>
      <c r="G198" s="91"/>
      <c r="H198" s="3"/>
      <c r="I198" s="3"/>
      <c r="J198" s="3"/>
      <c r="K198" s="3"/>
      <c r="L198" s="3"/>
      <c r="M198" s="3"/>
      <c r="N198" s="3"/>
      <c r="O198" s="3"/>
      <c r="P198" s="220">
        <f>Total.Adj.Sewerage*WeightedPAYG.Sewerage+P114</f>
        <v>63.627764072167899</v>
      </c>
      <c r="Q198" s="3"/>
      <c r="R198" s="3"/>
      <c r="S198" s="3"/>
      <c r="T198" s="3"/>
      <c r="U198" s="3"/>
      <c r="V198" s="3"/>
      <c r="W198" s="3"/>
      <c r="X198" s="74"/>
    </row>
    <row r="199" spans="1:24"/>
    <row r="200" spans="1:24" s="22" customFormat="1" ht="13.7">
      <c r="A200" s="19"/>
      <c r="B200" s="19"/>
      <c r="C200" s="19"/>
      <c r="D200" s="182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5" customFormat="1">
      <c r="A201" s="3"/>
      <c r="B201" s="3"/>
      <c r="C201" s="3"/>
      <c r="L201" s="77"/>
      <c r="Q201" s="3"/>
      <c r="R201" s="3"/>
      <c r="S201" s="3"/>
      <c r="T201" s="3"/>
      <c r="X201" s="76"/>
    </row>
    <row r="202" spans="1:24">
      <c r="A202" s="75"/>
      <c r="D202" s="184" t="s">
        <v>41</v>
      </c>
      <c r="E202" s="91" t="s">
        <v>309</v>
      </c>
      <c r="F202" s="33" t="s">
        <v>28</v>
      </c>
      <c r="P202" s="88">
        <f>Total.Adj.Water*(1-WeightedPAYG.Water)</f>
        <v>0</v>
      </c>
    </row>
    <row r="203" spans="1:24">
      <c r="A203" s="75"/>
      <c r="D203" s="184" t="s">
        <v>41</v>
      </c>
      <c r="E203" s="91" t="s">
        <v>310</v>
      </c>
      <c r="F203" s="33" t="s">
        <v>28</v>
      </c>
      <c r="P203" s="88">
        <f>Total.Adj.Sewerage*(1-WeightedPAYG.Sewerage)+P186</f>
        <v>-135.44256855634848</v>
      </c>
    </row>
    <row r="204" spans="1:24"/>
    <row r="205" spans="1:24" ht="13" thickBot="1"/>
    <row r="206" spans="1:24" ht="13" thickBot="1">
      <c r="A206" s="92" t="s">
        <v>311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51"/>
  <sheetViews>
    <sheetView showGridLines="0" zoomScale="80" zoomScaleNormal="80" workbookViewId="0">
      <pane xSplit="8" ySplit="7" topLeftCell="L8" activePane="bottomRight" state="frozen"/>
      <selection activeCell="P16" sqref="P16"/>
      <selection pane="topRight" activeCell="P16" sqref="P16"/>
      <selection pane="bottomLeft" activeCell="P16" sqref="P16"/>
      <selection pane="bottomRight"/>
    </sheetView>
  </sheetViews>
  <sheetFormatPr defaultColWidth="0" defaultRowHeight="0" customHeight="1" zeroHeight="1"/>
  <cols>
    <col min="1" max="3" width="2.52734375" style="7" customWidth="1"/>
    <col min="4" max="4" width="9.52734375" style="7" customWidth="1"/>
    <col min="5" max="5" width="29.3515625" style="7" customWidth="1"/>
    <col min="6" max="6" width="17.87890625" style="7" customWidth="1"/>
    <col min="7" max="7" width="11.52734375" style="7" customWidth="1"/>
    <col min="8" max="8" width="4.05859375" style="7" customWidth="1"/>
    <col min="9" max="21" width="13.05859375" style="7" customWidth="1"/>
    <col min="22" max="22" width="15.87890625" style="7" bestFit="1" customWidth="1"/>
    <col min="23" max="16384" width="9.05859375" style="7" hidden="1"/>
  </cols>
  <sheetData>
    <row r="1" spans="1:24" ht="33">
      <c r="A1" s="94"/>
      <c r="B1" s="94"/>
      <c r="C1" s="94"/>
      <c r="D1" s="1" t="s">
        <v>312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ht="13.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2.7">
      <c r="E3" s="7" t="s">
        <v>1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6" t="s">
        <v>313</v>
      </c>
    </row>
    <row r="4" spans="1:24" ht="12.7">
      <c r="V4" s="96"/>
    </row>
    <row r="5" spans="1:24" ht="12.7">
      <c r="E5" s="7" t="s">
        <v>2</v>
      </c>
      <c r="I5" s="97">
        <f t="shared" ref="I5:U5" si="1">Calendar.Years</f>
        <v>2012</v>
      </c>
      <c r="J5" s="97">
        <f t="shared" si="1"/>
        <v>2013</v>
      </c>
      <c r="K5" s="97">
        <f t="shared" si="1"/>
        <v>2014</v>
      </c>
      <c r="L5" s="97">
        <f t="shared" si="1"/>
        <v>2015</v>
      </c>
      <c r="M5" s="97">
        <f t="shared" si="1"/>
        <v>2016</v>
      </c>
      <c r="N5" s="97">
        <f t="shared" si="1"/>
        <v>2017</v>
      </c>
      <c r="O5" s="97">
        <f t="shared" si="1"/>
        <v>2018</v>
      </c>
      <c r="P5" s="97">
        <f t="shared" si="1"/>
        <v>2019</v>
      </c>
      <c r="Q5" s="97">
        <f t="shared" si="1"/>
        <v>2020</v>
      </c>
      <c r="R5" s="97">
        <f t="shared" si="1"/>
        <v>2021</v>
      </c>
      <c r="S5" s="97">
        <f t="shared" si="1"/>
        <v>2022</v>
      </c>
      <c r="T5" s="97">
        <f t="shared" si="1"/>
        <v>2023</v>
      </c>
      <c r="U5" s="97">
        <f t="shared" si="1"/>
        <v>2024</v>
      </c>
      <c r="V5" s="96" t="s">
        <v>314</v>
      </c>
    </row>
    <row r="6" spans="1:24" ht="12.7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4" ht="12.7"/>
    <row r="8" spans="1:24" ht="12.7"/>
    <row r="9" spans="1:24" s="22" customFormat="1" ht="13.7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5" customFormat="1" ht="12.7">
      <c r="A10" s="3"/>
      <c r="B10" s="3"/>
      <c r="C10" s="3"/>
      <c r="L10" s="77"/>
      <c r="Q10" s="3"/>
      <c r="R10" s="3"/>
      <c r="S10" s="3"/>
      <c r="T10" s="3"/>
      <c r="X10" s="76"/>
    </row>
    <row r="11" spans="1:24" s="3" customFormat="1" ht="12.7">
      <c r="A11" s="72"/>
      <c r="D11" s="30" t="s">
        <v>41</v>
      </c>
      <c r="E11" s="91" t="s">
        <v>306</v>
      </c>
      <c r="F11" s="33" t="s">
        <v>28</v>
      </c>
      <c r="P11" s="88">
        <f>Calcs!P197</f>
        <v>0</v>
      </c>
      <c r="X11" s="74"/>
    </row>
    <row r="12" spans="1:24" s="3" customFormat="1" ht="12.7">
      <c r="A12" s="72"/>
      <c r="D12" s="30" t="s">
        <v>41</v>
      </c>
      <c r="E12" s="91" t="s">
        <v>307</v>
      </c>
      <c r="F12" s="33" t="s">
        <v>28</v>
      </c>
      <c r="P12" s="88">
        <f>Calcs!P198</f>
        <v>63.627764072167899</v>
      </c>
      <c r="X12" s="74"/>
    </row>
    <row r="13" spans="1:24" s="3" customFormat="1" ht="12.7">
      <c r="E13" s="91"/>
      <c r="F13" s="33"/>
      <c r="P13" s="153"/>
      <c r="X13" s="74"/>
    </row>
    <row r="14" spans="1:24" s="3" customFormat="1" ht="12.7">
      <c r="A14" s="72"/>
      <c r="D14" s="30" t="s">
        <v>41</v>
      </c>
      <c r="E14" s="78" t="s">
        <v>316</v>
      </c>
      <c r="F14" s="33" t="s">
        <v>28</v>
      </c>
      <c r="P14" s="156">
        <f>SUM(P11:P12)</f>
        <v>63.627764072167899</v>
      </c>
      <c r="X14" s="74"/>
    </row>
    <row r="15" spans="1:24" s="3" customFormat="1" ht="12.7">
      <c r="E15" s="91"/>
      <c r="F15" s="91"/>
      <c r="G15" s="91"/>
      <c r="X15" s="74"/>
    </row>
    <row r="16" spans="1:24" s="22" customFormat="1" ht="13.7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75" customFormat="1" ht="12.7">
      <c r="A17" s="3"/>
      <c r="B17" s="3"/>
      <c r="C17" s="3"/>
      <c r="L17" s="77"/>
      <c r="Q17" s="3"/>
      <c r="R17" s="3"/>
      <c r="S17" s="3"/>
      <c r="T17" s="3"/>
      <c r="X17" s="76"/>
    </row>
    <row r="18" spans="1:24" s="3" customFormat="1" ht="12.7">
      <c r="A18" s="72"/>
      <c r="D18" s="30" t="s">
        <v>41</v>
      </c>
      <c r="E18" s="91" t="s">
        <v>309</v>
      </c>
      <c r="F18" s="33" t="s">
        <v>28</v>
      </c>
      <c r="P18" s="88">
        <f>Calcs!P202</f>
        <v>0</v>
      </c>
      <c r="X18" s="74"/>
    </row>
    <row r="19" spans="1:24" s="3" customFormat="1" ht="12.7">
      <c r="A19" s="72"/>
      <c r="D19" s="30" t="s">
        <v>41</v>
      </c>
      <c r="E19" s="91" t="s">
        <v>310</v>
      </c>
      <c r="F19" s="33" t="s">
        <v>28</v>
      </c>
      <c r="P19" s="88">
        <f>Calcs!P203</f>
        <v>-135.44256855634848</v>
      </c>
      <c r="X19" s="74"/>
    </row>
    <row r="20" spans="1:24" customFormat="1" ht="14.35">
      <c r="G20" s="7"/>
    </row>
    <row r="21" spans="1:24" s="3" customFormat="1" ht="12.7">
      <c r="A21" s="72"/>
      <c r="D21" s="30" t="s">
        <v>41</v>
      </c>
      <c r="E21" s="78" t="s">
        <v>318</v>
      </c>
      <c r="F21" s="33" t="s">
        <v>28</v>
      </c>
      <c r="P21" s="156">
        <f>SUM(P18:P19)</f>
        <v>-135.44256855634848</v>
      </c>
      <c r="X21" s="74"/>
    </row>
    <row r="22" spans="1:24" ht="13" thickBot="1"/>
    <row r="23" spans="1:24" ht="13" thickBot="1">
      <c r="A23" s="104" t="s">
        <v>311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2.7"/>
    <row r="25" spans="1:24" ht="12.7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91" t="s">
        <v>318</v>
      </c>
      <c r="F41" s="33" t="s">
        <v>28</v>
      </c>
      <c r="G41" s="3"/>
      <c r="H41" s="3"/>
      <c r="I41" s="3"/>
      <c r="J41" s="3"/>
      <c r="K41" s="3"/>
      <c r="L41" s="3"/>
      <c r="M41" s="3"/>
      <c r="N41" s="3"/>
      <c r="O41" s="3"/>
      <c r="P41" s="47">
        <f>SUM(P18:P19)</f>
        <v>-135.44256855634848</v>
      </c>
    </row>
    <row r="42" spans="4:16" ht="0" hidden="1" customHeight="1"/>
    <row r="43" spans="4:16" ht="0" hidden="1" customHeight="1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5" spans="4:16" ht="0" hidden="1" customHeight="1"/>
    <row r="46" spans="4:16" ht="0" hidden="1" customHeight="1">
      <c r="E46" s="7" t="s">
        <v>319</v>
      </c>
    </row>
    <row r="47" spans="4:16" ht="0" hidden="1" customHeight="1">
      <c r="E47" s="7" t="s">
        <v>320</v>
      </c>
    </row>
    <row r="48" spans="4:16" ht="0" hidden="1" customHeight="1">
      <c r="E48" s="7" t="s">
        <v>321</v>
      </c>
    </row>
    <row r="51" spans="5:5" ht="0" hidden="1" customHeight="1">
      <c r="E51" s="7" t="s">
        <v>322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F6" activePane="bottomRight" state="frozen"/>
      <selection activeCell="P16" sqref="P16"/>
      <selection pane="topRight" activeCell="P16" sqref="P16"/>
      <selection pane="bottomLeft" activeCell="P16" sqref="P16"/>
      <selection pane="bottomRight"/>
    </sheetView>
  </sheetViews>
  <sheetFormatPr defaultColWidth="0" defaultRowHeight="0" customHeight="1" zeroHeight="1"/>
  <cols>
    <col min="1" max="3" width="4.52734375" style="3" customWidth="1"/>
    <col min="4" max="4" width="11.52734375" style="3" customWidth="1"/>
    <col min="5" max="5" width="53.05859375" style="3" customWidth="1"/>
    <col min="6" max="7" width="2.52734375" style="3" customWidth="1"/>
    <col min="8" max="21" width="11" style="3" customWidth="1"/>
    <col min="22" max="22" width="22.3515625" style="134" bestFit="1" customWidth="1"/>
    <col min="23" max="26" width="8.87890625" style="3" hidden="1" customWidth="1"/>
    <col min="27" max="259" width="0" style="3" hidden="1" customWidth="1"/>
    <col min="260" max="16384" width="0" style="3" hidden="1"/>
  </cols>
  <sheetData>
    <row r="1" spans="1:24" s="72" customFormat="1" ht="33">
      <c r="A1" s="106"/>
      <c r="B1" s="106"/>
      <c r="C1" s="107"/>
      <c r="D1" s="1" t="s">
        <v>323</v>
      </c>
      <c r="E1" s="1"/>
      <c r="F1" s="1"/>
      <c r="G1" s="1"/>
      <c r="H1" s="1"/>
      <c r="I1" s="108"/>
      <c r="J1" s="108"/>
      <c r="K1" s="109"/>
      <c r="L1" s="109"/>
      <c r="M1" s="108"/>
      <c r="N1" s="108"/>
      <c r="O1" s="108"/>
      <c r="P1" s="108"/>
      <c r="Q1" s="108"/>
      <c r="R1" s="108"/>
      <c r="S1" s="108"/>
      <c r="T1" s="108"/>
      <c r="U1" s="110"/>
      <c r="V1" s="111"/>
      <c r="W1" s="112"/>
      <c r="X1" s="113"/>
    </row>
    <row r="2" spans="1:24" s="72" customFormat="1" ht="12.7">
      <c r="C2" s="114"/>
      <c r="E2" s="114"/>
      <c r="F2" s="114"/>
      <c r="G2" s="114"/>
      <c r="H2" s="145"/>
      <c r="I2" s="126"/>
      <c r="J2" s="126"/>
      <c r="K2" s="126"/>
      <c r="L2" s="126"/>
      <c r="M2" s="126"/>
      <c r="S2" s="3"/>
      <c r="T2" s="3"/>
      <c r="U2" s="3"/>
      <c r="V2" s="3"/>
      <c r="W2" s="112"/>
      <c r="X2" s="113"/>
    </row>
    <row r="3" spans="1:24" s="119" customFormat="1" ht="13.7">
      <c r="A3" s="115"/>
      <c r="B3" s="115"/>
      <c r="C3" s="116"/>
      <c r="D3" s="115"/>
      <c r="E3" s="117" t="s">
        <v>1</v>
      </c>
      <c r="F3" s="117"/>
      <c r="G3" s="117"/>
      <c r="H3" s="95" t="s">
        <v>324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118"/>
    </row>
    <row r="4" spans="1:24" s="122" customFormat="1" ht="18" customHeight="1">
      <c r="A4" s="72"/>
      <c r="B4" s="72"/>
      <c r="C4" s="114"/>
      <c r="D4" s="72"/>
      <c r="E4" s="120"/>
      <c r="F4" s="120"/>
      <c r="G4" s="1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1"/>
    </row>
    <row r="5" spans="1:24" s="115" customFormat="1" ht="12.7">
      <c r="C5" s="116"/>
      <c r="E5" s="115" t="s">
        <v>325</v>
      </c>
      <c r="H5" s="123">
        <v>2011</v>
      </c>
      <c r="I5" s="123">
        <f t="shared" ref="I5:U5" si="1">Calendar.Years</f>
        <v>2012</v>
      </c>
      <c r="J5" s="123">
        <f t="shared" si="1"/>
        <v>2013</v>
      </c>
      <c r="K5" s="123">
        <f t="shared" si="1"/>
        <v>2014</v>
      </c>
      <c r="L5" s="123">
        <f t="shared" si="1"/>
        <v>2015</v>
      </c>
      <c r="M5" s="123">
        <f t="shared" si="1"/>
        <v>2016</v>
      </c>
      <c r="N5" s="123">
        <f t="shared" si="1"/>
        <v>2017</v>
      </c>
      <c r="O5" s="123">
        <f t="shared" si="1"/>
        <v>2018</v>
      </c>
      <c r="P5" s="123">
        <f t="shared" si="1"/>
        <v>2019</v>
      </c>
      <c r="Q5" s="123">
        <f t="shared" si="1"/>
        <v>2020</v>
      </c>
      <c r="R5" s="123">
        <f t="shared" si="1"/>
        <v>2021</v>
      </c>
      <c r="S5" s="123">
        <f t="shared" si="1"/>
        <v>2022</v>
      </c>
      <c r="T5" s="123">
        <f t="shared" si="1"/>
        <v>2023</v>
      </c>
      <c r="U5" s="123">
        <f t="shared" si="1"/>
        <v>2024</v>
      </c>
      <c r="V5" s="124"/>
    </row>
    <row r="6" spans="1:24" s="72" customFormat="1" ht="12.7">
      <c r="C6" s="114"/>
      <c r="E6" s="7" t="s">
        <v>3</v>
      </c>
      <c r="H6" s="99">
        <v>-3</v>
      </c>
      <c r="I6" s="99">
        <v>-2</v>
      </c>
      <c r="J6" s="99">
        <v>-1</v>
      </c>
      <c r="K6" s="99">
        <v>0</v>
      </c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  <c r="V6" s="125"/>
    </row>
    <row r="7" spans="1:24" s="72" customFormat="1" ht="12.75" customHeight="1">
      <c r="C7" s="114"/>
      <c r="F7" s="120"/>
      <c r="G7" s="120"/>
      <c r="I7" s="126" t="s">
        <v>326</v>
      </c>
      <c r="J7" s="126" t="s">
        <v>326</v>
      </c>
      <c r="K7" s="126" t="s">
        <v>326</v>
      </c>
      <c r="L7" s="126" t="s">
        <v>326</v>
      </c>
      <c r="M7" s="126" t="s">
        <v>326</v>
      </c>
      <c r="N7" s="126" t="s">
        <v>326</v>
      </c>
      <c r="O7" s="126" t="s">
        <v>326</v>
      </c>
      <c r="P7" s="126" t="s">
        <v>326</v>
      </c>
      <c r="Q7" s="126" t="s">
        <v>326</v>
      </c>
      <c r="R7" s="126" t="s">
        <v>326</v>
      </c>
      <c r="S7" s="126" t="s">
        <v>326</v>
      </c>
      <c r="T7" s="126" t="s">
        <v>326</v>
      </c>
      <c r="U7" s="126" t="s">
        <v>326</v>
      </c>
      <c r="V7" s="125"/>
    </row>
    <row r="8" spans="1:24" s="72" customFormat="1" ht="12.75" customHeight="1">
      <c r="A8" s="100"/>
      <c r="B8" s="101"/>
      <c r="C8" s="101"/>
      <c r="D8" s="102"/>
      <c r="E8" s="103" t="s">
        <v>327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4" s="72" customFormat="1" ht="12.75" customHeight="1">
      <c r="C9" s="114"/>
      <c r="E9" s="120"/>
      <c r="F9" s="120"/>
      <c r="G9" s="12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5"/>
    </row>
    <row r="10" spans="1:24" s="72" customFormat="1" ht="12.75" customHeight="1">
      <c r="C10" s="114"/>
      <c r="E10" s="120" t="s">
        <v>328</v>
      </c>
      <c r="F10" s="120"/>
      <c r="G10" s="12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5"/>
    </row>
    <row r="11" spans="1:24" s="72" customFormat="1" ht="12.7">
      <c r="B11" s="16">
        <v>1</v>
      </c>
      <c r="C11" s="114"/>
      <c r="D11" s="72" t="s">
        <v>329</v>
      </c>
      <c r="E11" s="127" t="s">
        <v>330</v>
      </c>
      <c r="F11" s="127"/>
      <c r="G11" s="127"/>
      <c r="I11" s="128">
        <f>InpActive!G20</f>
        <v>242.5</v>
      </c>
      <c r="J11" s="128">
        <f>InpActive!H20</f>
        <v>249.5</v>
      </c>
      <c r="K11" s="128">
        <f>InpActive!I20</f>
        <v>255.7</v>
      </c>
      <c r="L11" s="128">
        <f>InpActive!J20</f>
        <v>258</v>
      </c>
      <c r="M11" s="128">
        <f>InpActive!K20</f>
        <v>261.39999999999998</v>
      </c>
      <c r="N11" s="128">
        <f>InpActive!L20</f>
        <v>270.60000000000002</v>
      </c>
      <c r="O11" s="128">
        <f>InpActive!M20</f>
        <v>279.7</v>
      </c>
      <c r="P11" s="128">
        <f>InpActive!N20</f>
        <v>287.83249999999998</v>
      </c>
      <c r="Q11" s="128">
        <f>InpActive!O20</f>
        <v>295.91250000000002</v>
      </c>
      <c r="R11" s="128"/>
      <c r="S11" s="128"/>
      <c r="T11" s="128"/>
      <c r="U11" s="128"/>
      <c r="V11" s="125"/>
    </row>
    <row r="12" spans="1:24" s="72" customFormat="1" ht="12.7">
      <c r="B12" s="16">
        <v>2</v>
      </c>
      <c r="C12" s="114"/>
      <c r="D12" s="72" t="s">
        <v>329</v>
      </c>
      <c r="E12" s="127" t="s">
        <v>331</v>
      </c>
      <c r="F12" s="127"/>
      <c r="G12" s="127"/>
      <c r="I12" s="128">
        <f>InpActive!G21</f>
        <v>242.4</v>
      </c>
      <c r="J12" s="128">
        <f>InpActive!H21</f>
        <v>250</v>
      </c>
      <c r="K12" s="128">
        <f>InpActive!I21</f>
        <v>255.9</v>
      </c>
      <c r="L12" s="128">
        <f>InpActive!J21</f>
        <v>258.5</v>
      </c>
      <c r="M12" s="128">
        <f>InpActive!K21</f>
        <v>262.10000000000002</v>
      </c>
      <c r="N12" s="128">
        <f>InpActive!L21</f>
        <v>271.7</v>
      </c>
      <c r="O12" s="128">
        <f>InpActive!M21</f>
        <v>280.7</v>
      </c>
      <c r="P12" s="128">
        <f>InpActive!N21</f>
        <v>288.53750000000002</v>
      </c>
      <c r="Q12" s="128">
        <f>InpActive!O21</f>
        <v>296.61750000000001</v>
      </c>
      <c r="R12" s="128"/>
      <c r="S12" s="128"/>
      <c r="T12" s="128"/>
      <c r="U12" s="128"/>
      <c r="V12" s="125"/>
    </row>
    <row r="13" spans="1:24" s="72" customFormat="1" ht="12.7">
      <c r="B13" s="16">
        <v>3</v>
      </c>
      <c r="C13" s="114"/>
      <c r="D13" s="72" t="s">
        <v>329</v>
      </c>
      <c r="E13" s="127" t="s">
        <v>332</v>
      </c>
      <c r="F13" s="127"/>
      <c r="G13" s="127"/>
      <c r="I13" s="128">
        <f>InpActive!G22</f>
        <v>241.8</v>
      </c>
      <c r="J13" s="128">
        <f>InpActive!H22</f>
        <v>249.7</v>
      </c>
      <c r="K13" s="128">
        <f>InpActive!I22</f>
        <v>256.3</v>
      </c>
      <c r="L13" s="128">
        <f>InpActive!J22</f>
        <v>258.89999999999998</v>
      </c>
      <c r="M13" s="128">
        <f>InpActive!K22</f>
        <v>263.10000000000002</v>
      </c>
      <c r="N13" s="128">
        <f>InpActive!L22</f>
        <v>272.3</v>
      </c>
      <c r="O13" s="128">
        <f>InpActive!M22</f>
        <v>281.5</v>
      </c>
      <c r="P13" s="128">
        <f>InpActive!N22</f>
        <v>289.27749999999997</v>
      </c>
      <c r="Q13" s="128">
        <f>InpActive!O22</f>
        <v>297.41750000000002</v>
      </c>
      <c r="R13" s="128"/>
      <c r="S13" s="128"/>
      <c r="T13" s="128"/>
      <c r="U13" s="128"/>
      <c r="V13" s="125"/>
    </row>
    <row r="14" spans="1:24" s="72" customFormat="1" ht="12.7">
      <c r="B14" s="16">
        <v>4</v>
      </c>
      <c r="C14" s="114"/>
      <c r="D14" s="72" t="s">
        <v>329</v>
      </c>
      <c r="E14" s="127" t="s">
        <v>333</v>
      </c>
      <c r="F14" s="127"/>
      <c r="G14" s="127"/>
      <c r="I14" s="128">
        <f>InpActive!G23</f>
        <v>242.1</v>
      </c>
      <c r="J14" s="128">
        <f>InpActive!H23</f>
        <v>249.7</v>
      </c>
      <c r="K14" s="128">
        <f>InpActive!I23</f>
        <v>256</v>
      </c>
      <c r="L14" s="128">
        <f>InpActive!J23</f>
        <v>258.60000000000002</v>
      </c>
      <c r="M14" s="128">
        <f>InpActive!K23</f>
        <v>263.39999999999998</v>
      </c>
      <c r="N14" s="128">
        <f>InpActive!L23</f>
        <v>272.89999999999998</v>
      </c>
      <c r="O14" s="128">
        <f>InpActive!M23</f>
        <v>281.7</v>
      </c>
      <c r="P14" s="128">
        <f>InpActive!N23</f>
        <v>289.43</v>
      </c>
      <c r="Q14" s="128">
        <f>InpActive!O23</f>
        <v>297.63499999999999</v>
      </c>
      <c r="R14" s="128"/>
      <c r="S14" s="128"/>
      <c r="T14" s="128"/>
      <c r="U14" s="128"/>
      <c r="V14" s="125"/>
    </row>
    <row r="15" spans="1:24" s="72" customFormat="1" ht="12.7">
      <c r="B15" s="16">
        <v>5</v>
      </c>
      <c r="C15" s="114"/>
      <c r="D15" s="72" t="s">
        <v>329</v>
      </c>
      <c r="E15" s="127" t="s">
        <v>334</v>
      </c>
      <c r="F15" s="127"/>
      <c r="G15" s="127"/>
      <c r="I15" s="128">
        <f>InpActive!G24</f>
        <v>243</v>
      </c>
      <c r="J15" s="128">
        <f>InpActive!H24</f>
        <v>251</v>
      </c>
      <c r="K15" s="128">
        <f>InpActive!I24</f>
        <v>257</v>
      </c>
      <c r="L15" s="128">
        <f>InpActive!J24</f>
        <v>259.8</v>
      </c>
      <c r="M15" s="128">
        <f>InpActive!K24</f>
        <v>264.39999999999998</v>
      </c>
      <c r="N15" s="128">
        <f>InpActive!L24</f>
        <v>274.7</v>
      </c>
      <c r="O15" s="128">
        <f>InpActive!M24</f>
        <v>284.2</v>
      </c>
      <c r="P15" s="128">
        <f>InpActive!N24</f>
        <v>291.52249999999998</v>
      </c>
      <c r="Q15" s="128">
        <f>InpActive!O24</f>
        <v>299.71499999999997</v>
      </c>
      <c r="R15" s="128"/>
      <c r="S15" s="128"/>
      <c r="T15" s="128"/>
      <c r="U15" s="128"/>
      <c r="V15" s="125"/>
    </row>
    <row r="16" spans="1:24" s="72" customFormat="1" ht="12.7">
      <c r="B16" s="16">
        <v>6</v>
      </c>
      <c r="C16" s="114"/>
      <c r="D16" s="72" t="s">
        <v>329</v>
      </c>
      <c r="E16" s="127" t="s">
        <v>335</v>
      </c>
      <c r="F16" s="127"/>
      <c r="G16" s="127"/>
      <c r="I16" s="128">
        <f>InpActive!G25</f>
        <v>244.2</v>
      </c>
      <c r="J16" s="128">
        <f>InpActive!H25</f>
        <v>251.9</v>
      </c>
      <c r="K16" s="128">
        <f>InpActive!I25</f>
        <v>257.60000000000002</v>
      </c>
      <c r="L16" s="128">
        <f>InpActive!J25</f>
        <v>259.60000000000002</v>
      </c>
      <c r="M16" s="128">
        <f>InpActive!K25</f>
        <v>264.89999999999998</v>
      </c>
      <c r="N16" s="128">
        <f>InpActive!L25</f>
        <v>275.10000000000002</v>
      </c>
      <c r="O16" s="128">
        <f>InpActive!M25</f>
        <v>284.10000000000002</v>
      </c>
      <c r="P16" s="128">
        <f>InpActive!N25</f>
        <v>291.41750000000002</v>
      </c>
      <c r="Q16" s="128">
        <f>InpActive!O25</f>
        <v>299.76249999999999</v>
      </c>
      <c r="R16" s="128"/>
      <c r="S16" s="128"/>
      <c r="T16" s="128"/>
      <c r="U16" s="128"/>
      <c r="V16" s="125"/>
    </row>
    <row r="17" spans="2:22" s="72" customFormat="1" ht="12.7">
      <c r="B17" s="16">
        <v>7</v>
      </c>
      <c r="C17" s="114"/>
      <c r="D17" s="72" t="s">
        <v>329</v>
      </c>
      <c r="E17" s="127" t="s">
        <v>336</v>
      </c>
      <c r="F17" s="127"/>
      <c r="G17" s="127"/>
      <c r="I17" s="128">
        <f>InpActive!G26</f>
        <v>245.6</v>
      </c>
      <c r="J17" s="128">
        <f>InpActive!H26</f>
        <v>251.9</v>
      </c>
      <c r="K17" s="128">
        <f>InpActive!I26</f>
        <v>257.7</v>
      </c>
      <c r="L17" s="128">
        <f>InpActive!J26</f>
        <v>259.5</v>
      </c>
      <c r="M17" s="128">
        <f>InpActive!K26</f>
        <v>264.8</v>
      </c>
      <c r="N17" s="128">
        <f>InpActive!L26</f>
        <v>275.3</v>
      </c>
      <c r="O17" s="128">
        <f>InpActive!M26</f>
        <v>284.5</v>
      </c>
      <c r="P17" s="128">
        <f>InpActive!N26</f>
        <v>291.67</v>
      </c>
      <c r="Q17" s="128">
        <f>InpActive!O26</f>
        <v>299.97000000000003</v>
      </c>
      <c r="R17" s="128"/>
      <c r="S17" s="128"/>
      <c r="T17" s="128"/>
      <c r="U17" s="128"/>
      <c r="V17" s="125"/>
    </row>
    <row r="18" spans="2:22" s="72" customFormat="1" ht="12.7">
      <c r="B18" s="16">
        <v>8</v>
      </c>
      <c r="C18" s="114"/>
      <c r="D18" s="72" t="s">
        <v>329</v>
      </c>
      <c r="E18" s="127" t="s">
        <v>337</v>
      </c>
      <c r="F18" s="127"/>
      <c r="G18" s="127"/>
      <c r="H18" s="128">
        <f>InpActive!F27</f>
        <v>238.5</v>
      </c>
      <c r="I18" s="128">
        <f>InpActive!G27</f>
        <v>245.6</v>
      </c>
      <c r="J18" s="128">
        <f>InpActive!H27</f>
        <v>252.1</v>
      </c>
      <c r="K18" s="128">
        <f>InpActive!I27</f>
        <v>257.10000000000002</v>
      </c>
      <c r="L18" s="128">
        <f>InpActive!J27</f>
        <v>259.8</v>
      </c>
      <c r="M18" s="128">
        <f>InpActive!K27</f>
        <v>265.5</v>
      </c>
      <c r="N18" s="128">
        <f>InpActive!L27</f>
        <v>275.8</v>
      </c>
      <c r="O18" s="128">
        <f>InpActive!M27</f>
        <v>284.60000000000002</v>
      </c>
      <c r="P18" s="128">
        <f>InpActive!N27</f>
        <v>291.83</v>
      </c>
      <c r="Q18" s="128">
        <f>InpActive!O27</f>
        <v>300.23750000000001</v>
      </c>
      <c r="R18" s="128"/>
      <c r="S18" s="128"/>
      <c r="T18" s="128"/>
      <c r="U18" s="128"/>
      <c r="V18" s="125"/>
    </row>
    <row r="19" spans="2:22" s="72" customFormat="1" ht="12.7">
      <c r="B19" s="16">
        <v>9</v>
      </c>
      <c r="C19" s="114"/>
      <c r="D19" s="72" t="s">
        <v>329</v>
      </c>
      <c r="E19" s="127" t="s">
        <v>338</v>
      </c>
      <c r="F19" s="127"/>
      <c r="G19" s="127"/>
      <c r="I19" s="128">
        <f>InpActive!G28</f>
        <v>246.8</v>
      </c>
      <c r="J19" s="128">
        <f>InpActive!H28</f>
        <v>253.4</v>
      </c>
      <c r="K19" s="128">
        <f>InpActive!I28</f>
        <v>257.5</v>
      </c>
      <c r="L19" s="128">
        <f>InpActive!J28</f>
        <v>260.60000000000002</v>
      </c>
      <c r="M19" s="128">
        <f>InpActive!K28</f>
        <v>267.10000000000002</v>
      </c>
      <c r="N19" s="128">
        <f>InpActive!L28</f>
        <v>278.10000000000002</v>
      </c>
      <c r="O19" s="128">
        <f>InpActive!M28</f>
        <v>286.27249999999998</v>
      </c>
      <c r="P19" s="128">
        <f>InpActive!N28</f>
        <v>293.88499999999999</v>
      </c>
      <c r="Q19" s="128">
        <f>InpActive!O28</f>
        <v>302.39</v>
      </c>
      <c r="R19" s="128"/>
      <c r="S19" s="128"/>
      <c r="T19" s="128"/>
      <c r="U19" s="128"/>
      <c r="V19" s="125"/>
    </row>
    <row r="20" spans="2:22" s="72" customFormat="1" ht="12.7">
      <c r="B20" s="16">
        <v>10</v>
      </c>
      <c r="C20" s="114"/>
      <c r="D20" s="72" t="s">
        <v>329</v>
      </c>
      <c r="E20" s="127" t="s">
        <v>339</v>
      </c>
      <c r="F20" s="127"/>
      <c r="G20" s="127"/>
      <c r="I20" s="128">
        <f>InpActive!G29</f>
        <v>245.8</v>
      </c>
      <c r="J20" s="128">
        <f>InpActive!H29</f>
        <v>252.6</v>
      </c>
      <c r="K20" s="128">
        <f>InpActive!I29</f>
        <v>255.4</v>
      </c>
      <c r="L20" s="128">
        <f>InpActive!J29</f>
        <v>258.8</v>
      </c>
      <c r="M20" s="128">
        <f>InpActive!K29</f>
        <v>265.5</v>
      </c>
      <c r="N20" s="128">
        <f>InpActive!L29</f>
        <v>276</v>
      </c>
      <c r="O20" s="128">
        <f>InpActive!M29</f>
        <v>283.72000000000003</v>
      </c>
      <c r="P20" s="128">
        <f>InpActive!N29</f>
        <v>291.65750000000003</v>
      </c>
      <c r="Q20" s="128">
        <f>InpActive!O29</f>
        <v>301.2821975</v>
      </c>
      <c r="R20" s="128"/>
      <c r="S20" s="128"/>
      <c r="T20" s="128"/>
      <c r="U20" s="128"/>
      <c r="V20" s="125"/>
    </row>
    <row r="21" spans="2:22" s="72" customFormat="1" ht="12.7">
      <c r="B21" s="16">
        <v>11</v>
      </c>
      <c r="C21" s="114"/>
      <c r="D21" s="72" t="s">
        <v>329</v>
      </c>
      <c r="E21" s="127" t="s">
        <v>340</v>
      </c>
      <c r="F21" s="127"/>
      <c r="G21" s="127"/>
      <c r="I21" s="128">
        <f>InpActive!G30</f>
        <v>247.6</v>
      </c>
      <c r="J21" s="128">
        <f>InpActive!H30</f>
        <v>254.2</v>
      </c>
      <c r="K21" s="128">
        <f>InpActive!I30</f>
        <v>256.7</v>
      </c>
      <c r="L21" s="128">
        <f>InpActive!J30</f>
        <v>260</v>
      </c>
      <c r="M21" s="128">
        <f>InpActive!K30</f>
        <v>268.39999999999998</v>
      </c>
      <c r="N21" s="128">
        <f>InpActive!L30</f>
        <v>278.10000000000002</v>
      </c>
      <c r="O21" s="128">
        <f>InpActive!M30</f>
        <v>285.79250000000002</v>
      </c>
      <c r="P21" s="128">
        <f>InpActive!N30</f>
        <v>293.91500000000002</v>
      </c>
      <c r="Q21" s="128">
        <f>InpActive!O30</f>
        <v>303.614195</v>
      </c>
      <c r="R21" s="128"/>
      <c r="S21" s="128"/>
      <c r="T21" s="128"/>
      <c r="U21" s="128"/>
      <c r="V21" s="125"/>
    </row>
    <row r="22" spans="2:22" s="72" customFormat="1" ht="12.7">
      <c r="B22" s="16">
        <v>12</v>
      </c>
      <c r="C22" s="114"/>
      <c r="D22" s="72" t="s">
        <v>329</v>
      </c>
      <c r="E22" s="127" t="s">
        <v>341</v>
      </c>
      <c r="F22" s="127"/>
      <c r="G22" s="127"/>
      <c r="I22" s="128">
        <f>InpActive!G31</f>
        <v>248.7</v>
      </c>
      <c r="J22" s="128">
        <f>InpActive!H31</f>
        <v>254.8</v>
      </c>
      <c r="K22" s="128">
        <f>InpActive!I31</f>
        <v>257.10000000000002</v>
      </c>
      <c r="L22" s="128">
        <f>InpActive!J31</f>
        <v>261.10000000000002</v>
      </c>
      <c r="M22" s="128">
        <f>InpActive!K31</f>
        <v>269.3</v>
      </c>
      <c r="N22" s="128">
        <f>InpActive!L31</f>
        <v>278.3</v>
      </c>
      <c r="O22" s="128">
        <f>InpActive!M31</f>
        <v>286.45249999999999</v>
      </c>
      <c r="P22" s="128">
        <f>InpActive!N31</f>
        <v>294.6825</v>
      </c>
      <c r="Q22" s="128">
        <f>InpActive!O31</f>
        <v>304.40702249999998</v>
      </c>
      <c r="R22" s="128"/>
      <c r="S22" s="128"/>
      <c r="T22" s="128"/>
      <c r="U22" s="128"/>
      <c r="V22" s="125"/>
    </row>
    <row r="23" spans="2:22" s="72" customFormat="1" ht="12.7">
      <c r="B23" s="114"/>
      <c r="C23" s="114"/>
      <c r="D23" s="91"/>
      <c r="E23" s="127" t="s">
        <v>342</v>
      </c>
      <c r="F23" s="127"/>
      <c r="G23" s="127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5"/>
    </row>
    <row r="24" spans="2:22" s="130" customFormat="1" ht="12.7">
      <c r="C24" s="131"/>
      <c r="D24" s="130" t="s">
        <v>343</v>
      </c>
      <c r="E24" s="130" t="s">
        <v>344</v>
      </c>
      <c r="I24" s="146" t="s">
        <v>326</v>
      </c>
      <c r="J24" s="146" t="s">
        <v>326</v>
      </c>
      <c r="K24" s="146" t="s">
        <v>326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32"/>
    </row>
    <row r="25" spans="2:22" s="130" customFormat="1" ht="12.7">
      <c r="C25" s="131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32"/>
    </row>
    <row r="26" spans="2:22" s="130" customFormat="1" ht="12.7">
      <c r="C26" s="131" t="s">
        <v>345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32" t="s">
        <v>346</v>
      </c>
    </row>
    <row r="27" spans="2:22" s="72" customFormat="1" ht="12.75" customHeight="1">
      <c r="C27" s="114"/>
      <c r="I27" s="126" t="s">
        <v>326</v>
      </c>
      <c r="J27" s="126" t="s">
        <v>326</v>
      </c>
      <c r="K27" s="126" t="s">
        <v>326</v>
      </c>
      <c r="L27" s="126" t="s">
        <v>326</v>
      </c>
      <c r="M27" s="126" t="s">
        <v>326</v>
      </c>
      <c r="N27" s="126" t="s">
        <v>326</v>
      </c>
      <c r="O27" s="126" t="s">
        <v>326</v>
      </c>
      <c r="P27" s="126" t="s">
        <v>326</v>
      </c>
      <c r="Q27" s="126" t="s">
        <v>326</v>
      </c>
      <c r="R27" s="126" t="s">
        <v>326</v>
      </c>
      <c r="S27" s="126" t="s">
        <v>326</v>
      </c>
      <c r="T27" s="126" t="s">
        <v>326</v>
      </c>
      <c r="U27" s="126" t="s">
        <v>326</v>
      </c>
      <c r="V27" s="125"/>
    </row>
    <row r="28" spans="2:22" s="72" customFormat="1" ht="12.75" customHeight="1">
      <c r="E28" s="120" t="s">
        <v>347</v>
      </c>
      <c r="F28" s="120"/>
      <c r="G28" s="120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5"/>
    </row>
    <row r="29" spans="2:22" ht="12.75" customHeight="1">
      <c r="B29" s="16">
        <v>1</v>
      </c>
      <c r="C29" s="114"/>
      <c r="D29" s="91" t="s">
        <v>329</v>
      </c>
      <c r="E29" s="127" t="s">
        <v>330</v>
      </c>
      <c r="F29" s="127"/>
      <c r="G29" s="127"/>
      <c r="H29" s="16">
        <v>0</v>
      </c>
      <c r="I29" s="133">
        <f>IF(I11&lt;&gt;0,I11,H29*SUM(1,I$24))</f>
        <v>242.5</v>
      </c>
      <c r="J29" s="133">
        <f t="shared" ref="J29:U29" si="2">IF(J11&lt;&gt;0,J11,I29*SUM(1,J$24))</f>
        <v>249.5</v>
      </c>
      <c r="K29" s="133">
        <f t="shared" si="2"/>
        <v>255.7</v>
      </c>
      <c r="L29" s="133">
        <f t="shared" si="2"/>
        <v>258</v>
      </c>
      <c r="M29" s="133">
        <f t="shared" si="2"/>
        <v>261.39999999999998</v>
      </c>
      <c r="N29" s="133">
        <f t="shared" si="2"/>
        <v>270.60000000000002</v>
      </c>
      <c r="O29" s="133">
        <f t="shared" si="2"/>
        <v>279.7</v>
      </c>
      <c r="P29" s="133">
        <f t="shared" si="2"/>
        <v>287.83249999999998</v>
      </c>
      <c r="Q29" s="133">
        <f t="shared" si="2"/>
        <v>295.91250000000002</v>
      </c>
      <c r="R29" s="133">
        <f t="shared" si="2"/>
        <v>295.91250000000002</v>
      </c>
      <c r="S29" s="133">
        <f t="shared" si="2"/>
        <v>295.91250000000002</v>
      </c>
      <c r="T29" s="133">
        <f t="shared" si="2"/>
        <v>295.91250000000002</v>
      </c>
      <c r="U29" s="133">
        <f t="shared" si="2"/>
        <v>295.91250000000002</v>
      </c>
    </row>
    <row r="30" spans="2:22" ht="12.75" customHeight="1">
      <c r="B30" s="16">
        <v>2</v>
      </c>
      <c r="C30" s="114"/>
      <c r="D30" s="91" t="s">
        <v>329</v>
      </c>
      <c r="E30" s="127" t="s">
        <v>331</v>
      </c>
      <c r="F30" s="127"/>
      <c r="G30" s="127"/>
      <c r="H30" s="16">
        <v>0</v>
      </c>
      <c r="I30" s="133">
        <f t="shared" ref="I30:U40" si="3">IF(I12&lt;&gt;0,I12,H30*SUM(1,I$24))</f>
        <v>242.4</v>
      </c>
      <c r="J30" s="133">
        <f t="shared" si="3"/>
        <v>250</v>
      </c>
      <c r="K30" s="133">
        <f t="shared" si="3"/>
        <v>255.9</v>
      </c>
      <c r="L30" s="133">
        <f t="shared" si="3"/>
        <v>258.5</v>
      </c>
      <c r="M30" s="133">
        <f t="shared" si="3"/>
        <v>262.10000000000002</v>
      </c>
      <c r="N30" s="133">
        <f t="shared" si="3"/>
        <v>271.7</v>
      </c>
      <c r="O30" s="133">
        <f t="shared" si="3"/>
        <v>280.7</v>
      </c>
      <c r="P30" s="133">
        <f t="shared" si="3"/>
        <v>288.53750000000002</v>
      </c>
      <c r="Q30" s="133">
        <f t="shared" si="3"/>
        <v>296.61750000000001</v>
      </c>
      <c r="R30" s="133">
        <f t="shared" si="3"/>
        <v>296.61750000000001</v>
      </c>
      <c r="S30" s="133">
        <f t="shared" si="3"/>
        <v>296.61750000000001</v>
      </c>
      <c r="T30" s="133">
        <f t="shared" si="3"/>
        <v>296.61750000000001</v>
      </c>
      <c r="U30" s="133">
        <f t="shared" si="3"/>
        <v>296.61750000000001</v>
      </c>
    </row>
    <row r="31" spans="2:22" ht="12.75" customHeight="1">
      <c r="B31" s="16">
        <v>3</v>
      </c>
      <c r="C31" s="114"/>
      <c r="D31" s="91" t="s">
        <v>329</v>
      </c>
      <c r="E31" s="127" t="s">
        <v>332</v>
      </c>
      <c r="F31" s="127"/>
      <c r="G31" s="127"/>
      <c r="H31" s="16">
        <v>0</v>
      </c>
      <c r="I31" s="133">
        <f t="shared" si="3"/>
        <v>241.8</v>
      </c>
      <c r="J31" s="133">
        <f t="shared" si="3"/>
        <v>249.7</v>
      </c>
      <c r="K31" s="133">
        <f t="shared" si="3"/>
        <v>256.3</v>
      </c>
      <c r="L31" s="133">
        <f t="shared" si="3"/>
        <v>258.89999999999998</v>
      </c>
      <c r="M31" s="133">
        <f t="shared" si="3"/>
        <v>263.10000000000002</v>
      </c>
      <c r="N31" s="133">
        <f t="shared" si="3"/>
        <v>272.3</v>
      </c>
      <c r="O31" s="133">
        <f t="shared" si="3"/>
        <v>281.5</v>
      </c>
      <c r="P31" s="133">
        <f t="shared" si="3"/>
        <v>289.27749999999997</v>
      </c>
      <c r="Q31" s="133">
        <f t="shared" si="3"/>
        <v>297.41750000000002</v>
      </c>
      <c r="R31" s="133">
        <f t="shared" si="3"/>
        <v>297.41750000000002</v>
      </c>
      <c r="S31" s="133">
        <f t="shared" si="3"/>
        <v>297.41750000000002</v>
      </c>
      <c r="T31" s="133">
        <f t="shared" si="3"/>
        <v>297.41750000000002</v>
      </c>
      <c r="U31" s="133">
        <f t="shared" si="3"/>
        <v>297.41750000000002</v>
      </c>
    </row>
    <row r="32" spans="2:22" ht="12.75" customHeight="1">
      <c r="B32" s="16">
        <v>4</v>
      </c>
      <c r="C32" s="114"/>
      <c r="D32" s="91" t="s">
        <v>329</v>
      </c>
      <c r="E32" s="127" t="s">
        <v>333</v>
      </c>
      <c r="F32" s="127"/>
      <c r="G32" s="127"/>
      <c r="H32" s="16">
        <v>0</v>
      </c>
      <c r="I32" s="133">
        <f t="shared" si="3"/>
        <v>242.1</v>
      </c>
      <c r="J32" s="133">
        <f t="shared" si="3"/>
        <v>249.7</v>
      </c>
      <c r="K32" s="133">
        <f t="shared" si="3"/>
        <v>256</v>
      </c>
      <c r="L32" s="133">
        <f t="shared" si="3"/>
        <v>258.60000000000002</v>
      </c>
      <c r="M32" s="133">
        <f t="shared" si="3"/>
        <v>263.39999999999998</v>
      </c>
      <c r="N32" s="133">
        <f t="shared" si="3"/>
        <v>272.89999999999998</v>
      </c>
      <c r="O32" s="133">
        <f t="shared" si="3"/>
        <v>281.7</v>
      </c>
      <c r="P32" s="133">
        <f t="shared" si="3"/>
        <v>289.43</v>
      </c>
      <c r="Q32" s="133">
        <f t="shared" si="3"/>
        <v>297.63499999999999</v>
      </c>
      <c r="R32" s="133">
        <f t="shared" si="3"/>
        <v>297.63499999999999</v>
      </c>
      <c r="S32" s="133">
        <f t="shared" si="3"/>
        <v>297.63499999999999</v>
      </c>
      <c r="T32" s="133">
        <f t="shared" si="3"/>
        <v>297.63499999999999</v>
      </c>
      <c r="U32" s="133">
        <f t="shared" si="3"/>
        <v>297.63499999999999</v>
      </c>
    </row>
    <row r="33" spans="2:22" ht="12.75" customHeight="1">
      <c r="B33" s="16">
        <v>5</v>
      </c>
      <c r="C33" s="114"/>
      <c r="D33" s="91" t="s">
        <v>329</v>
      </c>
      <c r="E33" s="127" t="s">
        <v>334</v>
      </c>
      <c r="F33" s="127"/>
      <c r="G33" s="127"/>
      <c r="H33" s="16">
        <v>0</v>
      </c>
      <c r="I33" s="133">
        <f t="shared" si="3"/>
        <v>243</v>
      </c>
      <c r="J33" s="133">
        <f t="shared" si="3"/>
        <v>251</v>
      </c>
      <c r="K33" s="133">
        <f t="shared" si="3"/>
        <v>257</v>
      </c>
      <c r="L33" s="133">
        <f t="shared" si="3"/>
        <v>259.8</v>
      </c>
      <c r="M33" s="133">
        <f t="shared" si="3"/>
        <v>264.39999999999998</v>
      </c>
      <c r="N33" s="133">
        <f t="shared" si="3"/>
        <v>274.7</v>
      </c>
      <c r="O33" s="133">
        <f t="shared" si="3"/>
        <v>284.2</v>
      </c>
      <c r="P33" s="133">
        <f t="shared" si="3"/>
        <v>291.52249999999998</v>
      </c>
      <c r="Q33" s="133">
        <f t="shared" si="3"/>
        <v>299.71499999999997</v>
      </c>
      <c r="R33" s="133">
        <f t="shared" si="3"/>
        <v>299.71499999999997</v>
      </c>
      <c r="S33" s="133">
        <f t="shared" si="3"/>
        <v>299.71499999999997</v>
      </c>
      <c r="T33" s="133">
        <f t="shared" si="3"/>
        <v>299.71499999999997</v>
      </c>
      <c r="U33" s="133">
        <f t="shared" si="3"/>
        <v>299.71499999999997</v>
      </c>
    </row>
    <row r="34" spans="2:22" ht="12.75" customHeight="1">
      <c r="B34" s="16">
        <v>6</v>
      </c>
      <c r="C34" s="114"/>
      <c r="D34" s="91" t="s">
        <v>329</v>
      </c>
      <c r="E34" s="127" t="s">
        <v>335</v>
      </c>
      <c r="F34" s="127"/>
      <c r="G34" s="127"/>
      <c r="H34" s="16">
        <v>0</v>
      </c>
      <c r="I34" s="133">
        <f t="shared" si="3"/>
        <v>244.2</v>
      </c>
      <c r="J34" s="133">
        <f t="shared" si="3"/>
        <v>251.9</v>
      </c>
      <c r="K34" s="133">
        <f t="shared" si="3"/>
        <v>257.60000000000002</v>
      </c>
      <c r="L34" s="133">
        <f t="shared" si="3"/>
        <v>259.60000000000002</v>
      </c>
      <c r="M34" s="133">
        <f t="shared" si="3"/>
        <v>264.89999999999998</v>
      </c>
      <c r="N34" s="133">
        <f t="shared" si="3"/>
        <v>275.10000000000002</v>
      </c>
      <c r="O34" s="133">
        <f t="shared" si="3"/>
        <v>284.10000000000002</v>
      </c>
      <c r="P34" s="133">
        <f t="shared" si="3"/>
        <v>291.41750000000002</v>
      </c>
      <c r="Q34" s="133">
        <f t="shared" si="3"/>
        <v>299.76249999999999</v>
      </c>
      <c r="R34" s="133">
        <f t="shared" si="3"/>
        <v>299.76249999999999</v>
      </c>
      <c r="S34" s="133">
        <f t="shared" si="3"/>
        <v>299.76249999999999</v>
      </c>
      <c r="T34" s="133">
        <f t="shared" si="3"/>
        <v>299.76249999999999</v>
      </c>
      <c r="U34" s="133">
        <f t="shared" si="3"/>
        <v>299.76249999999999</v>
      </c>
    </row>
    <row r="35" spans="2:22" ht="12.75" customHeight="1">
      <c r="B35" s="16">
        <v>7</v>
      </c>
      <c r="C35" s="114"/>
      <c r="D35" s="91" t="s">
        <v>329</v>
      </c>
      <c r="E35" s="127" t="s">
        <v>336</v>
      </c>
      <c r="F35" s="127"/>
      <c r="G35" s="127"/>
      <c r="H35" s="16">
        <v>0</v>
      </c>
      <c r="I35" s="133">
        <f t="shared" si="3"/>
        <v>245.6</v>
      </c>
      <c r="J35" s="133">
        <f t="shared" si="3"/>
        <v>251.9</v>
      </c>
      <c r="K35" s="133">
        <f t="shared" si="3"/>
        <v>257.7</v>
      </c>
      <c r="L35" s="133">
        <f t="shared" si="3"/>
        <v>259.5</v>
      </c>
      <c r="M35" s="133">
        <f t="shared" si="3"/>
        <v>264.8</v>
      </c>
      <c r="N35" s="133">
        <f t="shared" si="3"/>
        <v>275.3</v>
      </c>
      <c r="O35" s="133">
        <f t="shared" si="3"/>
        <v>284.5</v>
      </c>
      <c r="P35" s="133">
        <f t="shared" si="3"/>
        <v>291.67</v>
      </c>
      <c r="Q35" s="133">
        <f t="shared" si="3"/>
        <v>299.97000000000003</v>
      </c>
      <c r="R35" s="133">
        <f t="shared" si="3"/>
        <v>299.97000000000003</v>
      </c>
      <c r="S35" s="133">
        <f t="shared" si="3"/>
        <v>299.97000000000003</v>
      </c>
      <c r="T35" s="133">
        <f t="shared" si="3"/>
        <v>299.97000000000003</v>
      </c>
      <c r="U35" s="133">
        <f t="shared" si="3"/>
        <v>299.97000000000003</v>
      </c>
    </row>
    <row r="36" spans="2:22" ht="12.75" customHeight="1">
      <c r="B36" s="16">
        <v>8</v>
      </c>
      <c r="C36" s="114"/>
      <c r="D36" s="91" t="s">
        <v>329</v>
      </c>
      <c r="E36" s="127" t="s">
        <v>337</v>
      </c>
      <c r="F36" s="127"/>
      <c r="G36" s="127"/>
      <c r="H36" s="135">
        <f>H18</f>
        <v>238.5</v>
      </c>
      <c r="I36" s="133">
        <f t="shared" si="3"/>
        <v>245.6</v>
      </c>
      <c r="J36" s="133">
        <f t="shared" si="3"/>
        <v>252.1</v>
      </c>
      <c r="K36" s="133">
        <f t="shared" si="3"/>
        <v>257.10000000000002</v>
      </c>
      <c r="L36" s="133">
        <f t="shared" si="3"/>
        <v>259.8</v>
      </c>
      <c r="M36" s="133">
        <f t="shared" si="3"/>
        <v>265.5</v>
      </c>
      <c r="N36" s="133">
        <f t="shared" si="3"/>
        <v>275.8</v>
      </c>
      <c r="O36" s="133">
        <f t="shared" si="3"/>
        <v>284.60000000000002</v>
      </c>
      <c r="P36" s="133">
        <f t="shared" si="3"/>
        <v>291.83</v>
      </c>
      <c r="Q36" s="133">
        <f t="shared" si="3"/>
        <v>300.23750000000001</v>
      </c>
      <c r="R36" s="133">
        <f t="shared" si="3"/>
        <v>300.23750000000001</v>
      </c>
      <c r="S36" s="133">
        <f t="shared" si="3"/>
        <v>300.23750000000001</v>
      </c>
      <c r="T36" s="133">
        <f t="shared" si="3"/>
        <v>300.23750000000001</v>
      </c>
      <c r="U36" s="133">
        <f t="shared" si="3"/>
        <v>300.23750000000001</v>
      </c>
    </row>
    <row r="37" spans="2:22" ht="12.75" customHeight="1">
      <c r="B37" s="16">
        <v>9</v>
      </c>
      <c r="C37" s="114"/>
      <c r="D37" s="91" t="s">
        <v>329</v>
      </c>
      <c r="E37" s="127" t="s">
        <v>338</v>
      </c>
      <c r="F37" s="127"/>
      <c r="G37" s="127"/>
      <c r="H37" s="16">
        <v>0</v>
      </c>
      <c r="I37" s="133">
        <f t="shared" si="3"/>
        <v>246.8</v>
      </c>
      <c r="J37" s="133">
        <f t="shared" si="3"/>
        <v>253.4</v>
      </c>
      <c r="K37" s="133">
        <f t="shared" si="3"/>
        <v>257.5</v>
      </c>
      <c r="L37" s="133">
        <f t="shared" si="3"/>
        <v>260.60000000000002</v>
      </c>
      <c r="M37" s="133">
        <f t="shared" si="3"/>
        <v>267.10000000000002</v>
      </c>
      <c r="N37" s="133">
        <f t="shared" si="3"/>
        <v>278.10000000000002</v>
      </c>
      <c r="O37" s="133">
        <f t="shared" si="3"/>
        <v>286.27249999999998</v>
      </c>
      <c r="P37" s="133">
        <f t="shared" si="3"/>
        <v>293.88499999999999</v>
      </c>
      <c r="Q37" s="133">
        <f t="shared" si="3"/>
        <v>302.39</v>
      </c>
      <c r="R37" s="133">
        <f t="shared" si="3"/>
        <v>302.39</v>
      </c>
      <c r="S37" s="133">
        <f t="shared" si="3"/>
        <v>302.39</v>
      </c>
      <c r="T37" s="133">
        <f t="shared" si="3"/>
        <v>302.39</v>
      </c>
      <c r="U37" s="133">
        <f t="shared" si="3"/>
        <v>302.39</v>
      </c>
    </row>
    <row r="38" spans="2:22" ht="12.75" customHeight="1">
      <c r="B38" s="16">
        <v>10</v>
      </c>
      <c r="C38" s="114"/>
      <c r="D38" s="91" t="s">
        <v>329</v>
      </c>
      <c r="E38" s="127" t="s">
        <v>339</v>
      </c>
      <c r="F38" s="127"/>
      <c r="G38" s="127"/>
      <c r="H38" s="16">
        <v>0</v>
      </c>
      <c r="I38" s="133">
        <f t="shared" si="3"/>
        <v>245.8</v>
      </c>
      <c r="J38" s="133">
        <f t="shared" si="3"/>
        <v>252.6</v>
      </c>
      <c r="K38" s="133">
        <f t="shared" si="3"/>
        <v>255.4</v>
      </c>
      <c r="L38" s="133">
        <f t="shared" si="3"/>
        <v>258.8</v>
      </c>
      <c r="M38" s="133">
        <f t="shared" si="3"/>
        <v>265.5</v>
      </c>
      <c r="N38" s="133">
        <f t="shared" si="3"/>
        <v>276</v>
      </c>
      <c r="O38" s="133">
        <f t="shared" si="3"/>
        <v>283.72000000000003</v>
      </c>
      <c r="P38" s="133">
        <f t="shared" si="3"/>
        <v>291.65750000000003</v>
      </c>
      <c r="Q38" s="133">
        <f t="shared" si="3"/>
        <v>301.2821975</v>
      </c>
      <c r="R38" s="133">
        <f t="shared" si="3"/>
        <v>301.2821975</v>
      </c>
      <c r="S38" s="133">
        <f t="shared" si="3"/>
        <v>301.2821975</v>
      </c>
      <c r="T38" s="133">
        <f t="shared" si="3"/>
        <v>301.2821975</v>
      </c>
      <c r="U38" s="133">
        <f t="shared" si="3"/>
        <v>301.2821975</v>
      </c>
    </row>
    <row r="39" spans="2:22" ht="12.75" customHeight="1">
      <c r="B39" s="16">
        <v>11</v>
      </c>
      <c r="C39" s="114"/>
      <c r="D39" s="91" t="s">
        <v>329</v>
      </c>
      <c r="E39" s="127" t="s">
        <v>340</v>
      </c>
      <c r="F39" s="127"/>
      <c r="G39" s="127"/>
      <c r="H39" s="16">
        <v>0</v>
      </c>
      <c r="I39" s="133">
        <f t="shared" si="3"/>
        <v>247.6</v>
      </c>
      <c r="J39" s="133">
        <f t="shared" si="3"/>
        <v>254.2</v>
      </c>
      <c r="K39" s="133">
        <f t="shared" si="3"/>
        <v>256.7</v>
      </c>
      <c r="L39" s="133">
        <f t="shared" si="3"/>
        <v>260</v>
      </c>
      <c r="M39" s="133">
        <f t="shared" si="3"/>
        <v>268.39999999999998</v>
      </c>
      <c r="N39" s="133">
        <f t="shared" si="3"/>
        <v>278.10000000000002</v>
      </c>
      <c r="O39" s="133">
        <f t="shared" si="3"/>
        <v>285.79250000000002</v>
      </c>
      <c r="P39" s="133">
        <f t="shared" si="3"/>
        <v>293.91500000000002</v>
      </c>
      <c r="Q39" s="133">
        <f t="shared" si="3"/>
        <v>303.614195</v>
      </c>
      <c r="R39" s="133">
        <f t="shared" si="3"/>
        <v>303.614195</v>
      </c>
      <c r="S39" s="133">
        <f t="shared" si="3"/>
        <v>303.614195</v>
      </c>
      <c r="T39" s="133">
        <f t="shared" si="3"/>
        <v>303.614195</v>
      </c>
      <c r="U39" s="133">
        <f t="shared" si="3"/>
        <v>303.614195</v>
      </c>
    </row>
    <row r="40" spans="2:22" ht="12.75" customHeight="1">
      <c r="B40" s="16">
        <v>12</v>
      </c>
      <c r="C40" s="114"/>
      <c r="D40" s="91" t="s">
        <v>329</v>
      </c>
      <c r="E40" s="127" t="s">
        <v>341</v>
      </c>
      <c r="F40" s="127"/>
      <c r="G40" s="127"/>
      <c r="H40" s="16">
        <v>0</v>
      </c>
      <c r="I40" s="133">
        <f t="shared" si="3"/>
        <v>248.7</v>
      </c>
      <c r="J40" s="133">
        <f t="shared" si="3"/>
        <v>254.8</v>
      </c>
      <c r="K40" s="133">
        <f t="shared" si="3"/>
        <v>257.10000000000002</v>
      </c>
      <c r="L40" s="133">
        <f t="shared" si="3"/>
        <v>261.10000000000002</v>
      </c>
      <c r="M40" s="133">
        <f t="shared" si="3"/>
        <v>269.3</v>
      </c>
      <c r="N40" s="133">
        <f t="shared" si="3"/>
        <v>278.3</v>
      </c>
      <c r="O40" s="133">
        <f t="shared" si="3"/>
        <v>286.45249999999999</v>
      </c>
      <c r="P40" s="133">
        <f t="shared" si="3"/>
        <v>294.6825</v>
      </c>
      <c r="Q40" s="133">
        <f t="shared" si="3"/>
        <v>304.40702249999998</v>
      </c>
      <c r="R40" s="133">
        <f t="shared" si="3"/>
        <v>304.40702249999998</v>
      </c>
      <c r="S40" s="133">
        <f t="shared" si="3"/>
        <v>304.40702249999998</v>
      </c>
      <c r="T40" s="133">
        <f t="shared" si="3"/>
        <v>304.40702249999998</v>
      </c>
      <c r="U40" s="133">
        <f t="shared" si="3"/>
        <v>304.40702249999998</v>
      </c>
    </row>
    <row r="41" spans="2:22" ht="12.75" customHeight="1">
      <c r="B41" s="114"/>
      <c r="C41" s="114"/>
      <c r="D41" s="91" t="s">
        <v>329</v>
      </c>
      <c r="E41" s="127" t="s">
        <v>342</v>
      </c>
      <c r="F41" s="127"/>
      <c r="G41" s="127"/>
      <c r="I41" s="129">
        <f>IF(SUM(I29:I40)=0,0,AVERAGE(I29:I40))</f>
        <v>244.67499999999998</v>
      </c>
      <c r="J41" s="129">
        <f t="shared" ref="J41:U41" si="4">IF(SUM(J29:J40)=0,0,AVERAGE(J29:J40))</f>
        <v>251.73333333333335</v>
      </c>
      <c r="K41" s="129">
        <f t="shared" si="4"/>
        <v>256.66666666666669</v>
      </c>
      <c r="L41" s="129">
        <f t="shared" si="4"/>
        <v>259.43333333333334</v>
      </c>
      <c r="M41" s="129">
        <f t="shared" si="4"/>
        <v>264.99166666666673</v>
      </c>
      <c r="N41" s="129">
        <f t="shared" si="4"/>
        <v>274.90833333333336</v>
      </c>
      <c r="O41" s="129">
        <f t="shared" si="4"/>
        <v>283.60312500000003</v>
      </c>
      <c r="P41" s="129">
        <f t="shared" si="4"/>
        <v>291.30479166666669</v>
      </c>
      <c r="Q41" s="129">
        <f t="shared" si="4"/>
        <v>299.91340958333336</v>
      </c>
      <c r="R41" s="129">
        <f t="shared" si="4"/>
        <v>299.91340958333336</v>
      </c>
      <c r="S41" s="129">
        <f t="shared" si="4"/>
        <v>299.91340958333336</v>
      </c>
      <c r="T41" s="129">
        <f t="shared" si="4"/>
        <v>299.91340958333336</v>
      </c>
      <c r="U41" s="129">
        <f t="shared" si="4"/>
        <v>299.91340958333336</v>
      </c>
    </row>
    <row r="42" spans="2:22" s="72" customFormat="1" ht="12.75" customHeight="1">
      <c r="V42" s="125"/>
    </row>
    <row r="43" spans="2:22" s="72" customFormat="1" ht="12.75" customHeight="1">
      <c r="E43" s="98" t="s">
        <v>348</v>
      </c>
      <c r="F43" s="98"/>
      <c r="G43" s="98"/>
      <c r="V43" s="125"/>
    </row>
    <row r="44" spans="2:22" s="72" customFormat="1" ht="12.75" customHeight="1">
      <c r="E44" s="136" t="s">
        <v>349</v>
      </c>
      <c r="F44" s="136"/>
      <c r="G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5" t="s">
        <v>350</v>
      </c>
    </row>
    <row r="45" spans="2:22" s="72" customFormat="1" ht="12.75" customHeight="1">
      <c r="C45" s="138"/>
      <c r="D45" s="130" t="s">
        <v>343</v>
      </c>
      <c r="E45" s="127" t="s">
        <v>351</v>
      </c>
      <c r="F45" s="127"/>
      <c r="G45" s="127"/>
      <c r="I45" s="185">
        <f t="shared" ref="I45:U45" si="5">IF(Indexation.November.Override&lt;&gt;"",Indexation.November.Override,IF($H$36=0,0,H36/$H$36))</f>
        <v>1</v>
      </c>
      <c r="J45" s="185">
        <f t="shared" si="5"/>
        <v>1.0297693920335429</v>
      </c>
      <c r="K45" s="185">
        <f t="shared" si="5"/>
        <v>1.0570230607966458</v>
      </c>
      <c r="L45" s="185">
        <f t="shared" si="5"/>
        <v>1.077987421383648</v>
      </c>
      <c r="M45" s="185">
        <f t="shared" si="5"/>
        <v>1.0893081761006289</v>
      </c>
      <c r="N45" s="185">
        <f>IF(Indexation.November.Override&lt;&gt;"",Indexation.November.Override,IF($H$36=0,0,M36/$H$36))</f>
        <v>1.1132075471698113</v>
      </c>
      <c r="O45" s="185">
        <f t="shared" si="5"/>
        <v>1.1563941299790357</v>
      </c>
      <c r="P45" s="185">
        <f t="shared" si="5"/>
        <v>1.1932914046121594</v>
      </c>
      <c r="Q45" s="185">
        <f t="shared" si="5"/>
        <v>1.2236058700209642</v>
      </c>
      <c r="R45" s="185">
        <f t="shared" si="5"/>
        <v>1.2588574423480083</v>
      </c>
      <c r="S45" s="185">
        <f t="shared" si="5"/>
        <v>1.2588574423480083</v>
      </c>
      <c r="T45" s="185">
        <f t="shared" si="5"/>
        <v>1.2588574423480083</v>
      </c>
      <c r="U45" s="185">
        <f t="shared" si="5"/>
        <v>1.2588574423480083</v>
      </c>
      <c r="V45" s="125" t="s">
        <v>352</v>
      </c>
    </row>
    <row r="46" spans="2:22" s="72" customFormat="1" ht="12.75" customHeight="1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2:22" s="72" customFormat="1" ht="12.75" customHeight="1">
      <c r="E47" s="140" t="s">
        <v>353</v>
      </c>
      <c r="F47" s="140"/>
      <c r="G47" s="140"/>
    </row>
    <row r="48" spans="2:22" s="72" customFormat="1" ht="12.75" customHeight="1">
      <c r="E48" s="136" t="s">
        <v>349</v>
      </c>
      <c r="F48" s="136"/>
      <c r="G48" s="136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5" t="s">
        <v>354</v>
      </c>
    </row>
    <row r="49" spans="1:22" s="72" customFormat="1" ht="12.75" customHeight="1">
      <c r="C49" s="138"/>
      <c r="D49" s="130" t="s">
        <v>343</v>
      </c>
      <c r="E49" s="127" t="s">
        <v>351</v>
      </c>
      <c r="F49" s="127"/>
      <c r="G49" s="127"/>
      <c r="I49" s="185">
        <f t="shared" ref="I49:U49" si="6">IF(Indexation.Average.Override&lt;&gt;"",Indexation.Average.Override,IF($I41=0,0,I41/$I41))</f>
        <v>1</v>
      </c>
      <c r="J49" s="185">
        <f t="shared" si="6"/>
        <v>1.0288477912877627</v>
      </c>
      <c r="K49" s="185">
        <f t="shared" si="6"/>
        <v>1.0490105922822794</v>
      </c>
      <c r="L49" s="185">
        <f t="shared" si="6"/>
        <v>1.0603181090562313</v>
      </c>
      <c r="M49" s="185">
        <f t="shared" si="6"/>
        <v>1.0830353189605262</v>
      </c>
      <c r="N49" s="185">
        <f>IF(Indexation.Average.Override&lt;&gt;"",Indexation.Average.Override,IF($I41=0,0,N41/$I41))</f>
        <v>1.1235652736623414</v>
      </c>
      <c r="O49" s="185">
        <f t="shared" si="6"/>
        <v>1.1591013589455401</v>
      </c>
      <c r="P49" s="185">
        <f t="shared" si="6"/>
        <v>1.1905784884711013</v>
      </c>
      <c r="Q49" s="185">
        <f t="shared" si="6"/>
        <v>1.2257623769626378</v>
      </c>
      <c r="R49" s="185">
        <f t="shared" si="6"/>
        <v>1.2257623769626378</v>
      </c>
      <c r="S49" s="185">
        <f t="shared" si="6"/>
        <v>1.2257623769626378</v>
      </c>
      <c r="T49" s="185">
        <f t="shared" si="6"/>
        <v>1.2257623769626378</v>
      </c>
      <c r="U49" s="185">
        <f t="shared" si="6"/>
        <v>1.2257623769626378</v>
      </c>
      <c r="V49" s="125" t="s">
        <v>355</v>
      </c>
    </row>
    <row r="50" spans="1:22" s="72" customFormat="1" ht="12.75" customHeight="1">
      <c r="C50" s="138"/>
      <c r="D50" s="130"/>
      <c r="E50" s="127"/>
      <c r="F50" s="127"/>
      <c r="G50" s="127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25"/>
    </row>
    <row r="51" spans="1:22" s="72" customFormat="1" ht="12.75" customHeight="1">
      <c r="C51" s="141"/>
      <c r="D51" s="130" t="s">
        <v>343</v>
      </c>
      <c r="E51" s="142" t="s">
        <v>356</v>
      </c>
      <c r="F51" s="142"/>
      <c r="G51" s="142"/>
      <c r="I51" s="139"/>
      <c r="J51" s="139">
        <f>IF(I49=0,0,(J49/I49)-1)</f>
        <v>2.8847791287762714E-2</v>
      </c>
      <c r="K51" s="139">
        <f t="shared" ref="K51:U51" si="7">IF(J49=0,0,(K49/J49)-1)</f>
        <v>1.9597457627118731E-2</v>
      </c>
      <c r="L51" s="139">
        <f>IF(K49=0,0,(L49/K49)-1)</f>
        <v>1.0779220779220777E-2</v>
      </c>
      <c r="M51" s="139">
        <f>IF(L49=0,0,(M49/L49)-1)</f>
        <v>2.1424900424001248E-2</v>
      </c>
      <c r="N51" s="139">
        <f t="shared" si="7"/>
        <v>3.7422560457875953E-2</v>
      </c>
      <c r="O51" s="139">
        <f t="shared" si="7"/>
        <v>3.1627966898056803E-2</v>
      </c>
      <c r="P51" s="139">
        <f t="shared" si="7"/>
        <v>2.7156494367495565E-2</v>
      </c>
      <c r="Q51" s="139">
        <f t="shared" si="7"/>
        <v>2.9551926926479677E-2</v>
      </c>
      <c r="R51" s="139">
        <f t="shared" si="7"/>
        <v>0</v>
      </c>
      <c r="S51" s="139">
        <f t="shared" si="7"/>
        <v>0</v>
      </c>
      <c r="T51" s="139">
        <f t="shared" si="7"/>
        <v>0</v>
      </c>
      <c r="U51" s="139">
        <f t="shared" si="7"/>
        <v>0</v>
      </c>
      <c r="V51" s="125" t="s">
        <v>357</v>
      </c>
    </row>
    <row r="52" spans="1:22" ht="12.75" customHeight="1">
      <c r="E52" s="155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2.75" customHeight="1" thickBot="1"/>
    <row r="54" spans="1:22" ht="12.75" customHeight="1" thickBot="1">
      <c r="A54" s="143" t="s">
        <v>311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4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P16" sqref="P16"/>
      <selection pane="topRight" activeCell="P16" sqref="P16"/>
      <selection pane="bottomLeft" activeCell="P16" sqref="P16"/>
      <selection pane="bottomRight"/>
    </sheetView>
  </sheetViews>
  <sheetFormatPr defaultColWidth="0" defaultRowHeight="0" customHeight="1" zeroHeight="1"/>
  <cols>
    <col min="1" max="3" width="2.52734375" style="7" customWidth="1"/>
    <col min="4" max="4" width="9.52734375" style="7" customWidth="1"/>
    <col min="5" max="5" width="29.3515625" style="7" customWidth="1"/>
    <col min="6" max="6" width="4.05859375" style="7" customWidth="1"/>
    <col min="7" max="7" width="11.52734375" style="7" customWidth="1"/>
    <col min="8" max="8" width="4.05859375" style="7" customWidth="1"/>
    <col min="9" max="21" width="9.52734375" style="7" customWidth="1"/>
    <col min="22" max="22" width="15.87890625" style="7" bestFit="1" customWidth="1"/>
    <col min="23" max="16384" width="9.05859375" style="7" hidden="1"/>
  </cols>
  <sheetData>
    <row r="1" spans="1:22" ht="33">
      <c r="A1" s="94"/>
      <c r="B1" s="94"/>
      <c r="C1" s="94"/>
      <c r="D1" s="1" t="s">
        <v>358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13.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">
      <c r="E3" s="7" t="s">
        <v>1</v>
      </c>
      <c r="I3" s="95" t="s">
        <v>359</v>
      </c>
      <c r="J3" s="95" t="s">
        <v>360</v>
      </c>
      <c r="K3" s="95" t="s">
        <v>361</v>
      </c>
      <c r="L3" s="10" t="s">
        <v>362</v>
      </c>
      <c r="M3" s="10" t="s">
        <v>363</v>
      </c>
      <c r="N3" s="10" t="s">
        <v>364</v>
      </c>
      <c r="O3" s="10" t="s">
        <v>365</v>
      </c>
      <c r="P3" s="10" t="s">
        <v>366</v>
      </c>
      <c r="Q3" s="95" t="s">
        <v>367</v>
      </c>
      <c r="R3" s="95" t="s">
        <v>368</v>
      </c>
      <c r="S3" s="95" t="s">
        <v>369</v>
      </c>
      <c r="T3" s="95" t="s">
        <v>370</v>
      </c>
      <c r="U3" s="95" t="s">
        <v>371</v>
      </c>
      <c r="V3" s="96" t="s">
        <v>313</v>
      </c>
    </row>
    <row r="4" spans="1:22" ht="12.7">
      <c r="V4" s="96"/>
    </row>
    <row r="5" spans="1:22" ht="12.7">
      <c r="E5" s="7" t="s">
        <v>2</v>
      </c>
      <c r="I5" s="97">
        <v>2012</v>
      </c>
      <c r="J5" s="97">
        <v>2013</v>
      </c>
      <c r="K5" s="97">
        <v>2014</v>
      </c>
      <c r="L5" s="97">
        <v>2015</v>
      </c>
      <c r="M5" s="97">
        <v>2016</v>
      </c>
      <c r="N5" s="97">
        <v>2017</v>
      </c>
      <c r="O5" s="97">
        <v>2018</v>
      </c>
      <c r="P5" s="97">
        <v>2019</v>
      </c>
      <c r="Q5" s="97">
        <v>2020</v>
      </c>
      <c r="R5" s="97">
        <v>2021</v>
      </c>
      <c r="S5" s="97">
        <v>2022</v>
      </c>
      <c r="T5" s="97">
        <v>2023</v>
      </c>
      <c r="U5" s="97">
        <v>2024</v>
      </c>
      <c r="V5" s="96" t="s">
        <v>314</v>
      </c>
    </row>
    <row r="6" spans="1:22" ht="12.7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2" ht="12.7"/>
    <row r="8" spans="1:22" ht="13" thickBot="1"/>
    <row r="9" spans="1:22" ht="13" thickBot="1">
      <c r="A9" s="104" t="s">
        <v>311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</row>
    <row r="10" spans="1:22" ht="12.7"/>
    <row r="11" spans="1:22" ht="12.7" hidden="1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99</vt:i4>
      </vt:variant>
    </vt:vector>
  </HeadingPairs>
  <TitlesOfParts>
    <vt:vector size="108" baseType="lpstr">
      <vt:lpstr>F_Inputs</vt:lpstr>
      <vt:lpstr>InpOverride</vt:lpstr>
      <vt:lpstr>InpActive</vt:lpstr>
      <vt:lpstr>F_Outputs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2019-06-28T15:12:17Z</dcterms:created>
  <dcterms:modified xsi:type="dcterms:W3CDTF">2019-07-02T15:14:30Z</dcterms:modified>
  <cp:category/>
  <cp:contentStatus/>
</cp:coreProperties>
</file>