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fwat.sharepoint.com@SSL\DavWWWRoot\sites\rms\pr-pr19\FD\Accounting for past delivery\Service Delivery Report\Data and analysis\"/>
    </mc:Choice>
  </mc:AlternateContent>
  <bookViews>
    <workbookView xWindow="0" yWindow="0" windowWidth="13680" windowHeight="8970" tabRatio="891"/>
  </bookViews>
  <sheets>
    <sheet name="Cover" sheetId="19" r:id="rId1"/>
    <sheet name="Map &amp; Key" sheetId="18" r:id="rId2"/>
    <sheet name="OUTPUT│Summary" sheetId="13" r:id="rId3"/>
    <sheet name="INPUTS│Wholesale Totex" sheetId="2" r:id="rId4"/>
    <sheet name="INPUTS│Residential Retail" sheetId="3" r:id="rId5"/>
    <sheet name="INPUTS│Outcomes" sheetId="1" r:id="rId6"/>
    <sheet name="INPUTS│Performance Commitments" sheetId="8" r:id="rId7"/>
    <sheet name="CALCS│Wholesale Totex" sheetId="14" r:id="rId8"/>
    <sheet name="CALCS│Residential Retail" sheetId="16" r:id="rId9"/>
    <sheet name="CALCS│Outcomes" sheetId="6" r:id="rId10"/>
    <sheet name="CALCS│Performance Commitments" sheetId="7" r:id="rId11"/>
    <sheet name="CALCS│Summary" sheetId="12" r:id="rId12"/>
    <sheet name="OUTPUT│Totex" sheetId="15" r:id="rId13"/>
    <sheet name="OUTPUT│Performance Commitments" sheetId="10" r:id="rId14"/>
    <sheet name="OUTPUT│Outcomes Trends" sheetId="11" r:id="rId15"/>
  </sheets>
  <definedNames>
    <definedName name="Last_year">'Map &amp; Key'!$F$110</definedName>
    <definedName name="Year">'Map &amp; Key'!$F$109</definedName>
  </definedNames>
  <calcPr calcId="15251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73" i="10" l="1"/>
  <c r="O154" i="10"/>
  <c r="O129" i="10"/>
  <c r="O104" i="10"/>
  <c r="O79" i="10"/>
  <c r="O251" i="6" l="1"/>
  <c r="O252" i="6"/>
  <c r="O253" i="6"/>
  <c r="O254" i="6"/>
  <c r="O255" i="6"/>
  <c r="O256" i="6"/>
  <c r="O257" i="6"/>
  <c r="O258" i="6"/>
  <c r="O259" i="6"/>
  <c r="O260" i="6"/>
  <c r="O250" i="6"/>
  <c r="N251" i="6"/>
  <c r="N252" i="6"/>
  <c r="N253" i="6"/>
  <c r="N254" i="6"/>
  <c r="N255" i="6"/>
  <c r="N256" i="6"/>
  <c r="N257" i="6"/>
  <c r="N258" i="6"/>
  <c r="N259" i="6"/>
  <c r="N260" i="6"/>
  <c r="N250" i="6"/>
  <c r="K98" i="6"/>
  <c r="H121" i="14"/>
  <c r="K95" i="1"/>
  <c r="H274" i="16"/>
  <c r="H294" i="16"/>
  <c r="E365" i="6" l="1"/>
  <c r="F365" i="6"/>
  <c r="G365" i="6"/>
  <c r="H365" i="6"/>
  <c r="I365" i="6"/>
  <c r="J365" i="6"/>
  <c r="K365" i="6"/>
  <c r="L365" i="6"/>
  <c r="E366" i="6"/>
  <c r="F366" i="6"/>
  <c r="G366" i="6"/>
  <c r="H366" i="6"/>
  <c r="I366" i="6"/>
  <c r="J366" i="6"/>
  <c r="K366" i="6"/>
  <c r="L366" i="6"/>
  <c r="E367" i="6"/>
  <c r="F367" i="6"/>
  <c r="G367" i="6"/>
  <c r="H367" i="6"/>
  <c r="I367" i="6"/>
  <c r="J367" i="6"/>
  <c r="K367" i="6"/>
  <c r="L367" i="6"/>
  <c r="F364" i="6"/>
  <c r="G364" i="6"/>
  <c r="H364" i="6"/>
  <c r="I364" i="6"/>
  <c r="J364" i="6"/>
  <c r="K364" i="6"/>
  <c r="L364" i="6"/>
  <c r="E364" i="6"/>
  <c r="E357" i="6"/>
  <c r="F357" i="6"/>
  <c r="G357" i="6"/>
  <c r="H357" i="6"/>
  <c r="I357" i="6"/>
  <c r="J357" i="6"/>
  <c r="K357" i="6"/>
  <c r="L357" i="6"/>
  <c r="E358" i="6"/>
  <c r="F358" i="6"/>
  <c r="G358" i="6"/>
  <c r="H358" i="6"/>
  <c r="I358" i="6"/>
  <c r="J358" i="6"/>
  <c r="K358" i="6"/>
  <c r="L358" i="6"/>
  <c r="E359" i="6"/>
  <c r="F359" i="6"/>
  <c r="G359" i="6"/>
  <c r="H359" i="6"/>
  <c r="I359" i="6"/>
  <c r="J359" i="6"/>
  <c r="K359" i="6"/>
  <c r="L359" i="6"/>
  <c r="E360" i="6"/>
  <c r="F360" i="6"/>
  <c r="G360" i="6"/>
  <c r="H360" i="6"/>
  <c r="I360" i="6"/>
  <c r="J360" i="6"/>
  <c r="K360" i="6"/>
  <c r="L360" i="6"/>
  <c r="E361" i="6"/>
  <c r="F361" i="6"/>
  <c r="G361" i="6"/>
  <c r="H361" i="6"/>
  <c r="I361" i="6"/>
  <c r="J361" i="6"/>
  <c r="K361" i="6"/>
  <c r="L361" i="6"/>
  <c r="E362" i="6"/>
  <c r="F362" i="6"/>
  <c r="G362" i="6"/>
  <c r="H362" i="6"/>
  <c r="I362" i="6"/>
  <c r="J362" i="6"/>
  <c r="K362" i="6"/>
  <c r="L362" i="6"/>
  <c r="E363" i="6"/>
  <c r="F363" i="6"/>
  <c r="G363" i="6"/>
  <c r="H363" i="6"/>
  <c r="I363" i="6"/>
  <c r="J363" i="6"/>
  <c r="K363" i="6"/>
  <c r="L363" i="6"/>
  <c r="F356" i="6"/>
  <c r="G356" i="6"/>
  <c r="H356" i="6"/>
  <c r="I356" i="6"/>
  <c r="J356" i="6"/>
  <c r="K356" i="6"/>
  <c r="L356" i="6"/>
  <c r="E356" i="6"/>
  <c r="F355" i="6"/>
  <c r="G355" i="6"/>
  <c r="H355" i="6"/>
  <c r="I355" i="6"/>
  <c r="J355" i="6"/>
  <c r="K355" i="6"/>
  <c r="L355" i="6"/>
  <c r="E355" i="6"/>
  <c r="F354" i="6"/>
  <c r="G354" i="6"/>
  <c r="H354" i="6"/>
  <c r="I354" i="6"/>
  <c r="J354" i="6"/>
  <c r="K354" i="6"/>
  <c r="L354" i="6"/>
  <c r="E354" i="6"/>
  <c r="F353" i="6"/>
  <c r="G353" i="6"/>
  <c r="H353" i="6"/>
  <c r="I353" i="6"/>
  <c r="J353" i="6"/>
  <c r="K353" i="6"/>
  <c r="L353" i="6"/>
  <c r="E353" i="6"/>
  <c r="E352" i="6"/>
  <c r="F352" i="6"/>
  <c r="G352" i="6"/>
  <c r="H352" i="6"/>
  <c r="I352" i="6"/>
  <c r="J352" i="6"/>
  <c r="K352" i="6"/>
  <c r="L352" i="6"/>
  <c r="F351" i="6"/>
  <c r="G351" i="6"/>
  <c r="H351" i="6"/>
  <c r="I351" i="6"/>
  <c r="J351" i="6"/>
  <c r="K351" i="6"/>
  <c r="L351" i="6"/>
  <c r="E351" i="6"/>
  <c r="F331" i="6"/>
  <c r="G331" i="6"/>
  <c r="H331" i="6"/>
  <c r="I331" i="6"/>
  <c r="J331" i="6"/>
  <c r="K331" i="6"/>
  <c r="L331" i="6"/>
  <c r="E331" i="6"/>
  <c r="J333" i="6"/>
  <c r="F333" i="6"/>
  <c r="G333" i="6"/>
  <c r="H333" i="6"/>
  <c r="I333" i="6"/>
  <c r="K333" i="6"/>
  <c r="L333" i="6"/>
  <c r="E333" i="6"/>
  <c r="J336" i="6" l="1"/>
  <c r="J329" i="6"/>
  <c r="D6" i="19" l="1"/>
  <c r="D7" i="19"/>
  <c r="D5" i="19"/>
  <c r="F110" i="18" l="1"/>
  <c r="C54" i="15" l="1"/>
  <c r="C32" i="15"/>
  <c r="E228" i="16"/>
  <c r="F228" i="16"/>
  <c r="G228" i="16"/>
  <c r="H228" i="16"/>
  <c r="I228" i="16"/>
  <c r="E229" i="16"/>
  <c r="F229" i="16"/>
  <c r="G229" i="16"/>
  <c r="H229" i="16"/>
  <c r="I229" i="16"/>
  <c r="E230" i="16"/>
  <c r="F230" i="16"/>
  <c r="G230" i="16"/>
  <c r="H230" i="16"/>
  <c r="I230" i="16"/>
  <c r="E231" i="16"/>
  <c r="F231" i="16"/>
  <c r="G231" i="16"/>
  <c r="H231" i="16"/>
  <c r="I231" i="16"/>
  <c r="E232" i="16"/>
  <c r="F232" i="16"/>
  <c r="G232" i="16"/>
  <c r="H232" i="16"/>
  <c r="I232" i="16"/>
  <c r="E233" i="16"/>
  <c r="F233" i="16"/>
  <c r="G233" i="16"/>
  <c r="H233" i="16"/>
  <c r="I233" i="16"/>
  <c r="E234" i="16"/>
  <c r="F234" i="16"/>
  <c r="G234" i="16"/>
  <c r="H234" i="16"/>
  <c r="I234" i="16"/>
  <c r="E235" i="16"/>
  <c r="F235" i="16"/>
  <c r="G235" i="16"/>
  <c r="H235" i="16"/>
  <c r="I235" i="16"/>
  <c r="E236" i="16"/>
  <c r="F236" i="16"/>
  <c r="G236" i="16"/>
  <c r="H236" i="16"/>
  <c r="I236" i="16"/>
  <c r="E237" i="16"/>
  <c r="F237" i="16"/>
  <c r="G237" i="16"/>
  <c r="H237" i="16"/>
  <c r="I237" i="16"/>
  <c r="E238" i="16"/>
  <c r="F238" i="16"/>
  <c r="G238" i="16"/>
  <c r="H238" i="16"/>
  <c r="I238" i="16"/>
  <c r="E239" i="16"/>
  <c r="F239" i="16"/>
  <c r="G239" i="16"/>
  <c r="H239" i="16"/>
  <c r="I239" i="16"/>
  <c r="E240" i="16"/>
  <c r="F240" i="16"/>
  <c r="G240" i="16"/>
  <c r="H240" i="16"/>
  <c r="I240" i="16"/>
  <c r="E241" i="16"/>
  <c r="F241" i="16"/>
  <c r="G241" i="16"/>
  <c r="H241" i="16"/>
  <c r="I241" i="16"/>
  <c r="E242" i="16"/>
  <c r="F242" i="16"/>
  <c r="G242" i="16"/>
  <c r="H242" i="16"/>
  <c r="I242" i="16"/>
  <c r="E243" i="16"/>
  <c r="F243" i="16"/>
  <c r="G243" i="16"/>
  <c r="H243" i="16"/>
  <c r="I243" i="16"/>
  <c r="F227" i="16"/>
  <c r="G227" i="16"/>
  <c r="H227" i="16"/>
  <c r="I227" i="16"/>
  <c r="E227" i="16"/>
  <c r="F187" i="16"/>
  <c r="G187" i="16"/>
  <c r="H187" i="16"/>
  <c r="I187" i="16"/>
  <c r="F188" i="16"/>
  <c r="G188" i="16"/>
  <c r="H188" i="16"/>
  <c r="I188" i="16"/>
  <c r="F189" i="16"/>
  <c r="G189" i="16"/>
  <c r="H189" i="16"/>
  <c r="I189" i="16"/>
  <c r="F190" i="16"/>
  <c r="G190" i="16"/>
  <c r="H190" i="16"/>
  <c r="I190" i="16"/>
  <c r="F191" i="16"/>
  <c r="G191" i="16"/>
  <c r="H191" i="16"/>
  <c r="I191" i="16"/>
  <c r="F192" i="16"/>
  <c r="G192" i="16"/>
  <c r="H192" i="16"/>
  <c r="I192" i="16"/>
  <c r="F193" i="16"/>
  <c r="G193" i="16"/>
  <c r="H193" i="16"/>
  <c r="I193" i="16"/>
  <c r="F194" i="16"/>
  <c r="G194" i="16"/>
  <c r="H194" i="16"/>
  <c r="I194" i="16"/>
  <c r="F195" i="16"/>
  <c r="G195" i="16"/>
  <c r="H195" i="16"/>
  <c r="I195" i="16"/>
  <c r="F196" i="16"/>
  <c r="G196" i="16"/>
  <c r="H196" i="16"/>
  <c r="I196" i="16"/>
  <c r="F197" i="16"/>
  <c r="G197" i="16"/>
  <c r="H197" i="16"/>
  <c r="I197" i="16"/>
  <c r="F198" i="16"/>
  <c r="G198" i="16"/>
  <c r="H198" i="16"/>
  <c r="I198" i="16"/>
  <c r="F199" i="16"/>
  <c r="G199" i="16"/>
  <c r="H199" i="16"/>
  <c r="I199" i="16"/>
  <c r="F200" i="16"/>
  <c r="G200" i="16"/>
  <c r="H200" i="16"/>
  <c r="I200" i="16"/>
  <c r="F201" i="16"/>
  <c r="G201" i="16"/>
  <c r="H201" i="16"/>
  <c r="I201" i="16"/>
  <c r="F202" i="16"/>
  <c r="G202" i="16"/>
  <c r="H202" i="16"/>
  <c r="I202" i="16"/>
  <c r="F203" i="16"/>
  <c r="G203" i="16"/>
  <c r="H203" i="16"/>
  <c r="I203" i="16"/>
  <c r="E188" i="16"/>
  <c r="E189" i="16"/>
  <c r="E190" i="16"/>
  <c r="E191" i="16"/>
  <c r="E192" i="16"/>
  <c r="E193" i="16"/>
  <c r="E194" i="16"/>
  <c r="E195" i="16"/>
  <c r="E196" i="16"/>
  <c r="E197" i="16"/>
  <c r="E198" i="16"/>
  <c r="E199" i="16"/>
  <c r="E200" i="16"/>
  <c r="E201" i="16"/>
  <c r="E202" i="16"/>
  <c r="E203" i="16"/>
  <c r="E187" i="16"/>
  <c r="I163" i="16"/>
  <c r="H163" i="16"/>
  <c r="G163" i="16"/>
  <c r="F163" i="16"/>
  <c r="E163" i="16"/>
  <c r="I162" i="16"/>
  <c r="H162" i="16"/>
  <c r="G162" i="16"/>
  <c r="F162" i="16"/>
  <c r="E162" i="16"/>
  <c r="I161" i="16"/>
  <c r="H161" i="16"/>
  <c r="G161" i="16"/>
  <c r="F161" i="16"/>
  <c r="E161" i="16"/>
  <c r="I160" i="16"/>
  <c r="H160" i="16"/>
  <c r="G160" i="16"/>
  <c r="F160" i="16"/>
  <c r="E160" i="16"/>
  <c r="I159" i="16"/>
  <c r="H159" i="16"/>
  <c r="G159" i="16"/>
  <c r="F159" i="16"/>
  <c r="E159" i="16"/>
  <c r="I158" i="16"/>
  <c r="H158" i="16"/>
  <c r="G158" i="16"/>
  <c r="F158" i="16"/>
  <c r="E158" i="16"/>
  <c r="I157" i="16"/>
  <c r="H157" i="16"/>
  <c r="G157" i="16"/>
  <c r="F157" i="16"/>
  <c r="E157" i="16"/>
  <c r="I156" i="16"/>
  <c r="H156" i="16"/>
  <c r="G156" i="16"/>
  <c r="F156" i="16"/>
  <c r="E156" i="16"/>
  <c r="I155" i="16"/>
  <c r="H155" i="16"/>
  <c r="G155" i="16"/>
  <c r="F155" i="16"/>
  <c r="E155" i="16"/>
  <c r="I154" i="16"/>
  <c r="H154" i="16"/>
  <c r="G154" i="16"/>
  <c r="F154" i="16"/>
  <c r="E154" i="16"/>
  <c r="I153" i="16"/>
  <c r="H153" i="16"/>
  <c r="G153" i="16"/>
  <c r="F153" i="16"/>
  <c r="E153" i="16"/>
  <c r="I152" i="16"/>
  <c r="H152" i="16"/>
  <c r="G152" i="16"/>
  <c r="F152" i="16"/>
  <c r="E152" i="16"/>
  <c r="I151" i="16"/>
  <c r="H151" i="16"/>
  <c r="G151" i="16"/>
  <c r="F151" i="16"/>
  <c r="E151" i="16"/>
  <c r="I150" i="16"/>
  <c r="H150" i="16"/>
  <c r="G150" i="16"/>
  <c r="F150" i="16"/>
  <c r="E150" i="16"/>
  <c r="I149" i="16"/>
  <c r="H149" i="16"/>
  <c r="G149" i="16"/>
  <c r="F149" i="16"/>
  <c r="E149" i="16"/>
  <c r="I148" i="16"/>
  <c r="H148" i="16"/>
  <c r="G148" i="16"/>
  <c r="F148" i="16"/>
  <c r="E148" i="16"/>
  <c r="I147" i="16"/>
  <c r="H147" i="16"/>
  <c r="G147" i="16"/>
  <c r="F147" i="16"/>
  <c r="E147" i="16"/>
  <c r="E128" i="16"/>
  <c r="F128" i="16"/>
  <c r="G128" i="16"/>
  <c r="H128" i="16"/>
  <c r="I128" i="16"/>
  <c r="E129" i="16"/>
  <c r="F129" i="16"/>
  <c r="G129" i="16"/>
  <c r="H129" i="16"/>
  <c r="I129" i="16"/>
  <c r="E130" i="16"/>
  <c r="F130" i="16"/>
  <c r="G130" i="16"/>
  <c r="H130" i="16"/>
  <c r="I130" i="16"/>
  <c r="E131" i="16"/>
  <c r="F131" i="16"/>
  <c r="G131" i="16"/>
  <c r="H131" i="16"/>
  <c r="I131" i="16"/>
  <c r="E132" i="16"/>
  <c r="F132" i="16"/>
  <c r="G132" i="16"/>
  <c r="H132" i="16"/>
  <c r="I132" i="16"/>
  <c r="E133" i="16"/>
  <c r="F133" i="16"/>
  <c r="G133" i="16"/>
  <c r="H133" i="16"/>
  <c r="I133" i="16"/>
  <c r="E134" i="16"/>
  <c r="F134" i="16"/>
  <c r="G134" i="16"/>
  <c r="H134" i="16"/>
  <c r="I134" i="16"/>
  <c r="E135" i="16"/>
  <c r="F135" i="16"/>
  <c r="G135" i="16"/>
  <c r="H135" i="16"/>
  <c r="I135" i="16"/>
  <c r="E136" i="16"/>
  <c r="F136" i="16"/>
  <c r="G136" i="16"/>
  <c r="H136" i="16"/>
  <c r="I136" i="16"/>
  <c r="E137" i="16"/>
  <c r="F137" i="16"/>
  <c r="G137" i="16"/>
  <c r="H137" i="16"/>
  <c r="I137" i="16"/>
  <c r="E138" i="16"/>
  <c r="F138" i="16"/>
  <c r="G138" i="16"/>
  <c r="H138" i="16"/>
  <c r="I138" i="16"/>
  <c r="E139" i="16"/>
  <c r="F139" i="16"/>
  <c r="G139" i="16"/>
  <c r="H139" i="16"/>
  <c r="I139" i="16"/>
  <c r="E140" i="16"/>
  <c r="F140" i="16"/>
  <c r="G140" i="16"/>
  <c r="H140" i="16"/>
  <c r="I140" i="16"/>
  <c r="E141" i="16"/>
  <c r="F141" i="16"/>
  <c r="G141" i="16"/>
  <c r="H141" i="16"/>
  <c r="I141" i="16"/>
  <c r="E142" i="16"/>
  <c r="F142" i="16"/>
  <c r="G142" i="16"/>
  <c r="H142" i="16"/>
  <c r="I142" i="16"/>
  <c r="E143" i="16"/>
  <c r="F143" i="16"/>
  <c r="G143" i="16"/>
  <c r="H143" i="16"/>
  <c r="I143" i="16"/>
  <c r="F127" i="16"/>
  <c r="G127" i="16"/>
  <c r="H127" i="16"/>
  <c r="I127" i="16"/>
  <c r="E127" i="16"/>
  <c r="I101" i="16"/>
  <c r="H101" i="16"/>
  <c r="G101" i="16"/>
  <c r="F101" i="16"/>
  <c r="E101" i="16"/>
  <c r="I100" i="16"/>
  <c r="H100" i="16"/>
  <c r="G100" i="16"/>
  <c r="F100" i="16"/>
  <c r="E100" i="16"/>
  <c r="I99" i="16"/>
  <c r="H99" i="16"/>
  <c r="G99" i="16"/>
  <c r="F99" i="16"/>
  <c r="E99" i="16"/>
  <c r="I98" i="16"/>
  <c r="H98" i="16"/>
  <c r="G98" i="16"/>
  <c r="F98" i="16"/>
  <c r="E98" i="16"/>
  <c r="I97" i="16"/>
  <c r="H97" i="16"/>
  <c r="G97" i="16"/>
  <c r="F97" i="16"/>
  <c r="E97" i="16"/>
  <c r="I96" i="16"/>
  <c r="H96" i="16"/>
  <c r="G96" i="16"/>
  <c r="F96" i="16"/>
  <c r="E96" i="16"/>
  <c r="I95" i="16"/>
  <c r="H95" i="16"/>
  <c r="G95" i="16"/>
  <c r="F95" i="16"/>
  <c r="E95" i="16"/>
  <c r="I94" i="16"/>
  <c r="H94" i="16"/>
  <c r="G94" i="16"/>
  <c r="F94" i="16"/>
  <c r="E94" i="16"/>
  <c r="I93" i="16"/>
  <c r="H93" i="16"/>
  <c r="G93" i="16"/>
  <c r="F93" i="16"/>
  <c r="E93" i="16"/>
  <c r="I92" i="16"/>
  <c r="H92" i="16"/>
  <c r="G92" i="16"/>
  <c r="F92" i="16"/>
  <c r="E92" i="16"/>
  <c r="I91" i="16"/>
  <c r="H91" i="16"/>
  <c r="G91" i="16"/>
  <c r="F91" i="16"/>
  <c r="E91" i="16"/>
  <c r="I87" i="16"/>
  <c r="H87" i="16"/>
  <c r="G87" i="16"/>
  <c r="F87" i="16"/>
  <c r="E87" i="16"/>
  <c r="I86" i="16"/>
  <c r="H86" i="16"/>
  <c r="G86" i="16"/>
  <c r="F86" i="16"/>
  <c r="E86" i="16"/>
  <c r="I85" i="16"/>
  <c r="H85" i="16"/>
  <c r="G85" i="16"/>
  <c r="F85" i="16"/>
  <c r="E85" i="16"/>
  <c r="I84" i="16"/>
  <c r="H84" i="16"/>
  <c r="G84" i="16"/>
  <c r="F84" i="16"/>
  <c r="E84" i="16"/>
  <c r="I83" i="16"/>
  <c r="H83" i="16"/>
  <c r="G83" i="16"/>
  <c r="F83" i="16"/>
  <c r="E83" i="16"/>
  <c r="I82" i="16"/>
  <c r="H82" i="16"/>
  <c r="G82" i="16"/>
  <c r="F82" i="16"/>
  <c r="E82" i="16"/>
  <c r="I81" i="16"/>
  <c r="H81" i="16"/>
  <c r="G81" i="16"/>
  <c r="F81" i="16"/>
  <c r="E81" i="16"/>
  <c r="I80" i="16"/>
  <c r="H80" i="16"/>
  <c r="G80" i="16"/>
  <c r="F80" i="16"/>
  <c r="E80" i="16"/>
  <c r="I79" i="16"/>
  <c r="H79" i="16"/>
  <c r="G79" i="16"/>
  <c r="F79" i="16"/>
  <c r="E79" i="16"/>
  <c r="I78" i="16"/>
  <c r="H78" i="16"/>
  <c r="G78" i="16"/>
  <c r="F78" i="16"/>
  <c r="E78" i="16"/>
  <c r="I77" i="16"/>
  <c r="H77" i="16"/>
  <c r="G77" i="16"/>
  <c r="F77" i="16"/>
  <c r="E77" i="16"/>
  <c r="E68" i="16"/>
  <c r="F68" i="16"/>
  <c r="G68" i="16"/>
  <c r="H68" i="16"/>
  <c r="I68" i="16"/>
  <c r="E69" i="16"/>
  <c r="F69" i="16"/>
  <c r="G69" i="16"/>
  <c r="H69" i="16"/>
  <c r="I69" i="16"/>
  <c r="E70" i="16"/>
  <c r="F70" i="16"/>
  <c r="G70" i="16"/>
  <c r="H70" i="16"/>
  <c r="I70" i="16"/>
  <c r="E71" i="16"/>
  <c r="F71" i="16"/>
  <c r="G71" i="16"/>
  <c r="H71" i="16"/>
  <c r="I71" i="16"/>
  <c r="E72" i="16"/>
  <c r="F72" i="16"/>
  <c r="G72" i="16"/>
  <c r="H72" i="16"/>
  <c r="I72" i="16"/>
  <c r="E73" i="16"/>
  <c r="F73" i="16"/>
  <c r="G73" i="16"/>
  <c r="H73" i="16"/>
  <c r="I73" i="16"/>
  <c r="I67" i="16"/>
  <c r="H67" i="16"/>
  <c r="G67" i="16"/>
  <c r="F67" i="16"/>
  <c r="E67" i="16"/>
  <c r="I66" i="16"/>
  <c r="H66" i="16"/>
  <c r="G66" i="16"/>
  <c r="F66" i="16"/>
  <c r="E66" i="16"/>
  <c r="I65" i="16"/>
  <c r="H65" i="16"/>
  <c r="G65" i="16"/>
  <c r="F65" i="16"/>
  <c r="E65" i="16"/>
  <c r="I64" i="16"/>
  <c r="H64" i="16"/>
  <c r="G64" i="16"/>
  <c r="F64" i="16"/>
  <c r="E64" i="16"/>
  <c r="I63" i="16"/>
  <c r="H63" i="16"/>
  <c r="G63" i="16"/>
  <c r="F63" i="16"/>
  <c r="E63" i="16"/>
  <c r="I62" i="16"/>
  <c r="H62" i="16"/>
  <c r="G62" i="16"/>
  <c r="F62" i="16"/>
  <c r="E62" i="16"/>
  <c r="I61" i="16"/>
  <c r="H61" i="16"/>
  <c r="G61" i="16"/>
  <c r="F61" i="16"/>
  <c r="E61" i="16"/>
  <c r="I60" i="16"/>
  <c r="H60" i="16"/>
  <c r="G60" i="16"/>
  <c r="F60" i="16"/>
  <c r="E60" i="16"/>
  <c r="I59" i="16"/>
  <c r="H59" i="16"/>
  <c r="G59" i="16"/>
  <c r="F59" i="16"/>
  <c r="E59" i="16"/>
  <c r="I58" i="16"/>
  <c r="H58" i="16"/>
  <c r="G58" i="16"/>
  <c r="F58" i="16"/>
  <c r="E58" i="16"/>
  <c r="I57" i="16"/>
  <c r="H57" i="16"/>
  <c r="G57" i="16"/>
  <c r="F57" i="16"/>
  <c r="E57" i="16"/>
  <c r="I53" i="16"/>
  <c r="H53" i="16"/>
  <c r="G53" i="16"/>
  <c r="F53" i="16"/>
  <c r="E53" i="16"/>
  <c r="I52" i="16"/>
  <c r="H52" i="16"/>
  <c r="G52" i="16"/>
  <c r="F52" i="16"/>
  <c r="E52" i="16"/>
  <c r="I51" i="16"/>
  <c r="H51" i="16"/>
  <c r="G51" i="16"/>
  <c r="F51" i="16"/>
  <c r="E51" i="16"/>
  <c r="I50" i="16"/>
  <c r="H50" i="16"/>
  <c r="G50" i="16"/>
  <c r="F50" i="16"/>
  <c r="E50" i="16"/>
  <c r="I49" i="16"/>
  <c r="H49" i="16"/>
  <c r="G49" i="16"/>
  <c r="F49" i="16"/>
  <c r="E49" i="16"/>
  <c r="I48" i="16"/>
  <c r="H48" i="16"/>
  <c r="G48" i="16"/>
  <c r="F48" i="16"/>
  <c r="E48" i="16"/>
  <c r="I47" i="16"/>
  <c r="H47" i="16"/>
  <c r="G47" i="16"/>
  <c r="F47" i="16"/>
  <c r="E47" i="16"/>
  <c r="I46" i="16"/>
  <c r="H46" i="16"/>
  <c r="G46" i="16"/>
  <c r="F46" i="16"/>
  <c r="E46" i="16"/>
  <c r="I45" i="16"/>
  <c r="H45" i="16"/>
  <c r="G45" i="16"/>
  <c r="F45" i="16"/>
  <c r="E45" i="16"/>
  <c r="I44" i="16"/>
  <c r="H44" i="16"/>
  <c r="G44" i="16"/>
  <c r="F44" i="16"/>
  <c r="E44" i="16"/>
  <c r="I43" i="16"/>
  <c r="H43" i="16"/>
  <c r="G43" i="16"/>
  <c r="F43" i="16"/>
  <c r="E43" i="16"/>
  <c r="I39" i="16"/>
  <c r="H39" i="16"/>
  <c r="G39" i="16"/>
  <c r="F39" i="16"/>
  <c r="E39" i="16"/>
  <c r="I38" i="16"/>
  <c r="H38" i="16"/>
  <c r="G38" i="16"/>
  <c r="F38" i="16"/>
  <c r="E38" i="16"/>
  <c r="I37" i="16"/>
  <c r="H37" i="16"/>
  <c r="G37" i="16"/>
  <c r="F37" i="16"/>
  <c r="E37" i="16"/>
  <c r="I36" i="16"/>
  <c r="H36" i="16"/>
  <c r="G36" i="16"/>
  <c r="F36" i="16"/>
  <c r="E36" i="16"/>
  <c r="I35" i="16"/>
  <c r="H35" i="16"/>
  <c r="G35" i="16"/>
  <c r="F35" i="16"/>
  <c r="E35" i="16"/>
  <c r="I34" i="16"/>
  <c r="H34" i="16"/>
  <c r="G34" i="16"/>
  <c r="F34" i="16"/>
  <c r="E34" i="16"/>
  <c r="I33" i="16"/>
  <c r="H33" i="16"/>
  <c r="G33" i="16"/>
  <c r="F33" i="16"/>
  <c r="E33" i="16"/>
  <c r="I32" i="16"/>
  <c r="H32" i="16"/>
  <c r="G32" i="16"/>
  <c r="F32" i="16"/>
  <c r="E32" i="16"/>
  <c r="I31" i="16"/>
  <c r="H31" i="16"/>
  <c r="G31" i="16"/>
  <c r="F31" i="16"/>
  <c r="E31" i="16"/>
  <c r="I30" i="16"/>
  <c r="H30" i="16"/>
  <c r="G30" i="16"/>
  <c r="F30" i="16"/>
  <c r="E30" i="16"/>
  <c r="I29" i="16"/>
  <c r="H29" i="16"/>
  <c r="G29" i="16"/>
  <c r="F29" i="16"/>
  <c r="E29" i="16"/>
  <c r="E24" i="16"/>
  <c r="E120" i="16" s="1"/>
  <c r="E22" i="16"/>
  <c r="E118" i="16" s="1"/>
  <c r="E16" i="16"/>
  <c r="E112" i="16" s="1"/>
  <c r="E14" i="16"/>
  <c r="E110" i="16" s="1"/>
  <c r="F11" i="16"/>
  <c r="F107" i="16" s="1"/>
  <c r="G9" i="16"/>
  <c r="G105" i="16" s="1"/>
  <c r="F10" i="16"/>
  <c r="F106" i="16" s="1"/>
  <c r="G11" i="16"/>
  <c r="G107" i="16" s="1"/>
  <c r="G13" i="16"/>
  <c r="G109" i="16" s="1"/>
  <c r="G15" i="16"/>
  <c r="G111" i="16" s="1"/>
  <c r="G17" i="16"/>
  <c r="G113" i="16" s="1"/>
  <c r="H17" i="16"/>
  <c r="H113" i="16" s="1"/>
  <c r="F18" i="16"/>
  <c r="F114" i="16" s="1"/>
  <c r="G19" i="16"/>
  <c r="G115" i="16" s="1"/>
  <c r="H20" i="16"/>
  <c r="H116" i="16" s="1"/>
  <c r="G21" i="16"/>
  <c r="G117" i="16" s="1"/>
  <c r="G23" i="16"/>
  <c r="G119" i="16" s="1"/>
  <c r="G25" i="16"/>
  <c r="G121" i="16" s="1"/>
  <c r="H25" i="16"/>
  <c r="H121" i="16" s="1"/>
  <c r="E10" i="16"/>
  <c r="E106" i="16" s="1"/>
  <c r="E18" i="16"/>
  <c r="E114" i="16" s="1"/>
  <c r="E19" i="16"/>
  <c r="E115" i="16" s="1"/>
  <c r="E23" i="16"/>
  <c r="E119" i="16" s="1"/>
  <c r="E25" i="16"/>
  <c r="E121" i="16" s="1"/>
  <c r="F9" i="16"/>
  <c r="F105" i="16" s="1"/>
  <c r="I9" i="16"/>
  <c r="I105" i="16" s="1"/>
  <c r="G10" i="16"/>
  <c r="G106" i="16" s="1"/>
  <c r="H10" i="16"/>
  <c r="H106" i="16" s="1"/>
  <c r="I10" i="16"/>
  <c r="I106" i="16" s="1"/>
  <c r="H11" i="16"/>
  <c r="H107" i="16" s="1"/>
  <c r="I11" i="16"/>
  <c r="I107" i="16" s="1"/>
  <c r="F12" i="16"/>
  <c r="F108" i="16" s="1"/>
  <c r="G12" i="16"/>
  <c r="G108" i="16" s="1"/>
  <c r="H12" i="16"/>
  <c r="H108" i="16" s="1"/>
  <c r="I12" i="16"/>
  <c r="I108" i="16" s="1"/>
  <c r="F13" i="16"/>
  <c r="F109" i="16" s="1"/>
  <c r="H13" i="16"/>
  <c r="H109" i="16" s="1"/>
  <c r="I13" i="16"/>
  <c r="I109" i="16" s="1"/>
  <c r="F14" i="16"/>
  <c r="F110" i="16" s="1"/>
  <c r="G14" i="16"/>
  <c r="G110" i="16" s="1"/>
  <c r="H14" i="16"/>
  <c r="H110" i="16" s="1"/>
  <c r="I14" i="16"/>
  <c r="I110" i="16" s="1"/>
  <c r="H15" i="16"/>
  <c r="H111" i="16" s="1"/>
  <c r="I15" i="16"/>
  <c r="I111" i="16" s="1"/>
  <c r="F16" i="16"/>
  <c r="F112" i="16" s="1"/>
  <c r="G16" i="16"/>
  <c r="G112" i="16" s="1"/>
  <c r="H16" i="16"/>
  <c r="H112" i="16" s="1"/>
  <c r="I16" i="16"/>
  <c r="I112" i="16" s="1"/>
  <c r="F17" i="16"/>
  <c r="F113" i="16" s="1"/>
  <c r="I17" i="16"/>
  <c r="I113" i="16" s="1"/>
  <c r="G18" i="16"/>
  <c r="G114" i="16" s="1"/>
  <c r="H18" i="16"/>
  <c r="H114" i="16" s="1"/>
  <c r="I18" i="16"/>
  <c r="I114" i="16" s="1"/>
  <c r="F19" i="16"/>
  <c r="F115" i="16" s="1"/>
  <c r="H19" i="16"/>
  <c r="H115" i="16" s="1"/>
  <c r="I19" i="16"/>
  <c r="I115" i="16" s="1"/>
  <c r="F20" i="16"/>
  <c r="F116" i="16" s="1"/>
  <c r="G20" i="16"/>
  <c r="G116" i="16" s="1"/>
  <c r="I20" i="16"/>
  <c r="I116" i="16" s="1"/>
  <c r="F21" i="16"/>
  <c r="F117" i="16" s="1"/>
  <c r="H21" i="16"/>
  <c r="H117" i="16" s="1"/>
  <c r="I21" i="16"/>
  <c r="I117" i="16" s="1"/>
  <c r="F22" i="16"/>
  <c r="F118" i="16" s="1"/>
  <c r="G22" i="16"/>
  <c r="G118" i="16" s="1"/>
  <c r="H22" i="16"/>
  <c r="H118" i="16" s="1"/>
  <c r="I22" i="16"/>
  <c r="I118" i="16" s="1"/>
  <c r="H23" i="16"/>
  <c r="H119" i="16" s="1"/>
  <c r="I23" i="16"/>
  <c r="I119" i="16" s="1"/>
  <c r="F24" i="16"/>
  <c r="F120" i="16" s="1"/>
  <c r="G24" i="16"/>
  <c r="G120" i="16" s="1"/>
  <c r="H24" i="16"/>
  <c r="H120" i="16" s="1"/>
  <c r="I24" i="16"/>
  <c r="I120" i="16" s="1"/>
  <c r="F25" i="16"/>
  <c r="F121" i="16" s="1"/>
  <c r="I25" i="16"/>
  <c r="I121" i="16" s="1"/>
  <c r="E13" i="16"/>
  <c r="E109" i="16" s="1"/>
  <c r="E17" i="16"/>
  <c r="E113" i="16" s="1"/>
  <c r="E21" i="16"/>
  <c r="E117" i="16" s="1"/>
  <c r="E167" i="16" l="1"/>
  <c r="F167" i="16"/>
  <c r="F207" i="16" s="1"/>
  <c r="G167" i="16"/>
  <c r="G207" i="16" s="1"/>
  <c r="H167" i="16"/>
  <c r="I167" i="16"/>
  <c r="I207" i="16" s="1"/>
  <c r="E168" i="16"/>
  <c r="E208" i="16" s="1"/>
  <c r="F168" i="16"/>
  <c r="F208" i="16" s="1"/>
  <c r="G168" i="16"/>
  <c r="G208" i="16" s="1"/>
  <c r="H168" i="16"/>
  <c r="H208" i="16" s="1"/>
  <c r="I168" i="16"/>
  <c r="I208" i="16" s="1"/>
  <c r="E169" i="16"/>
  <c r="F169" i="16"/>
  <c r="F209" i="16" s="1"/>
  <c r="G169" i="16"/>
  <c r="G209" i="16" s="1"/>
  <c r="H169" i="16"/>
  <c r="H209" i="16" s="1"/>
  <c r="I169" i="16"/>
  <c r="I209" i="16" s="1"/>
  <c r="E170" i="16"/>
  <c r="F170" i="16"/>
  <c r="F210" i="16" s="1"/>
  <c r="G170" i="16"/>
  <c r="G210" i="16" s="1"/>
  <c r="H170" i="16"/>
  <c r="H210" i="16" s="1"/>
  <c r="I170" i="16"/>
  <c r="I210" i="16" s="1"/>
  <c r="E171" i="16"/>
  <c r="E211" i="16" s="1"/>
  <c r="F171" i="16"/>
  <c r="F211" i="16" s="1"/>
  <c r="G171" i="16"/>
  <c r="G211" i="16" s="1"/>
  <c r="H171" i="16"/>
  <c r="H211" i="16" s="1"/>
  <c r="I171" i="16"/>
  <c r="I211" i="16" s="1"/>
  <c r="E172" i="16"/>
  <c r="F172" i="16"/>
  <c r="G172" i="16"/>
  <c r="G212" i="16" s="1"/>
  <c r="H172" i="16"/>
  <c r="I172" i="16"/>
  <c r="I212" i="16" s="1"/>
  <c r="E173" i="16"/>
  <c r="F173" i="16"/>
  <c r="G173" i="16"/>
  <c r="G213" i="16" s="1"/>
  <c r="H173" i="16"/>
  <c r="H213" i="16" s="1"/>
  <c r="I173" i="16"/>
  <c r="I213" i="16" s="1"/>
  <c r="E174" i="16"/>
  <c r="E214" i="16" s="1"/>
  <c r="F174" i="16"/>
  <c r="F214" i="16" s="1"/>
  <c r="G174" i="16"/>
  <c r="G214" i="16" s="1"/>
  <c r="H174" i="16"/>
  <c r="H214" i="16" s="1"/>
  <c r="I174" i="16"/>
  <c r="I214" i="16" s="1"/>
  <c r="E175" i="16"/>
  <c r="E215" i="16" s="1"/>
  <c r="F175" i="16"/>
  <c r="F215" i="16" s="1"/>
  <c r="G175" i="16"/>
  <c r="G215" i="16" s="1"/>
  <c r="H175" i="16"/>
  <c r="H215" i="16" s="1"/>
  <c r="I175" i="16"/>
  <c r="I215" i="16" s="1"/>
  <c r="E176" i="16"/>
  <c r="E216" i="16" s="1"/>
  <c r="F176" i="16"/>
  <c r="F216" i="16" s="1"/>
  <c r="G176" i="16"/>
  <c r="G216" i="16" s="1"/>
  <c r="H176" i="16"/>
  <c r="H216" i="16" s="1"/>
  <c r="I176" i="16"/>
  <c r="I216" i="16" s="1"/>
  <c r="E177" i="16"/>
  <c r="E217" i="16" s="1"/>
  <c r="F177" i="16"/>
  <c r="F217" i="16" s="1"/>
  <c r="G177" i="16"/>
  <c r="G217" i="16" s="1"/>
  <c r="H177" i="16"/>
  <c r="H217" i="16" s="1"/>
  <c r="I177" i="16"/>
  <c r="I217" i="16" s="1"/>
  <c r="E178" i="16"/>
  <c r="F178" i="16"/>
  <c r="F218" i="16" s="1"/>
  <c r="G178" i="16"/>
  <c r="G218" i="16" s="1"/>
  <c r="H178" i="16"/>
  <c r="H218" i="16" s="1"/>
  <c r="I178" i="16"/>
  <c r="I218" i="16" s="1"/>
  <c r="E179" i="16"/>
  <c r="E219" i="16" s="1"/>
  <c r="F179" i="16"/>
  <c r="F219" i="16" s="1"/>
  <c r="G179" i="16"/>
  <c r="G219" i="16" s="1"/>
  <c r="H179" i="16"/>
  <c r="H219" i="16" s="1"/>
  <c r="I179" i="16"/>
  <c r="I219" i="16" s="1"/>
  <c r="E180" i="16"/>
  <c r="E220" i="16" s="1"/>
  <c r="F180" i="16"/>
  <c r="F220" i="16" s="1"/>
  <c r="G180" i="16"/>
  <c r="G220" i="16" s="1"/>
  <c r="H180" i="16"/>
  <c r="H220" i="16" s="1"/>
  <c r="I180" i="16"/>
  <c r="I220" i="16" s="1"/>
  <c r="E181" i="16"/>
  <c r="E221" i="16" s="1"/>
  <c r="F181" i="16"/>
  <c r="G181" i="16"/>
  <c r="G221" i="16" s="1"/>
  <c r="H181" i="16"/>
  <c r="H221" i="16" s="1"/>
  <c r="I181" i="16"/>
  <c r="I221" i="16" s="1"/>
  <c r="E182" i="16"/>
  <c r="E222" i="16" s="1"/>
  <c r="F182" i="16"/>
  <c r="F222" i="16" s="1"/>
  <c r="G182" i="16"/>
  <c r="G222" i="16" s="1"/>
  <c r="H182" i="16"/>
  <c r="H222" i="16" s="1"/>
  <c r="I182" i="16"/>
  <c r="I222" i="16" s="1"/>
  <c r="E183" i="16"/>
  <c r="E223" i="16" s="1"/>
  <c r="F183" i="16"/>
  <c r="F223" i="16" s="1"/>
  <c r="G183" i="16"/>
  <c r="G223" i="16" s="1"/>
  <c r="H183" i="16"/>
  <c r="H223" i="16" s="1"/>
  <c r="I183" i="16"/>
  <c r="I223" i="16" s="1"/>
  <c r="E212" i="16"/>
  <c r="H212" i="16"/>
  <c r="F212" i="16"/>
  <c r="I289" i="16"/>
  <c r="H289" i="16"/>
  <c r="G289" i="16"/>
  <c r="F289" i="16"/>
  <c r="E289" i="16"/>
  <c r="I247" i="16"/>
  <c r="G247" i="16"/>
  <c r="F247" i="16"/>
  <c r="I263" i="16"/>
  <c r="H263" i="16"/>
  <c r="G263" i="16"/>
  <c r="F263" i="16"/>
  <c r="E263" i="16"/>
  <c r="I305" i="16"/>
  <c r="H305" i="16"/>
  <c r="G305" i="16"/>
  <c r="F305" i="16"/>
  <c r="E305" i="16"/>
  <c r="I262" i="16"/>
  <c r="H262" i="16"/>
  <c r="G262" i="16"/>
  <c r="F262" i="16"/>
  <c r="E262" i="16"/>
  <c r="I304" i="16"/>
  <c r="H304" i="16"/>
  <c r="G304" i="16"/>
  <c r="F304" i="16"/>
  <c r="E304" i="16"/>
  <c r="I261" i="16"/>
  <c r="H261" i="16"/>
  <c r="G261" i="16"/>
  <c r="E261" i="16"/>
  <c r="I303" i="16"/>
  <c r="H303" i="16"/>
  <c r="G303" i="16"/>
  <c r="F303" i="16"/>
  <c r="E303" i="16"/>
  <c r="I260" i="16"/>
  <c r="H260" i="16"/>
  <c r="G260" i="16"/>
  <c r="F260" i="16"/>
  <c r="E260" i="16"/>
  <c r="I302" i="16"/>
  <c r="H302" i="16"/>
  <c r="G302" i="16"/>
  <c r="F302" i="16"/>
  <c r="E302" i="16"/>
  <c r="I259" i="16"/>
  <c r="H259" i="16"/>
  <c r="G259" i="16"/>
  <c r="F259" i="16"/>
  <c r="E259" i="16"/>
  <c r="I301" i="16"/>
  <c r="H301" i="16"/>
  <c r="G301" i="16"/>
  <c r="F301" i="16"/>
  <c r="E301" i="16"/>
  <c r="I258" i="16"/>
  <c r="H258" i="16"/>
  <c r="G258" i="16"/>
  <c r="F258" i="16"/>
  <c r="I300" i="16"/>
  <c r="H300" i="16"/>
  <c r="G300" i="16"/>
  <c r="F300" i="16"/>
  <c r="E300" i="16"/>
  <c r="I257" i="16"/>
  <c r="H257" i="16"/>
  <c r="G257" i="16"/>
  <c r="F257" i="16"/>
  <c r="E257" i="16"/>
  <c r="I299" i="16"/>
  <c r="H299" i="16"/>
  <c r="G299" i="16"/>
  <c r="F299" i="16"/>
  <c r="E299" i="16"/>
  <c r="I256" i="16"/>
  <c r="H256" i="16"/>
  <c r="G256" i="16"/>
  <c r="F256" i="16"/>
  <c r="E256" i="16"/>
  <c r="I298" i="16"/>
  <c r="H298" i="16"/>
  <c r="G298" i="16"/>
  <c r="F298" i="16"/>
  <c r="E298" i="16"/>
  <c r="I255" i="16"/>
  <c r="H255" i="16"/>
  <c r="G255" i="16"/>
  <c r="F255" i="16"/>
  <c r="E255" i="16"/>
  <c r="I297" i="16"/>
  <c r="H297" i="16"/>
  <c r="G297" i="16"/>
  <c r="F297" i="16"/>
  <c r="E297" i="16"/>
  <c r="I254" i="16"/>
  <c r="H254" i="16"/>
  <c r="G254" i="16"/>
  <c r="F254" i="16"/>
  <c r="E254" i="16"/>
  <c r="I296" i="16"/>
  <c r="H296" i="16"/>
  <c r="G296" i="16"/>
  <c r="F296" i="16"/>
  <c r="E296" i="16"/>
  <c r="I253" i="16"/>
  <c r="H253" i="16"/>
  <c r="G253" i="16"/>
  <c r="I295" i="16"/>
  <c r="H295" i="16"/>
  <c r="G295" i="16"/>
  <c r="F295" i="16"/>
  <c r="E295" i="16"/>
  <c r="I294" i="16"/>
  <c r="J84" i="15"/>
  <c r="G294" i="16"/>
  <c r="F294" i="16"/>
  <c r="E294" i="16"/>
  <c r="I251" i="16"/>
  <c r="H251" i="16"/>
  <c r="G251" i="16"/>
  <c r="F251" i="16"/>
  <c r="E251" i="16"/>
  <c r="I293" i="16"/>
  <c r="H293" i="16"/>
  <c r="G293" i="16"/>
  <c r="F293" i="16"/>
  <c r="E293" i="16"/>
  <c r="I250" i="16"/>
  <c r="H250" i="16"/>
  <c r="G250" i="16"/>
  <c r="F250" i="16"/>
  <c r="I292" i="16"/>
  <c r="H292" i="16"/>
  <c r="G292" i="16"/>
  <c r="F292" i="16"/>
  <c r="E292" i="16"/>
  <c r="I249" i="16"/>
  <c r="H249" i="16"/>
  <c r="G249" i="16"/>
  <c r="F249" i="16"/>
  <c r="I291" i="16"/>
  <c r="H291" i="16"/>
  <c r="G291" i="16"/>
  <c r="F291" i="16"/>
  <c r="E291" i="16"/>
  <c r="I248" i="16"/>
  <c r="H248" i="16"/>
  <c r="G248" i="16"/>
  <c r="F248" i="16"/>
  <c r="E248" i="16"/>
  <c r="I290" i="16"/>
  <c r="H290" i="16"/>
  <c r="G290" i="16"/>
  <c r="F290" i="16"/>
  <c r="E290" i="16"/>
  <c r="I274" i="16"/>
  <c r="I314" i="16" s="1"/>
  <c r="I334" i="16" s="1"/>
  <c r="E274" i="16"/>
  <c r="E314" i="16" s="1"/>
  <c r="E334" i="16" s="1"/>
  <c r="E252" i="16"/>
  <c r="G274" i="16"/>
  <c r="G314" i="16" s="1"/>
  <c r="G334" i="16" s="1"/>
  <c r="H252" i="16"/>
  <c r="F252" i="16"/>
  <c r="F274" i="16"/>
  <c r="F314" i="16" s="1"/>
  <c r="F334" i="16" s="1"/>
  <c r="I252" i="16"/>
  <c r="G252" i="16"/>
  <c r="F23" i="16"/>
  <c r="F119" i="16" s="1"/>
  <c r="F221" i="16" s="1"/>
  <c r="F261" i="16" s="1"/>
  <c r="F15" i="16"/>
  <c r="F111" i="16" s="1"/>
  <c r="F213" i="16" s="1"/>
  <c r="F253" i="16" s="1"/>
  <c r="H9" i="16"/>
  <c r="H105" i="16" s="1"/>
  <c r="H207" i="16" s="1"/>
  <c r="H247" i="16" s="1"/>
  <c r="E15" i="16"/>
  <c r="E111" i="16" s="1"/>
  <c r="E213" i="16" s="1"/>
  <c r="E20" i="16"/>
  <c r="E116" i="16" s="1"/>
  <c r="E218" i="16" s="1"/>
  <c r="E12" i="16"/>
  <c r="E108" i="16" s="1"/>
  <c r="E210" i="16" s="1"/>
  <c r="E11" i="16"/>
  <c r="E107" i="16" s="1"/>
  <c r="E209" i="16" s="1"/>
  <c r="E9" i="16"/>
  <c r="E105" i="16" s="1"/>
  <c r="E207" i="16" s="1"/>
  <c r="F269" i="16" l="1"/>
  <c r="G269" i="16"/>
  <c r="H269" i="16"/>
  <c r="K79" i="15" s="1"/>
  <c r="I269" i="16"/>
  <c r="E269" i="16"/>
  <c r="E247" i="16"/>
  <c r="E271" i="16"/>
  <c r="F271" i="16"/>
  <c r="G271" i="16"/>
  <c r="H271" i="16"/>
  <c r="K81" i="15" s="1"/>
  <c r="I271" i="16"/>
  <c r="E249" i="16"/>
  <c r="E272" i="16"/>
  <c r="F272" i="16"/>
  <c r="G272" i="16"/>
  <c r="H272" i="16"/>
  <c r="K82" i="15" s="1"/>
  <c r="I272" i="16"/>
  <c r="E250" i="16"/>
  <c r="E280" i="16"/>
  <c r="F280" i="16"/>
  <c r="G280" i="16"/>
  <c r="H280" i="16"/>
  <c r="K90" i="15" s="1"/>
  <c r="I280" i="16"/>
  <c r="E258" i="16"/>
  <c r="E275" i="16"/>
  <c r="F275" i="16"/>
  <c r="G275" i="16"/>
  <c r="H275" i="16"/>
  <c r="K85" i="15" s="1"/>
  <c r="I275" i="16"/>
  <c r="E253" i="16"/>
  <c r="J80" i="15"/>
  <c r="E311" i="16"/>
  <c r="E331" i="16" s="1"/>
  <c r="F311" i="16"/>
  <c r="F331" i="16" s="1"/>
  <c r="G311" i="16"/>
  <c r="G331" i="16" s="1"/>
  <c r="H311" i="16"/>
  <c r="H331" i="16" s="1"/>
  <c r="M81" i="15" s="1"/>
  <c r="J81" i="15"/>
  <c r="I311" i="16"/>
  <c r="I331" i="16" s="1"/>
  <c r="E312" i="16"/>
  <c r="E332" i="16" s="1"/>
  <c r="F312" i="16"/>
  <c r="F332" i="16" s="1"/>
  <c r="G312" i="16"/>
  <c r="G332" i="16" s="1"/>
  <c r="H312" i="16"/>
  <c r="H332" i="16" s="1"/>
  <c r="M82" i="15" s="1"/>
  <c r="J82" i="15"/>
  <c r="I312" i="16"/>
  <c r="I332" i="16" s="1"/>
  <c r="J83" i="15"/>
  <c r="E315" i="16"/>
  <c r="E335" i="16" s="1"/>
  <c r="F315" i="16"/>
  <c r="F335" i="16" s="1"/>
  <c r="G315" i="16"/>
  <c r="G335" i="16" s="1"/>
  <c r="H315" i="16"/>
  <c r="H335" i="16" s="1"/>
  <c r="M85" i="15" s="1"/>
  <c r="J85" i="15"/>
  <c r="I315" i="16"/>
  <c r="I335" i="16" s="1"/>
  <c r="J86" i="15"/>
  <c r="J87" i="15"/>
  <c r="J88" i="15"/>
  <c r="J89" i="15"/>
  <c r="E320" i="16"/>
  <c r="E340" i="16" s="1"/>
  <c r="F320" i="16"/>
  <c r="F340" i="16" s="1"/>
  <c r="G320" i="16"/>
  <c r="G340" i="16" s="1"/>
  <c r="H320" i="16"/>
  <c r="H340" i="16" s="1"/>
  <c r="M90" i="15" s="1"/>
  <c r="J90" i="15"/>
  <c r="I320" i="16"/>
  <c r="I340" i="16" s="1"/>
  <c r="J91" i="15"/>
  <c r="J92" i="15"/>
  <c r="J93" i="15"/>
  <c r="J94" i="15"/>
  <c r="J95" i="15"/>
  <c r="E309" i="16"/>
  <c r="E329" i="16" s="1"/>
  <c r="F309" i="16"/>
  <c r="F329" i="16" s="1"/>
  <c r="G309" i="16"/>
  <c r="G329" i="16" s="1"/>
  <c r="H309" i="16"/>
  <c r="H329" i="16" s="1"/>
  <c r="M79" i="15" s="1"/>
  <c r="J79" i="15"/>
  <c r="I309" i="16"/>
  <c r="I329" i="16" s="1"/>
  <c r="E285" i="16"/>
  <c r="E325" i="16" s="1"/>
  <c r="E345" i="16" s="1"/>
  <c r="F285" i="16"/>
  <c r="F325" i="16" s="1"/>
  <c r="F345" i="16" s="1"/>
  <c r="G285" i="16"/>
  <c r="G325" i="16" s="1"/>
  <c r="G345" i="16" s="1"/>
  <c r="H285" i="16"/>
  <c r="I285" i="16"/>
  <c r="I325" i="16" s="1"/>
  <c r="I345" i="16" s="1"/>
  <c r="E284" i="16"/>
  <c r="E324" i="16" s="1"/>
  <c r="E344" i="16" s="1"/>
  <c r="F284" i="16"/>
  <c r="F324" i="16" s="1"/>
  <c r="F344" i="16" s="1"/>
  <c r="G284" i="16"/>
  <c r="G324" i="16" s="1"/>
  <c r="G344" i="16" s="1"/>
  <c r="H284" i="16"/>
  <c r="I284" i="16"/>
  <c r="I324" i="16" s="1"/>
  <c r="I344" i="16" s="1"/>
  <c r="E283" i="16"/>
  <c r="E323" i="16" s="1"/>
  <c r="E343" i="16" s="1"/>
  <c r="F283" i="16"/>
  <c r="F323" i="16" s="1"/>
  <c r="F343" i="16" s="1"/>
  <c r="G283" i="16"/>
  <c r="G323" i="16" s="1"/>
  <c r="G343" i="16" s="1"/>
  <c r="H283" i="16"/>
  <c r="I283" i="16"/>
  <c r="I323" i="16" s="1"/>
  <c r="I343" i="16" s="1"/>
  <c r="E282" i="16"/>
  <c r="E322" i="16" s="1"/>
  <c r="E342" i="16" s="1"/>
  <c r="F282" i="16"/>
  <c r="F322" i="16" s="1"/>
  <c r="F342" i="16" s="1"/>
  <c r="G282" i="16"/>
  <c r="G322" i="16" s="1"/>
  <c r="G342" i="16" s="1"/>
  <c r="H282" i="16"/>
  <c r="I282" i="16"/>
  <c r="I322" i="16" s="1"/>
  <c r="I342" i="16" s="1"/>
  <c r="E281" i="16"/>
  <c r="E321" i="16" s="1"/>
  <c r="E341" i="16" s="1"/>
  <c r="F281" i="16"/>
  <c r="F321" i="16" s="1"/>
  <c r="F341" i="16" s="1"/>
  <c r="G281" i="16"/>
  <c r="G321" i="16" s="1"/>
  <c r="G341" i="16" s="1"/>
  <c r="H281" i="16"/>
  <c r="I281" i="16"/>
  <c r="I321" i="16" s="1"/>
  <c r="I341" i="16" s="1"/>
  <c r="E279" i="16"/>
  <c r="E319" i="16" s="1"/>
  <c r="E339" i="16" s="1"/>
  <c r="F279" i="16"/>
  <c r="F319" i="16" s="1"/>
  <c r="F339" i="16" s="1"/>
  <c r="G279" i="16"/>
  <c r="G319" i="16" s="1"/>
  <c r="G339" i="16" s="1"/>
  <c r="H279" i="16"/>
  <c r="I279" i="16"/>
  <c r="I319" i="16" s="1"/>
  <c r="I339" i="16" s="1"/>
  <c r="E278" i="16"/>
  <c r="E318" i="16" s="1"/>
  <c r="E338" i="16" s="1"/>
  <c r="F278" i="16"/>
  <c r="F318" i="16" s="1"/>
  <c r="F338" i="16" s="1"/>
  <c r="G278" i="16"/>
  <c r="G318" i="16" s="1"/>
  <c r="G338" i="16" s="1"/>
  <c r="H278" i="16"/>
  <c r="I278" i="16"/>
  <c r="I318" i="16" s="1"/>
  <c r="I338" i="16" s="1"/>
  <c r="E277" i="16"/>
  <c r="E317" i="16" s="1"/>
  <c r="E337" i="16" s="1"/>
  <c r="F277" i="16"/>
  <c r="F317" i="16" s="1"/>
  <c r="F337" i="16" s="1"/>
  <c r="G277" i="16"/>
  <c r="G317" i="16" s="1"/>
  <c r="G337" i="16" s="1"/>
  <c r="H277" i="16"/>
  <c r="I277" i="16"/>
  <c r="I317" i="16" s="1"/>
  <c r="I337" i="16" s="1"/>
  <c r="E276" i="16"/>
  <c r="E316" i="16" s="1"/>
  <c r="E336" i="16" s="1"/>
  <c r="F276" i="16"/>
  <c r="F316" i="16" s="1"/>
  <c r="F336" i="16" s="1"/>
  <c r="G276" i="16"/>
  <c r="G316" i="16" s="1"/>
  <c r="G336" i="16" s="1"/>
  <c r="H276" i="16"/>
  <c r="I276" i="16"/>
  <c r="I316" i="16" s="1"/>
  <c r="I336" i="16" s="1"/>
  <c r="E273" i="16"/>
  <c r="E313" i="16" s="1"/>
  <c r="E333" i="16" s="1"/>
  <c r="F273" i="16"/>
  <c r="F313" i="16" s="1"/>
  <c r="F333" i="16" s="1"/>
  <c r="G273" i="16"/>
  <c r="G313" i="16" s="1"/>
  <c r="G333" i="16" s="1"/>
  <c r="H273" i="16"/>
  <c r="I273" i="16"/>
  <c r="I313" i="16" s="1"/>
  <c r="I333" i="16" s="1"/>
  <c r="E270" i="16"/>
  <c r="E310" i="16" s="1"/>
  <c r="E330" i="16" s="1"/>
  <c r="F270" i="16"/>
  <c r="F310" i="16" s="1"/>
  <c r="F330" i="16" s="1"/>
  <c r="G270" i="16"/>
  <c r="G310" i="16" s="1"/>
  <c r="G330" i="16" s="1"/>
  <c r="H270" i="16"/>
  <c r="I270" i="16"/>
  <c r="I310" i="16" s="1"/>
  <c r="I330" i="16" s="1"/>
  <c r="H314" i="16"/>
  <c r="H334" i="16" s="1"/>
  <c r="M84" i="15" s="1"/>
  <c r="K84" i="15"/>
  <c r="F284" i="6"/>
  <c r="G284" i="6"/>
  <c r="H284" i="6"/>
  <c r="I284" i="6"/>
  <c r="J284" i="6"/>
  <c r="E284" i="6"/>
  <c r="F286" i="6"/>
  <c r="G286" i="6"/>
  <c r="H286" i="6"/>
  <c r="I286" i="6"/>
  <c r="J286" i="6"/>
  <c r="E286" i="6"/>
  <c r="K22" i="10"/>
  <c r="K21" i="10"/>
  <c r="K20" i="10"/>
  <c r="K19" i="10"/>
  <c r="K18" i="10"/>
  <c r="K17" i="10"/>
  <c r="K16" i="10"/>
  <c r="K15" i="10"/>
  <c r="K14" i="10"/>
  <c r="K13" i="10"/>
  <c r="K12" i="10"/>
  <c r="K11" i="10"/>
  <c r="K10" i="10"/>
  <c r="K9" i="10"/>
  <c r="K8" i="10"/>
  <c r="K7" i="10"/>
  <c r="K6" i="10"/>
  <c r="M5" i="10"/>
  <c r="E5" i="10"/>
  <c r="K187" i="8"/>
  <c r="L187" i="8"/>
  <c r="J307" i="6"/>
  <c r="K80" i="15" l="1"/>
  <c r="H310" i="16"/>
  <c r="H330" i="16" s="1"/>
  <c r="M80" i="15" s="1"/>
  <c r="K83" i="15"/>
  <c r="H313" i="16"/>
  <c r="H333" i="16" s="1"/>
  <c r="M83" i="15" s="1"/>
  <c r="K86" i="15"/>
  <c r="H316" i="16"/>
  <c r="H336" i="16" s="1"/>
  <c r="M86" i="15" s="1"/>
  <c r="K87" i="15"/>
  <c r="H317" i="16"/>
  <c r="H337" i="16" s="1"/>
  <c r="M87" i="15" s="1"/>
  <c r="K88" i="15"/>
  <c r="H318" i="16"/>
  <c r="H338" i="16" s="1"/>
  <c r="M88" i="15" s="1"/>
  <c r="K89" i="15"/>
  <c r="H319" i="16"/>
  <c r="H339" i="16" s="1"/>
  <c r="M89" i="15" s="1"/>
  <c r="K91" i="15"/>
  <c r="H321" i="16"/>
  <c r="H341" i="16" s="1"/>
  <c r="M91" i="15" s="1"/>
  <c r="K92" i="15"/>
  <c r="H322" i="16"/>
  <c r="H342" i="16" s="1"/>
  <c r="M92" i="15" s="1"/>
  <c r="K93" i="15"/>
  <c r="H323" i="16"/>
  <c r="H343" i="16" s="1"/>
  <c r="M93" i="15" s="1"/>
  <c r="K94" i="15"/>
  <c r="H324" i="16"/>
  <c r="H344" i="16" s="1"/>
  <c r="M94" i="15" s="1"/>
  <c r="K95" i="15"/>
  <c r="H325" i="16"/>
  <c r="H345" i="16" s="1"/>
  <c r="M95" i="15" s="1"/>
  <c r="M97" i="15"/>
  <c r="M98" i="15"/>
  <c r="E87" i="6"/>
  <c r="F87" i="6"/>
  <c r="G87" i="6"/>
  <c r="H87" i="6"/>
  <c r="I87" i="6"/>
  <c r="J87" i="6"/>
  <c r="K87" i="6"/>
  <c r="L87" i="6"/>
  <c r="F265" i="6"/>
  <c r="E298" i="11" s="1"/>
  <c r="G265" i="6"/>
  <c r="F298" i="11" s="1"/>
  <c r="H265" i="6"/>
  <c r="G298" i="11" s="1"/>
  <c r="I265" i="6"/>
  <c r="H298" i="11" s="1"/>
  <c r="J265" i="6"/>
  <c r="I298" i="11" s="1"/>
  <c r="K265" i="6"/>
  <c r="J298" i="11" s="1"/>
  <c r="L265" i="6"/>
  <c r="F266" i="6"/>
  <c r="E299" i="11" s="1"/>
  <c r="G266" i="6"/>
  <c r="F299" i="11" s="1"/>
  <c r="H266" i="6"/>
  <c r="G299" i="11" s="1"/>
  <c r="I266" i="6"/>
  <c r="H299" i="11" s="1"/>
  <c r="J266" i="6"/>
  <c r="I299" i="11" s="1"/>
  <c r="K266" i="6"/>
  <c r="L266" i="6"/>
  <c r="F267" i="6"/>
  <c r="G267" i="6"/>
  <c r="H267" i="6"/>
  <c r="I267" i="6"/>
  <c r="J267" i="6"/>
  <c r="K267" i="6"/>
  <c r="L267" i="6"/>
  <c r="F268" i="6"/>
  <c r="E300" i="11" s="1"/>
  <c r="G268" i="6"/>
  <c r="F300" i="11" s="1"/>
  <c r="H268" i="6"/>
  <c r="G300" i="11" s="1"/>
  <c r="I268" i="6"/>
  <c r="H300" i="11" s="1"/>
  <c r="J268" i="6"/>
  <c r="I300" i="11" s="1"/>
  <c r="K268" i="6"/>
  <c r="L268" i="6"/>
  <c r="F269" i="6"/>
  <c r="G269" i="6"/>
  <c r="H269" i="6"/>
  <c r="I269" i="6"/>
  <c r="J269" i="6"/>
  <c r="K269" i="6"/>
  <c r="L269" i="6"/>
  <c r="F270" i="6"/>
  <c r="E302" i="11" s="1"/>
  <c r="G270" i="6"/>
  <c r="F302" i="11" s="1"/>
  <c r="H270" i="6"/>
  <c r="G302" i="11" s="1"/>
  <c r="I270" i="6"/>
  <c r="H302" i="11" s="1"/>
  <c r="J270" i="6"/>
  <c r="I302" i="11" s="1"/>
  <c r="K270" i="6"/>
  <c r="J302" i="11" s="1"/>
  <c r="L270" i="6"/>
  <c r="F271" i="6"/>
  <c r="E303" i="11" s="1"/>
  <c r="G271" i="6"/>
  <c r="F303" i="11" s="1"/>
  <c r="H271" i="6"/>
  <c r="G303" i="11" s="1"/>
  <c r="I271" i="6"/>
  <c r="H303" i="11" s="1"/>
  <c r="J271" i="6"/>
  <c r="I303" i="11" s="1"/>
  <c r="K271" i="6"/>
  <c r="L271" i="6"/>
  <c r="F272" i="6"/>
  <c r="E304" i="11" s="1"/>
  <c r="G272" i="6"/>
  <c r="F304" i="11" s="1"/>
  <c r="H272" i="6"/>
  <c r="G304" i="11" s="1"/>
  <c r="I272" i="6"/>
  <c r="H304" i="11" s="1"/>
  <c r="J272" i="6"/>
  <c r="I304" i="11" s="1"/>
  <c r="K272" i="6"/>
  <c r="J304" i="11" s="1"/>
  <c r="L272" i="6"/>
  <c r="F273" i="6"/>
  <c r="E305" i="11" s="1"/>
  <c r="G273" i="6"/>
  <c r="F305" i="11" s="1"/>
  <c r="H273" i="6"/>
  <c r="G305" i="11" s="1"/>
  <c r="I273" i="6"/>
  <c r="H305" i="11" s="1"/>
  <c r="J273" i="6"/>
  <c r="I305" i="11" s="1"/>
  <c r="K273" i="6"/>
  <c r="J305" i="11" s="1"/>
  <c r="L273" i="6"/>
  <c r="F274" i="6"/>
  <c r="E306" i="11" s="1"/>
  <c r="G274" i="6"/>
  <c r="F306" i="11" s="1"/>
  <c r="H274" i="6"/>
  <c r="G306" i="11" s="1"/>
  <c r="I274" i="6"/>
  <c r="H306" i="11" s="1"/>
  <c r="J274" i="6"/>
  <c r="I306" i="11" s="1"/>
  <c r="K274" i="6"/>
  <c r="L274" i="6"/>
  <c r="F275" i="6"/>
  <c r="E307" i="11" s="1"/>
  <c r="G275" i="6"/>
  <c r="F307" i="11" s="1"/>
  <c r="H275" i="6"/>
  <c r="G307" i="11" s="1"/>
  <c r="I275" i="6"/>
  <c r="H307" i="11" s="1"/>
  <c r="J275" i="6"/>
  <c r="I307" i="11" s="1"/>
  <c r="K275" i="6"/>
  <c r="L275" i="6"/>
  <c r="E266" i="6"/>
  <c r="D299" i="11" s="1"/>
  <c r="E267" i="6"/>
  <c r="O267" i="6" s="1"/>
  <c r="E268" i="6"/>
  <c r="D300" i="11" s="1"/>
  <c r="E269" i="6"/>
  <c r="E270" i="6"/>
  <c r="D302" i="11" s="1"/>
  <c r="E271" i="6"/>
  <c r="D303" i="11" s="1"/>
  <c r="E272" i="6"/>
  <c r="E273" i="6"/>
  <c r="E274" i="6"/>
  <c r="D306" i="11" s="1"/>
  <c r="E275" i="6"/>
  <c r="D307" i="11" s="1"/>
  <c r="E265" i="6"/>
  <c r="D298" i="11" s="1"/>
  <c r="E252" i="6"/>
  <c r="F252" i="6"/>
  <c r="G252" i="6"/>
  <c r="H252" i="6"/>
  <c r="I252" i="6"/>
  <c r="J252" i="6"/>
  <c r="K252" i="6"/>
  <c r="L252" i="6"/>
  <c r="N269" i="6" l="1"/>
  <c r="O269" i="6" s="1"/>
  <c r="G301" i="11"/>
  <c r="N275" i="6"/>
  <c r="O275" i="6" s="1"/>
  <c r="N267" i="6"/>
  <c r="N87" i="6"/>
  <c r="O87" i="6" s="1"/>
  <c r="N273" i="6"/>
  <c r="O273" i="6" s="1"/>
  <c r="N274" i="6"/>
  <c r="O274" i="6" s="1"/>
  <c r="N266" i="6"/>
  <c r="O266" i="6" s="1"/>
  <c r="N268" i="6"/>
  <c r="O268" i="6" s="1"/>
  <c r="I301" i="11"/>
  <c r="H301" i="11"/>
  <c r="N271" i="6"/>
  <c r="O271" i="6" s="1"/>
  <c r="F301" i="11"/>
  <c r="E301" i="11"/>
  <c r="J306" i="11"/>
  <c r="D305" i="11"/>
  <c r="N270" i="6"/>
  <c r="O270" i="6" s="1"/>
  <c r="J307" i="11"/>
  <c r="J303" i="11"/>
  <c r="J299" i="11"/>
  <c r="D304" i="11"/>
  <c r="D301" i="11"/>
  <c r="J300" i="11"/>
  <c r="N272" i="6"/>
  <c r="O272" i="6" s="1"/>
  <c r="J301" i="11"/>
  <c r="K164" i="8" l="1"/>
  <c r="L164" i="8"/>
  <c r="K148" i="8"/>
  <c r="L148" i="8"/>
  <c r="B142" i="11" l="1"/>
  <c r="J5" i="12" l="1"/>
  <c r="E5" i="12"/>
  <c r="B98" i="11"/>
  <c r="C78" i="11"/>
  <c r="E329" i="6"/>
  <c r="E373" i="6" s="1"/>
  <c r="F329" i="6"/>
  <c r="G329" i="6"/>
  <c r="E330" i="6"/>
  <c r="F330" i="6"/>
  <c r="G330" i="6"/>
  <c r="E332" i="6"/>
  <c r="E376" i="6" s="1"/>
  <c r="F332" i="6"/>
  <c r="G332" i="6"/>
  <c r="E334" i="6"/>
  <c r="F334" i="6"/>
  <c r="G334" i="6"/>
  <c r="G378" i="6" s="1"/>
  <c r="E335" i="6"/>
  <c r="F335" i="6"/>
  <c r="G335" i="6"/>
  <c r="E336" i="6"/>
  <c r="E380" i="6" s="1"/>
  <c r="F336" i="6"/>
  <c r="G336" i="6"/>
  <c r="E337" i="6"/>
  <c r="F337" i="6"/>
  <c r="G337" i="6"/>
  <c r="E338" i="6"/>
  <c r="F338" i="6"/>
  <c r="G338" i="6"/>
  <c r="E339" i="6"/>
  <c r="F339" i="6"/>
  <c r="G339" i="6"/>
  <c r="E340" i="6"/>
  <c r="E384" i="6" s="1"/>
  <c r="F340" i="6"/>
  <c r="G340" i="6"/>
  <c r="E341" i="6"/>
  <c r="E385" i="6" s="1"/>
  <c r="F341" i="6"/>
  <c r="G341" i="6"/>
  <c r="E342" i="6"/>
  <c r="F342" i="6"/>
  <c r="G342" i="6"/>
  <c r="G386" i="6" s="1"/>
  <c r="E343" i="6"/>
  <c r="F343" i="6"/>
  <c r="F387" i="6" s="1"/>
  <c r="G343" i="6"/>
  <c r="E344" i="6"/>
  <c r="E388" i="6" s="1"/>
  <c r="F344" i="6"/>
  <c r="G344" i="6"/>
  <c r="G388" i="6" s="1"/>
  <c r="E345" i="6"/>
  <c r="F345" i="6"/>
  <c r="G345" i="6"/>
  <c r="H329" i="6"/>
  <c r="H373" i="6" s="1"/>
  <c r="I329" i="6"/>
  <c r="K329" i="6"/>
  <c r="L329" i="6"/>
  <c r="I330" i="6"/>
  <c r="I374" i="6" s="1"/>
  <c r="J330" i="6"/>
  <c r="K330" i="6"/>
  <c r="L330" i="6"/>
  <c r="J375" i="6"/>
  <c r="I332" i="6"/>
  <c r="I376" i="6" s="1"/>
  <c r="J332" i="6"/>
  <c r="J376" i="6" s="1"/>
  <c r="K332" i="6"/>
  <c r="K376" i="6" s="1"/>
  <c r="M59" i="10" s="1"/>
  <c r="L332" i="6"/>
  <c r="L376" i="6" s="1"/>
  <c r="L377" i="6"/>
  <c r="I334" i="6"/>
  <c r="J334" i="6"/>
  <c r="K334" i="6"/>
  <c r="L334" i="6"/>
  <c r="I335" i="6"/>
  <c r="J335" i="6"/>
  <c r="K335" i="6"/>
  <c r="L335" i="6"/>
  <c r="I336" i="6"/>
  <c r="K336" i="6"/>
  <c r="L336" i="6"/>
  <c r="I337" i="6"/>
  <c r="J337" i="6"/>
  <c r="K337" i="6"/>
  <c r="L337" i="6"/>
  <c r="I338" i="6"/>
  <c r="I382" i="6" s="1"/>
  <c r="J338" i="6"/>
  <c r="K338" i="6"/>
  <c r="L338" i="6"/>
  <c r="I339" i="6"/>
  <c r="J339" i="6"/>
  <c r="J383" i="6" s="1"/>
  <c r="K339" i="6"/>
  <c r="L339" i="6"/>
  <c r="I340" i="6"/>
  <c r="I384" i="6" s="1"/>
  <c r="J340" i="6"/>
  <c r="J384" i="6" s="1"/>
  <c r="K340" i="6"/>
  <c r="K384" i="6" s="1"/>
  <c r="M67" i="10" s="1"/>
  <c r="L340" i="6"/>
  <c r="L384" i="6" s="1"/>
  <c r="I341" i="6"/>
  <c r="J341" i="6"/>
  <c r="K341" i="6"/>
  <c r="L341" i="6"/>
  <c r="L385" i="6" s="1"/>
  <c r="I342" i="6"/>
  <c r="J342" i="6"/>
  <c r="K342" i="6"/>
  <c r="L342" i="6"/>
  <c r="I343" i="6"/>
  <c r="J343" i="6"/>
  <c r="K343" i="6"/>
  <c r="L343" i="6"/>
  <c r="I344" i="6"/>
  <c r="I388" i="6" s="1"/>
  <c r="J344" i="6"/>
  <c r="K344" i="6"/>
  <c r="L344" i="6"/>
  <c r="I345" i="6"/>
  <c r="J345" i="6"/>
  <c r="K345" i="6"/>
  <c r="L345" i="6"/>
  <c r="H330" i="6"/>
  <c r="H332" i="6"/>
  <c r="H334" i="6"/>
  <c r="H335" i="6"/>
  <c r="H336" i="6"/>
  <c r="H337" i="6"/>
  <c r="H381" i="6" s="1"/>
  <c r="H338" i="6"/>
  <c r="H339" i="6"/>
  <c r="H340" i="6"/>
  <c r="H341" i="6"/>
  <c r="H342" i="6"/>
  <c r="H343" i="6"/>
  <c r="H344" i="6"/>
  <c r="H345" i="6"/>
  <c r="H389" i="6" s="1"/>
  <c r="J382" i="6" l="1"/>
  <c r="J374" i="6"/>
  <c r="F386" i="6"/>
  <c r="E386" i="6"/>
  <c r="H388" i="6"/>
  <c r="H380" i="6"/>
  <c r="K383" i="6"/>
  <c r="M66" i="10" s="1"/>
  <c r="K375" i="6"/>
  <c r="M58" i="10" s="1"/>
  <c r="I389" i="6"/>
  <c r="I381" i="6"/>
  <c r="I373" i="6"/>
  <c r="J22" i="12"/>
  <c r="J14" i="12"/>
  <c r="J21" i="12"/>
  <c r="J13" i="12"/>
  <c r="J20" i="12"/>
  <c r="J11" i="12"/>
  <c r="J16" i="12"/>
  <c r="J23" i="12"/>
  <c r="J19" i="12"/>
  <c r="J9" i="12"/>
  <c r="J25" i="12"/>
  <c r="J15" i="12"/>
  <c r="J18" i="12"/>
  <c r="J8" i="12"/>
  <c r="J26" i="12"/>
  <c r="J17" i="12"/>
  <c r="J7" i="12"/>
  <c r="H383" i="6"/>
  <c r="H375" i="6"/>
  <c r="F389" i="6"/>
  <c r="F381" i="6"/>
  <c r="F373" i="6"/>
  <c r="I380" i="6"/>
  <c r="L383" i="6"/>
  <c r="L375" i="6"/>
  <c r="H387" i="6"/>
  <c r="H379" i="6"/>
  <c r="J389" i="6"/>
  <c r="J381" i="6"/>
  <c r="J373" i="6"/>
  <c r="F385" i="6"/>
  <c r="K382" i="6"/>
  <c r="M65" i="10" s="1"/>
  <c r="K374" i="6"/>
  <c r="M57" i="10" s="1"/>
  <c r="E387" i="6"/>
  <c r="K386" i="6"/>
  <c r="M69" i="10" s="1"/>
  <c r="E377" i="6"/>
  <c r="G380" i="6"/>
  <c r="F379" i="6"/>
  <c r="L387" i="6"/>
  <c r="L379" i="6"/>
  <c r="J385" i="6"/>
  <c r="J377" i="6"/>
  <c r="K378" i="6"/>
  <c r="M61" i="10" s="1"/>
  <c r="G387" i="6"/>
  <c r="F378" i="6"/>
  <c r="G379" i="6"/>
  <c r="E383" i="6"/>
  <c r="E375" i="6"/>
  <c r="G382" i="6"/>
  <c r="F377" i="6"/>
  <c r="G374" i="6"/>
  <c r="E379" i="6"/>
  <c r="L386" i="6"/>
  <c r="H382" i="6"/>
  <c r="H374" i="6"/>
  <c r="K385" i="6"/>
  <c r="M68" i="10" s="1"/>
  <c r="K377" i="6"/>
  <c r="M60" i="10" s="1"/>
  <c r="F388" i="6"/>
  <c r="F380" i="6"/>
  <c r="I383" i="6"/>
  <c r="I375" i="6"/>
  <c r="L378" i="6"/>
  <c r="G389" i="6"/>
  <c r="G381" i="6"/>
  <c r="G373" i="6"/>
  <c r="K347" i="6"/>
  <c r="N76" i="11" s="1"/>
  <c r="H385" i="6"/>
  <c r="H377" i="6"/>
  <c r="G384" i="6"/>
  <c r="G376" i="6"/>
  <c r="J387" i="6"/>
  <c r="J379" i="6"/>
  <c r="K380" i="6"/>
  <c r="M63" i="10" s="1"/>
  <c r="K388" i="6"/>
  <c r="M71" i="10" s="1"/>
  <c r="I386" i="6"/>
  <c r="I378" i="6"/>
  <c r="E389" i="6"/>
  <c r="E381" i="6"/>
  <c r="L389" i="6"/>
  <c r="L381" i="6"/>
  <c r="L373" i="6"/>
  <c r="F383" i="6"/>
  <c r="K389" i="6"/>
  <c r="G385" i="6"/>
  <c r="F384" i="6"/>
  <c r="L382" i="6"/>
  <c r="K381" i="6"/>
  <c r="G377" i="6"/>
  <c r="F376" i="6"/>
  <c r="L369" i="6"/>
  <c r="K369" i="6"/>
  <c r="J64" i="11"/>
  <c r="D64" i="11" s="1"/>
  <c r="F64" i="11" s="1"/>
  <c r="J369" i="6"/>
  <c r="J58" i="11"/>
  <c r="D58" i="11" s="1"/>
  <c r="E58" i="11" s="1"/>
  <c r="I369" i="6"/>
  <c r="J56" i="11"/>
  <c r="D56" i="11" s="1"/>
  <c r="F56" i="11" s="1"/>
  <c r="H369" i="6"/>
  <c r="E378" i="6"/>
  <c r="F375" i="6"/>
  <c r="F369" i="6"/>
  <c r="J59" i="11"/>
  <c r="D59" i="11" s="1"/>
  <c r="E59" i="11" s="1"/>
  <c r="E382" i="6"/>
  <c r="E374" i="6"/>
  <c r="L388" i="6"/>
  <c r="K387" i="6"/>
  <c r="J386" i="6"/>
  <c r="H384" i="6"/>
  <c r="G383" i="6"/>
  <c r="F382" i="6"/>
  <c r="L380" i="6"/>
  <c r="K379" i="6"/>
  <c r="J378" i="6"/>
  <c r="H376" i="6"/>
  <c r="G369" i="6"/>
  <c r="F374" i="6"/>
  <c r="J55" i="11"/>
  <c r="D55" i="11" s="1"/>
  <c r="I55" i="11" s="1"/>
  <c r="J66" i="11"/>
  <c r="D66" i="11" s="1"/>
  <c r="E66" i="11" s="1"/>
  <c r="J388" i="6"/>
  <c r="J380" i="6"/>
  <c r="I385" i="6"/>
  <c r="I377" i="6"/>
  <c r="I379" i="6"/>
  <c r="I387" i="6"/>
  <c r="H386" i="6"/>
  <c r="H378" i="6"/>
  <c r="E347" i="6"/>
  <c r="E369" i="6"/>
  <c r="G375" i="6"/>
  <c r="L347" i="6"/>
  <c r="J65" i="11"/>
  <c r="D65" i="11" s="1"/>
  <c r="G65" i="11" s="1"/>
  <c r="J57" i="11"/>
  <c r="D57" i="11" s="1"/>
  <c r="H57" i="11" s="1"/>
  <c r="K373" i="6"/>
  <c r="E102" i="11" s="1"/>
  <c r="J347" i="6"/>
  <c r="M75" i="11" s="1"/>
  <c r="J71" i="11"/>
  <c r="D71" i="11" s="1"/>
  <c r="F71" i="11" s="1"/>
  <c r="J63" i="11"/>
  <c r="D63" i="11" s="1"/>
  <c r="E63" i="11" s="1"/>
  <c r="I347" i="6"/>
  <c r="J70" i="11"/>
  <c r="D70" i="11" s="1"/>
  <c r="E70" i="11" s="1"/>
  <c r="J62" i="11"/>
  <c r="D62" i="11" s="1"/>
  <c r="F62" i="11" s="1"/>
  <c r="H347" i="6"/>
  <c r="J69" i="11"/>
  <c r="D69" i="11" s="1"/>
  <c r="F69" i="11" s="1"/>
  <c r="J61" i="11"/>
  <c r="D61" i="11" s="1"/>
  <c r="E61" i="11" s="1"/>
  <c r="G347" i="6"/>
  <c r="J68" i="11"/>
  <c r="D68" i="11" s="1"/>
  <c r="E68" i="11" s="1"/>
  <c r="J60" i="11"/>
  <c r="D60" i="11" s="1"/>
  <c r="E60" i="11" s="1"/>
  <c r="L374" i="6"/>
  <c r="F347" i="6"/>
  <c r="J67" i="11"/>
  <c r="D67" i="11" s="1"/>
  <c r="E67" i="11" s="1"/>
  <c r="J29" i="12" l="1"/>
  <c r="J28" i="12"/>
  <c r="E56" i="11"/>
  <c r="E71" i="11"/>
  <c r="F391" i="6"/>
  <c r="G56" i="11"/>
  <c r="H56" i="11"/>
  <c r="I56" i="11"/>
  <c r="I61" i="11"/>
  <c r="H61" i="11"/>
  <c r="I63" i="11"/>
  <c r="K391" i="6"/>
  <c r="E118" i="11" s="1"/>
  <c r="H63" i="11"/>
  <c r="I71" i="11"/>
  <c r="L391" i="6"/>
  <c r="G71" i="11"/>
  <c r="G61" i="11"/>
  <c r="H71" i="11"/>
  <c r="I59" i="11"/>
  <c r="G69" i="11"/>
  <c r="H59" i="11"/>
  <c r="F59" i="11"/>
  <c r="I67" i="11"/>
  <c r="G59" i="11"/>
  <c r="F67" i="11"/>
  <c r="I66" i="11"/>
  <c r="H68" i="11"/>
  <c r="F68" i="11"/>
  <c r="H70" i="11"/>
  <c r="F60" i="11"/>
  <c r="G70" i="11"/>
  <c r="G391" i="6"/>
  <c r="E64" i="11"/>
  <c r="H55" i="11"/>
  <c r="G55" i="11"/>
  <c r="H64" i="11"/>
  <c r="E55" i="11"/>
  <c r="E69" i="11"/>
  <c r="I64" i="11"/>
  <c r="G64" i="11"/>
  <c r="F55" i="11"/>
  <c r="G68" i="11"/>
  <c r="I68" i="11"/>
  <c r="F63" i="11"/>
  <c r="E57" i="11"/>
  <c r="G66" i="11"/>
  <c r="G63" i="11"/>
  <c r="G58" i="11"/>
  <c r="F66" i="11"/>
  <c r="F57" i="11"/>
  <c r="H66" i="11"/>
  <c r="F61" i="11"/>
  <c r="I57" i="11"/>
  <c r="F58" i="11"/>
  <c r="G57" i="11"/>
  <c r="I58" i="11"/>
  <c r="E62" i="11"/>
  <c r="H58" i="11"/>
  <c r="M70" i="10"/>
  <c r="M62" i="10"/>
  <c r="M64" i="10"/>
  <c r="M72" i="10"/>
  <c r="E65" i="11"/>
  <c r="K73" i="11"/>
  <c r="H391" i="6"/>
  <c r="E104" i="11"/>
  <c r="D104" i="11" s="1"/>
  <c r="E112" i="11"/>
  <c r="D112" i="11" s="1"/>
  <c r="E105" i="11"/>
  <c r="D105" i="11" s="1"/>
  <c r="E113" i="11"/>
  <c r="D113" i="11" s="1"/>
  <c r="E106" i="11"/>
  <c r="D106" i="11" s="1"/>
  <c r="E114" i="11"/>
  <c r="D114" i="11" s="1"/>
  <c r="E107" i="11"/>
  <c r="D107" i="11" s="1"/>
  <c r="E115" i="11"/>
  <c r="D115" i="11" s="1"/>
  <c r="E108" i="11"/>
  <c r="D108" i="11" s="1"/>
  <c r="E116" i="11"/>
  <c r="D116" i="11" s="1"/>
  <c r="E109" i="11"/>
  <c r="D109" i="11" s="1"/>
  <c r="E117" i="11"/>
  <c r="D117" i="11" s="1"/>
  <c r="D102" i="11"/>
  <c r="E110" i="11"/>
  <c r="D110" i="11" s="1"/>
  <c r="E101" i="11"/>
  <c r="D101" i="11" s="1"/>
  <c r="M56" i="10"/>
  <c r="E103" i="11"/>
  <c r="D103" i="11" s="1"/>
  <c r="E111" i="11"/>
  <c r="D111" i="11" s="1"/>
  <c r="H60" i="11"/>
  <c r="I70" i="11"/>
  <c r="H67" i="11"/>
  <c r="G67" i="11"/>
  <c r="G60" i="11"/>
  <c r="I62" i="11"/>
  <c r="F70" i="11"/>
  <c r="I65" i="11"/>
  <c r="I69" i="11"/>
  <c r="L74" i="11"/>
  <c r="I391" i="6"/>
  <c r="H62" i="11"/>
  <c r="H65" i="11"/>
  <c r="H69" i="11"/>
  <c r="I60" i="11"/>
  <c r="G62" i="11"/>
  <c r="F65" i="11"/>
  <c r="E391" i="6"/>
  <c r="J391" i="6"/>
  <c r="K17" i="12" l="1"/>
  <c r="K20" i="12"/>
  <c r="K23" i="12"/>
  <c r="K14" i="12"/>
  <c r="K7" i="12"/>
  <c r="K18" i="12"/>
  <c r="K9" i="12"/>
  <c r="K11" i="12"/>
  <c r="K21" i="12"/>
  <c r="K8" i="12"/>
  <c r="K22" i="12"/>
  <c r="K25" i="12"/>
  <c r="K16" i="12"/>
  <c r="K19" i="12"/>
  <c r="K13" i="12"/>
  <c r="K26" i="12"/>
  <c r="K15" i="12"/>
  <c r="B52" i="11"/>
  <c r="I95" i="15" l="1"/>
  <c r="I94" i="15"/>
  <c r="I93" i="15"/>
  <c r="I92" i="15"/>
  <c r="I91" i="15"/>
  <c r="I90" i="15"/>
  <c r="I89" i="15"/>
  <c r="I88" i="15"/>
  <c r="I87" i="15"/>
  <c r="I86" i="15"/>
  <c r="I85" i="15"/>
  <c r="I84" i="15"/>
  <c r="I83" i="15"/>
  <c r="I82" i="15"/>
  <c r="I81" i="15"/>
  <c r="I80" i="15"/>
  <c r="I79" i="15"/>
  <c r="E78" i="15"/>
  <c r="L78" i="15"/>
  <c r="K72" i="10"/>
  <c r="K71" i="10"/>
  <c r="K70" i="10"/>
  <c r="K69" i="10"/>
  <c r="K68" i="10"/>
  <c r="K67" i="10"/>
  <c r="K66" i="10"/>
  <c r="K65" i="10"/>
  <c r="K64" i="10"/>
  <c r="K63" i="10"/>
  <c r="K62" i="10"/>
  <c r="K61" i="10"/>
  <c r="K60" i="10"/>
  <c r="K59" i="10"/>
  <c r="K58" i="10"/>
  <c r="K57" i="10"/>
  <c r="K56" i="10"/>
  <c r="E55" i="10"/>
  <c r="M75" i="10" l="1"/>
  <c r="M74" i="10"/>
  <c r="K308" i="6" l="1"/>
  <c r="E30" i="10"/>
  <c r="M30" i="10"/>
  <c r="K47" i="10"/>
  <c r="K46" i="10"/>
  <c r="K45" i="10"/>
  <c r="K44" i="10"/>
  <c r="K43" i="10"/>
  <c r="K42" i="10"/>
  <c r="K41" i="10"/>
  <c r="K40" i="10"/>
  <c r="K39" i="10"/>
  <c r="K38" i="10"/>
  <c r="K37" i="10"/>
  <c r="K36" i="10"/>
  <c r="K35" i="10"/>
  <c r="K34" i="10"/>
  <c r="K33" i="10"/>
  <c r="K32" i="10"/>
  <c r="K31" i="10"/>
  <c r="M34" i="10" l="1"/>
  <c r="K184" i="10" l="1"/>
  <c r="K183" i="10"/>
  <c r="K182" i="10"/>
  <c r="K181" i="10"/>
  <c r="K180" i="10"/>
  <c r="K179" i="10"/>
  <c r="K178" i="10"/>
  <c r="K177" i="10"/>
  <c r="K176" i="10"/>
  <c r="K175" i="10"/>
  <c r="I174" i="10"/>
  <c r="H174" i="10"/>
  <c r="G174" i="10"/>
  <c r="F174" i="10"/>
  <c r="E174" i="10"/>
  <c r="K166" i="10"/>
  <c r="K165" i="10"/>
  <c r="K164" i="10"/>
  <c r="K163" i="10"/>
  <c r="K162" i="10"/>
  <c r="K161" i="10"/>
  <c r="K160" i="10"/>
  <c r="K159" i="10"/>
  <c r="K158" i="10"/>
  <c r="K157" i="10"/>
  <c r="K156" i="10"/>
  <c r="I155" i="10"/>
  <c r="H155" i="10"/>
  <c r="G155" i="10"/>
  <c r="F155" i="10"/>
  <c r="E155" i="10"/>
  <c r="K147" i="10"/>
  <c r="K146" i="10"/>
  <c r="K145" i="10"/>
  <c r="K144" i="10"/>
  <c r="K143" i="10"/>
  <c r="K142" i="10"/>
  <c r="K141" i="10"/>
  <c r="K140" i="10"/>
  <c r="K139" i="10"/>
  <c r="K138" i="10"/>
  <c r="K137" i="10"/>
  <c r="K136" i="10"/>
  <c r="K135" i="10"/>
  <c r="K134" i="10"/>
  <c r="K133" i="10"/>
  <c r="K132" i="10"/>
  <c r="K131" i="10"/>
  <c r="I130" i="10"/>
  <c r="H130" i="10"/>
  <c r="G130" i="10"/>
  <c r="F130" i="10"/>
  <c r="E130" i="10"/>
  <c r="K122" i="10"/>
  <c r="K121" i="10"/>
  <c r="K120" i="10"/>
  <c r="K119" i="10"/>
  <c r="K118" i="10"/>
  <c r="K117" i="10"/>
  <c r="K116" i="10"/>
  <c r="K115" i="10"/>
  <c r="K114" i="10"/>
  <c r="K113" i="10"/>
  <c r="K112" i="10"/>
  <c r="K111" i="10"/>
  <c r="K110" i="10"/>
  <c r="K109" i="10"/>
  <c r="K108" i="10"/>
  <c r="K107" i="10"/>
  <c r="K106" i="10"/>
  <c r="I105" i="10"/>
  <c r="H105" i="10"/>
  <c r="G105" i="10"/>
  <c r="F105" i="10"/>
  <c r="E105" i="10"/>
  <c r="K97" i="10"/>
  <c r="K96" i="10"/>
  <c r="K95" i="10"/>
  <c r="K94" i="10"/>
  <c r="K93" i="10"/>
  <c r="K92" i="10"/>
  <c r="K91" i="10"/>
  <c r="K90" i="10"/>
  <c r="K89" i="10"/>
  <c r="K88" i="10"/>
  <c r="K87" i="10"/>
  <c r="K86" i="10"/>
  <c r="K85" i="10"/>
  <c r="K84" i="10"/>
  <c r="K83" i="10"/>
  <c r="K82" i="10"/>
  <c r="K81" i="10"/>
  <c r="I80" i="10"/>
  <c r="H80" i="10"/>
  <c r="G80" i="10"/>
  <c r="F80" i="10"/>
  <c r="E80" i="10"/>
  <c r="B315" i="11"/>
  <c r="B274" i="11"/>
  <c r="B230" i="11"/>
  <c r="B186" i="11"/>
  <c r="B27" i="11"/>
  <c r="C6" i="11"/>
  <c r="B4" i="11"/>
  <c r="L6" i="15"/>
  <c r="E6" i="15"/>
  <c r="I137" i="14"/>
  <c r="H137" i="14"/>
  <c r="G137" i="14"/>
  <c r="F137" i="14"/>
  <c r="E137" i="14"/>
  <c r="I136" i="14"/>
  <c r="H136" i="14"/>
  <c r="G136" i="14"/>
  <c r="F136" i="14"/>
  <c r="E136" i="14"/>
  <c r="I135" i="14"/>
  <c r="H135" i="14"/>
  <c r="G135" i="14"/>
  <c r="F135" i="14"/>
  <c r="E135" i="14"/>
  <c r="I134" i="14"/>
  <c r="H134" i="14"/>
  <c r="G134" i="14"/>
  <c r="F134" i="14"/>
  <c r="E134" i="14"/>
  <c r="I133" i="14"/>
  <c r="H133" i="14"/>
  <c r="G133" i="14"/>
  <c r="F133" i="14"/>
  <c r="E133" i="14"/>
  <c r="I132" i="14"/>
  <c r="H132" i="14"/>
  <c r="G132" i="14"/>
  <c r="F132" i="14"/>
  <c r="E132" i="14"/>
  <c r="I131" i="14"/>
  <c r="H131" i="14"/>
  <c r="G131" i="14"/>
  <c r="F131" i="14"/>
  <c r="E131" i="14"/>
  <c r="I130" i="14"/>
  <c r="H130" i="14"/>
  <c r="G130" i="14"/>
  <c r="F130" i="14"/>
  <c r="E130" i="14"/>
  <c r="I129" i="14"/>
  <c r="H129" i="14"/>
  <c r="G129" i="14"/>
  <c r="F129" i="14"/>
  <c r="E129" i="14"/>
  <c r="I128" i="14"/>
  <c r="H128" i="14"/>
  <c r="G128" i="14"/>
  <c r="F128" i="14"/>
  <c r="E128" i="14"/>
  <c r="I127" i="14"/>
  <c r="H127" i="14"/>
  <c r="G127" i="14"/>
  <c r="F127" i="14"/>
  <c r="E127" i="14"/>
  <c r="I126" i="14"/>
  <c r="H126" i="14"/>
  <c r="G126" i="14"/>
  <c r="F126" i="14"/>
  <c r="E126" i="14"/>
  <c r="I125" i="14"/>
  <c r="H125" i="14"/>
  <c r="G125" i="14"/>
  <c r="F125" i="14"/>
  <c r="E125" i="14"/>
  <c r="I124" i="14"/>
  <c r="H124" i="14"/>
  <c r="G124" i="14"/>
  <c r="F124" i="14"/>
  <c r="E124" i="14"/>
  <c r="I123" i="14"/>
  <c r="H123" i="14"/>
  <c r="G123" i="14"/>
  <c r="F123" i="14"/>
  <c r="E123" i="14"/>
  <c r="I122" i="14"/>
  <c r="H122" i="14"/>
  <c r="G122" i="14"/>
  <c r="F122" i="14"/>
  <c r="E122" i="14"/>
  <c r="I121" i="14"/>
  <c r="G121" i="14"/>
  <c r="F121" i="14"/>
  <c r="E121" i="14"/>
  <c r="I115" i="14"/>
  <c r="I159" i="14" s="1"/>
  <c r="I181" i="14" s="1"/>
  <c r="H115" i="14"/>
  <c r="H159" i="14" s="1"/>
  <c r="H181" i="14" s="1"/>
  <c r="G115" i="14"/>
  <c r="F115" i="14"/>
  <c r="E115" i="14"/>
  <c r="I114" i="14"/>
  <c r="I158" i="14" s="1"/>
  <c r="I180" i="14" s="1"/>
  <c r="H114" i="14"/>
  <c r="G114" i="14"/>
  <c r="F114" i="14"/>
  <c r="F158" i="14" s="1"/>
  <c r="F180" i="14" s="1"/>
  <c r="E114" i="14"/>
  <c r="I113" i="14"/>
  <c r="H113" i="14"/>
  <c r="G113" i="14"/>
  <c r="F113" i="14"/>
  <c r="E113" i="14"/>
  <c r="I112" i="14"/>
  <c r="I156" i="14" s="1"/>
  <c r="I178" i="14" s="1"/>
  <c r="H112" i="14"/>
  <c r="G112" i="14"/>
  <c r="G156" i="14" s="1"/>
  <c r="G178" i="14" s="1"/>
  <c r="F112" i="14"/>
  <c r="E112" i="14"/>
  <c r="I111" i="14"/>
  <c r="I155" i="14" s="1"/>
  <c r="I177" i="14" s="1"/>
  <c r="H111" i="14"/>
  <c r="G111" i="14"/>
  <c r="F111" i="14"/>
  <c r="E111" i="14"/>
  <c r="I110" i="14"/>
  <c r="I154" i="14" s="1"/>
  <c r="I176" i="14" s="1"/>
  <c r="H110" i="14"/>
  <c r="G110" i="14"/>
  <c r="F110" i="14"/>
  <c r="E110" i="14"/>
  <c r="I109" i="14"/>
  <c r="I153" i="14" s="1"/>
  <c r="I175" i="14" s="1"/>
  <c r="H109" i="14"/>
  <c r="G109" i="14"/>
  <c r="F109" i="14"/>
  <c r="F153" i="14" s="1"/>
  <c r="F175" i="14" s="1"/>
  <c r="E109" i="14"/>
  <c r="I108" i="14"/>
  <c r="H108" i="14"/>
  <c r="G108" i="14"/>
  <c r="F108" i="14"/>
  <c r="E108" i="14"/>
  <c r="I107" i="14"/>
  <c r="I151" i="14" s="1"/>
  <c r="I173" i="14" s="1"/>
  <c r="H107" i="14"/>
  <c r="H151" i="14" s="1"/>
  <c r="H173" i="14" s="1"/>
  <c r="G107" i="14"/>
  <c r="F107" i="14"/>
  <c r="E107" i="14"/>
  <c r="I106" i="14"/>
  <c r="I150" i="14" s="1"/>
  <c r="I172" i="14" s="1"/>
  <c r="H106" i="14"/>
  <c r="G106" i="14"/>
  <c r="F106" i="14"/>
  <c r="E106" i="14"/>
  <c r="I105" i="14"/>
  <c r="H105" i="14"/>
  <c r="G105" i="14"/>
  <c r="F105" i="14"/>
  <c r="E105" i="14"/>
  <c r="I104" i="14"/>
  <c r="I148" i="14" s="1"/>
  <c r="I170" i="14" s="1"/>
  <c r="H104" i="14"/>
  <c r="G104" i="14"/>
  <c r="G148" i="14" s="1"/>
  <c r="G170" i="14" s="1"/>
  <c r="F104" i="14"/>
  <c r="E104" i="14"/>
  <c r="I103" i="14"/>
  <c r="H103" i="14"/>
  <c r="G103" i="14"/>
  <c r="F103" i="14"/>
  <c r="E103" i="14"/>
  <c r="I102" i="14"/>
  <c r="I146" i="14" s="1"/>
  <c r="I168" i="14" s="1"/>
  <c r="H102" i="14"/>
  <c r="G102" i="14"/>
  <c r="F102" i="14"/>
  <c r="E102" i="14"/>
  <c r="I101" i="14"/>
  <c r="I145" i="14" s="1"/>
  <c r="I167" i="14" s="1"/>
  <c r="H101" i="14"/>
  <c r="G101" i="14"/>
  <c r="F101" i="14"/>
  <c r="F145" i="14" s="1"/>
  <c r="F167" i="14" s="1"/>
  <c r="E101" i="14"/>
  <c r="I100" i="14"/>
  <c r="H100" i="14"/>
  <c r="G100" i="14"/>
  <c r="F100" i="14"/>
  <c r="E100" i="14"/>
  <c r="I99" i="14"/>
  <c r="H99" i="14"/>
  <c r="G99" i="14"/>
  <c r="F99" i="14"/>
  <c r="E99" i="14"/>
  <c r="I47" i="14"/>
  <c r="H47" i="14"/>
  <c r="G47" i="14"/>
  <c r="F47" i="14"/>
  <c r="E47" i="14"/>
  <c r="I46" i="14"/>
  <c r="H46" i="14"/>
  <c r="G46" i="14"/>
  <c r="F46" i="14"/>
  <c r="E46" i="14"/>
  <c r="I45" i="14"/>
  <c r="H45" i="14"/>
  <c r="G45" i="14"/>
  <c r="F45" i="14"/>
  <c r="E45" i="14"/>
  <c r="I44" i="14"/>
  <c r="H44" i="14"/>
  <c r="G44" i="14"/>
  <c r="F44" i="14"/>
  <c r="E44" i="14"/>
  <c r="I43" i="14"/>
  <c r="H43" i="14"/>
  <c r="G43" i="14"/>
  <c r="F43" i="14"/>
  <c r="E43" i="14"/>
  <c r="I42" i="14"/>
  <c r="H42" i="14"/>
  <c r="G42" i="14"/>
  <c r="F42" i="14"/>
  <c r="E42" i="14"/>
  <c r="I41" i="14"/>
  <c r="H41" i="14"/>
  <c r="G41" i="14"/>
  <c r="F41" i="14"/>
  <c r="E41" i="14"/>
  <c r="I40" i="14"/>
  <c r="H40" i="14"/>
  <c r="G40" i="14"/>
  <c r="F40" i="14"/>
  <c r="E40" i="14"/>
  <c r="I39" i="14"/>
  <c r="H39" i="14"/>
  <c r="G39" i="14"/>
  <c r="F39" i="14"/>
  <c r="E39" i="14"/>
  <c r="I38" i="14"/>
  <c r="H38" i="14"/>
  <c r="G38" i="14"/>
  <c r="F38" i="14"/>
  <c r="E38" i="14"/>
  <c r="I37" i="14"/>
  <c r="H37" i="14"/>
  <c r="G37" i="14"/>
  <c r="F37" i="14"/>
  <c r="E37" i="14"/>
  <c r="I36" i="14"/>
  <c r="H36" i="14"/>
  <c r="G36" i="14"/>
  <c r="F36" i="14"/>
  <c r="E36" i="14"/>
  <c r="I35" i="14"/>
  <c r="H35" i="14"/>
  <c r="G35" i="14"/>
  <c r="F35" i="14"/>
  <c r="E35" i="14"/>
  <c r="I34" i="14"/>
  <c r="H34" i="14"/>
  <c r="G34" i="14"/>
  <c r="F34" i="14"/>
  <c r="E34" i="14"/>
  <c r="I33" i="14"/>
  <c r="H33" i="14"/>
  <c r="G33" i="14"/>
  <c r="F33" i="14"/>
  <c r="E33" i="14"/>
  <c r="I32" i="14"/>
  <c r="H32" i="14"/>
  <c r="G32" i="14"/>
  <c r="F32" i="14"/>
  <c r="E32" i="14"/>
  <c r="I31" i="14"/>
  <c r="H31" i="14"/>
  <c r="G31" i="14"/>
  <c r="F31" i="14"/>
  <c r="E31" i="14"/>
  <c r="I25" i="14"/>
  <c r="H25" i="14"/>
  <c r="G25" i="14"/>
  <c r="G69" i="14" s="1"/>
  <c r="G91" i="14" s="1"/>
  <c r="F25" i="14"/>
  <c r="F69" i="14" s="1"/>
  <c r="F91" i="14" s="1"/>
  <c r="E25" i="14"/>
  <c r="E69" i="14" s="1"/>
  <c r="E91" i="14" s="1"/>
  <c r="I24" i="14"/>
  <c r="H24" i="14"/>
  <c r="H68" i="14" s="1"/>
  <c r="H90" i="14" s="1"/>
  <c r="G24" i="14"/>
  <c r="G68" i="14" s="1"/>
  <c r="G90" i="14" s="1"/>
  <c r="F24" i="14"/>
  <c r="E24" i="14"/>
  <c r="I23" i="14"/>
  <c r="I67" i="14" s="1"/>
  <c r="I89" i="14" s="1"/>
  <c r="H23" i="14"/>
  <c r="H67" i="14" s="1"/>
  <c r="H89" i="14" s="1"/>
  <c r="G23" i="14"/>
  <c r="F23" i="14"/>
  <c r="E23" i="14"/>
  <c r="I22" i="14"/>
  <c r="I66" i="14" s="1"/>
  <c r="I88" i="14" s="1"/>
  <c r="H22" i="14"/>
  <c r="G22" i="14"/>
  <c r="F22" i="14"/>
  <c r="F66" i="14" s="1"/>
  <c r="F88" i="14" s="1"/>
  <c r="E22" i="14"/>
  <c r="I21" i="14"/>
  <c r="H21" i="14"/>
  <c r="G21" i="14"/>
  <c r="G65" i="14" s="1"/>
  <c r="G87" i="14" s="1"/>
  <c r="F21" i="14"/>
  <c r="F65" i="14" s="1"/>
  <c r="F87" i="14" s="1"/>
  <c r="E21" i="14"/>
  <c r="I20" i="14"/>
  <c r="H20" i="14"/>
  <c r="H64" i="14" s="1"/>
  <c r="H86" i="14" s="1"/>
  <c r="G20" i="14"/>
  <c r="G64" i="14" s="1"/>
  <c r="G86" i="14" s="1"/>
  <c r="F20" i="14"/>
  <c r="F64" i="14" s="1"/>
  <c r="F86" i="14" s="1"/>
  <c r="E20" i="14"/>
  <c r="I19" i="14"/>
  <c r="I63" i="14" s="1"/>
  <c r="I85" i="14" s="1"/>
  <c r="H19" i="14"/>
  <c r="H63" i="14" s="1"/>
  <c r="H85" i="14" s="1"/>
  <c r="G19" i="14"/>
  <c r="F19" i="14"/>
  <c r="E19" i="14"/>
  <c r="I18" i="14"/>
  <c r="I62" i="14" s="1"/>
  <c r="I84" i="14" s="1"/>
  <c r="H18" i="14"/>
  <c r="H62" i="14" s="1"/>
  <c r="H84" i="14" s="1"/>
  <c r="G18" i="14"/>
  <c r="F18" i="14"/>
  <c r="F62" i="14" s="1"/>
  <c r="F84" i="14" s="1"/>
  <c r="E18" i="14"/>
  <c r="I17" i="14"/>
  <c r="H17" i="14"/>
  <c r="G17" i="14"/>
  <c r="G61" i="14" s="1"/>
  <c r="G83" i="14" s="1"/>
  <c r="F17" i="14"/>
  <c r="F61" i="14" s="1"/>
  <c r="F83" i="14" s="1"/>
  <c r="E17" i="14"/>
  <c r="E61" i="14" s="1"/>
  <c r="E83" i="14" s="1"/>
  <c r="I16" i="14"/>
  <c r="H16" i="14"/>
  <c r="H60" i="14" s="1"/>
  <c r="H82" i="14" s="1"/>
  <c r="G16" i="14"/>
  <c r="G60" i="14" s="1"/>
  <c r="G82" i="14" s="1"/>
  <c r="F16" i="14"/>
  <c r="E16" i="14"/>
  <c r="I15" i="14"/>
  <c r="I59" i="14" s="1"/>
  <c r="I81" i="14" s="1"/>
  <c r="H15" i="14"/>
  <c r="H59" i="14" s="1"/>
  <c r="H81" i="14" s="1"/>
  <c r="G15" i="14"/>
  <c r="G59" i="14" s="1"/>
  <c r="G81" i="14" s="1"/>
  <c r="F15" i="14"/>
  <c r="E15" i="14"/>
  <c r="I14" i="14"/>
  <c r="I58" i="14" s="1"/>
  <c r="I80" i="14" s="1"/>
  <c r="H14" i="14"/>
  <c r="G14" i="14"/>
  <c r="F14" i="14"/>
  <c r="F58" i="14" s="1"/>
  <c r="F80" i="14" s="1"/>
  <c r="E14" i="14"/>
  <c r="I13" i="14"/>
  <c r="H13" i="14"/>
  <c r="G13" i="14"/>
  <c r="G57" i="14" s="1"/>
  <c r="G79" i="14" s="1"/>
  <c r="F13" i="14"/>
  <c r="F57" i="14" s="1"/>
  <c r="F79" i="14" s="1"/>
  <c r="E13" i="14"/>
  <c r="I12" i="14"/>
  <c r="H12" i="14"/>
  <c r="H56" i="14" s="1"/>
  <c r="H78" i="14" s="1"/>
  <c r="G12" i="14"/>
  <c r="G56" i="14" s="1"/>
  <c r="G78" i="14" s="1"/>
  <c r="F12" i="14"/>
  <c r="E12" i="14"/>
  <c r="I11" i="14"/>
  <c r="I55" i="14" s="1"/>
  <c r="I77" i="14" s="1"/>
  <c r="H11" i="14"/>
  <c r="G11" i="14"/>
  <c r="F11" i="14"/>
  <c r="E11" i="14"/>
  <c r="I10" i="14"/>
  <c r="I54" i="14" s="1"/>
  <c r="I76" i="14" s="1"/>
  <c r="H10" i="14"/>
  <c r="G10" i="14"/>
  <c r="F10" i="14"/>
  <c r="F54" i="14" s="1"/>
  <c r="F76" i="14" s="1"/>
  <c r="E10" i="14"/>
  <c r="I9" i="14"/>
  <c r="H9" i="14"/>
  <c r="G9" i="14"/>
  <c r="G53" i="14" s="1"/>
  <c r="G75" i="14" s="1"/>
  <c r="F9" i="14"/>
  <c r="E9" i="14"/>
  <c r="D103" i="7"/>
  <c r="D102" i="7"/>
  <c r="D101" i="7"/>
  <c r="D100" i="7"/>
  <c r="Y100" i="7" s="1"/>
  <c r="I181" i="10" s="1"/>
  <c r="D99" i="7"/>
  <c r="D98" i="7"/>
  <c r="D97" i="7"/>
  <c r="D96" i="7"/>
  <c r="Y96" i="7" s="1"/>
  <c r="I177" i="10" s="1"/>
  <c r="D95" i="7"/>
  <c r="D94" i="7"/>
  <c r="D93" i="7"/>
  <c r="D89" i="7"/>
  <c r="D88" i="7"/>
  <c r="D87" i="7"/>
  <c r="D86" i="7"/>
  <c r="W86" i="7" s="1"/>
  <c r="G163" i="10" s="1"/>
  <c r="D85" i="7"/>
  <c r="D84" i="7"/>
  <c r="D83" i="7"/>
  <c r="D82" i="7"/>
  <c r="D81" i="7"/>
  <c r="D80" i="7"/>
  <c r="D79" i="7"/>
  <c r="D75" i="7"/>
  <c r="W75" i="7" s="1"/>
  <c r="D74" i="7"/>
  <c r="D72" i="7"/>
  <c r="W72" i="7" s="1"/>
  <c r="G147" i="10" s="1"/>
  <c r="D71" i="7"/>
  <c r="D70" i="7"/>
  <c r="D69" i="7"/>
  <c r="D68" i="7"/>
  <c r="D67" i="7"/>
  <c r="D66" i="7"/>
  <c r="D65" i="7"/>
  <c r="D64" i="7"/>
  <c r="D63" i="7"/>
  <c r="D62" i="7"/>
  <c r="D60" i="7"/>
  <c r="D59" i="7"/>
  <c r="D58" i="7"/>
  <c r="D57" i="7"/>
  <c r="D56" i="7"/>
  <c r="D52" i="7"/>
  <c r="Q52" i="7" s="1"/>
  <c r="S52" i="7" s="1"/>
  <c r="D51" i="7"/>
  <c r="D49" i="7"/>
  <c r="D48" i="7"/>
  <c r="D47" i="7"/>
  <c r="D46" i="7"/>
  <c r="D45" i="7"/>
  <c r="D44" i="7"/>
  <c r="D43" i="7"/>
  <c r="D42" i="7"/>
  <c r="D41" i="7"/>
  <c r="D40" i="7"/>
  <c r="D39" i="7"/>
  <c r="D37" i="7"/>
  <c r="D36" i="7"/>
  <c r="D35" i="7"/>
  <c r="D34" i="7"/>
  <c r="D33" i="7"/>
  <c r="D29" i="7"/>
  <c r="D28" i="7"/>
  <c r="D26" i="7"/>
  <c r="Y26" i="7" s="1"/>
  <c r="I97" i="10" s="1"/>
  <c r="D25" i="7"/>
  <c r="O25" i="7" s="1"/>
  <c r="D24" i="7"/>
  <c r="D23" i="7"/>
  <c r="D22" i="7"/>
  <c r="D21" i="7"/>
  <c r="D20" i="7"/>
  <c r="O20" i="7" s="1"/>
  <c r="D19" i="7"/>
  <c r="D18" i="7"/>
  <c r="D17" i="7"/>
  <c r="D16" i="7"/>
  <c r="D14" i="7"/>
  <c r="D13" i="7"/>
  <c r="D12" i="7"/>
  <c r="D11" i="7"/>
  <c r="D10" i="7"/>
  <c r="X4" i="7"/>
  <c r="X57" i="7" s="1"/>
  <c r="H132" i="10" s="1"/>
  <c r="V4" i="7"/>
  <c r="T4" i="7"/>
  <c r="R4" i="7"/>
  <c r="P4" i="7"/>
  <c r="P12" i="7" s="1"/>
  <c r="N4" i="7"/>
  <c r="N63" i="7" s="1"/>
  <c r="Z121" i="12"/>
  <c r="Z141" i="12" s="1"/>
  <c r="U121" i="12"/>
  <c r="P121" i="12"/>
  <c r="K121" i="12"/>
  <c r="F121" i="12"/>
  <c r="F92" i="12"/>
  <c r="F63" i="12"/>
  <c r="F72" i="12" s="1"/>
  <c r="F34" i="12"/>
  <c r="L321" i="6"/>
  <c r="K321" i="6"/>
  <c r="J321" i="6"/>
  <c r="I321" i="6"/>
  <c r="H321" i="6"/>
  <c r="G321" i="6"/>
  <c r="F321" i="6"/>
  <c r="E321" i="6"/>
  <c r="L320" i="6"/>
  <c r="K320" i="6"/>
  <c r="J320" i="6"/>
  <c r="I320" i="6"/>
  <c r="H320" i="6"/>
  <c r="G320" i="6"/>
  <c r="F320" i="6"/>
  <c r="E320" i="6"/>
  <c r="L319" i="6"/>
  <c r="K319" i="6"/>
  <c r="J319" i="6"/>
  <c r="I319" i="6"/>
  <c r="H319" i="6"/>
  <c r="G319" i="6"/>
  <c r="F319" i="6"/>
  <c r="E319" i="6"/>
  <c r="L318" i="6"/>
  <c r="K318" i="6"/>
  <c r="J318" i="6"/>
  <c r="I318" i="6"/>
  <c r="H318" i="6"/>
  <c r="G318" i="6"/>
  <c r="F318" i="6"/>
  <c r="E318" i="6"/>
  <c r="L317" i="6"/>
  <c r="K317" i="6"/>
  <c r="J317" i="6"/>
  <c r="I317" i="6"/>
  <c r="H317" i="6"/>
  <c r="G317" i="6"/>
  <c r="F317" i="6"/>
  <c r="E317" i="6"/>
  <c r="L316" i="6"/>
  <c r="K316" i="6"/>
  <c r="J316" i="6"/>
  <c r="I316" i="6"/>
  <c r="H316" i="6"/>
  <c r="G316" i="6"/>
  <c r="F316" i="6"/>
  <c r="E316" i="6"/>
  <c r="L315" i="6"/>
  <c r="K315" i="6"/>
  <c r="J315" i="6"/>
  <c r="I315" i="6"/>
  <c r="H315" i="6"/>
  <c r="G315" i="6"/>
  <c r="F315" i="6"/>
  <c r="E315" i="6"/>
  <c r="L314" i="6"/>
  <c r="K314" i="6"/>
  <c r="J314" i="6"/>
  <c r="I314" i="6"/>
  <c r="H314" i="6"/>
  <c r="G314" i="6"/>
  <c r="F314" i="6"/>
  <c r="E314" i="6"/>
  <c r="L313" i="6"/>
  <c r="K313" i="6"/>
  <c r="J313" i="6"/>
  <c r="I313" i="6"/>
  <c r="H313" i="6"/>
  <c r="G313" i="6"/>
  <c r="F313" i="6"/>
  <c r="E313" i="6"/>
  <c r="L312" i="6"/>
  <c r="K312" i="6"/>
  <c r="J312" i="6"/>
  <c r="I312" i="6"/>
  <c r="H312" i="6"/>
  <c r="G312" i="6"/>
  <c r="F312" i="6"/>
  <c r="E312" i="6"/>
  <c r="L311" i="6"/>
  <c r="K311" i="6"/>
  <c r="J311" i="6"/>
  <c r="I311" i="6"/>
  <c r="H311" i="6"/>
  <c r="G311" i="6"/>
  <c r="F311" i="6"/>
  <c r="E311" i="6"/>
  <c r="L310" i="6"/>
  <c r="K310" i="6"/>
  <c r="J310" i="6"/>
  <c r="I310" i="6"/>
  <c r="H310" i="6"/>
  <c r="G310" i="6"/>
  <c r="F310" i="6"/>
  <c r="E310" i="6"/>
  <c r="L309" i="6"/>
  <c r="K309" i="6"/>
  <c r="J309" i="6"/>
  <c r="I309" i="6"/>
  <c r="H309" i="6"/>
  <c r="G309" i="6"/>
  <c r="F309" i="6"/>
  <c r="E309" i="6"/>
  <c r="L308" i="6"/>
  <c r="J308" i="6"/>
  <c r="I308" i="6"/>
  <c r="H308" i="6"/>
  <c r="G308" i="6"/>
  <c r="F308" i="6"/>
  <c r="E308" i="6"/>
  <c r="L307" i="6"/>
  <c r="K307" i="6"/>
  <c r="I307" i="6"/>
  <c r="H307" i="6"/>
  <c r="G307" i="6"/>
  <c r="F307" i="6"/>
  <c r="E307" i="6"/>
  <c r="L306" i="6"/>
  <c r="K306" i="6"/>
  <c r="J306" i="6"/>
  <c r="I306" i="6"/>
  <c r="H306" i="6"/>
  <c r="G306" i="6"/>
  <c r="F306" i="6"/>
  <c r="E306" i="6"/>
  <c r="L305" i="6"/>
  <c r="K305" i="6"/>
  <c r="J305" i="6"/>
  <c r="I305" i="6"/>
  <c r="H305" i="6"/>
  <c r="G305" i="6"/>
  <c r="F305" i="6"/>
  <c r="E305" i="6"/>
  <c r="L299" i="6"/>
  <c r="K299" i="6"/>
  <c r="M22" i="10" s="1"/>
  <c r="J299" i="6"/>
  <c r="I299" i="6"/>
  <c r="H299" i="6"/>
  <c r="G299" i="6"/>
  <c r="F299" i="6"/>
  <c r="E299" i="6"/>
  <c r="L298" i="6"/>
  <c r="K298" i="6"/>
  <c r="M21" i="10" s="1"/>
  <c r="J298" i="6"/>
  <c r="I298" i="6"/>
  <c r="H298" i="6"/>
  <c r="G298" i="6"/>
  <c r="F298" i="6"/>
  <c r="E298" i="6"/>
  <c r="L297" i="6"/>
  <c r="K297" i="6"/>
  <c r="M20" i="10" s="1"/>
  <c r="J297" i="6"/>
  <c r="I297" i="6"/>
  <c r="H297" i="6"/>
  <c r="G297" i="6"/>
  <c r="F297" i="6"/>
  <c r="E297" i="6"/>
  <c r="L296" i="6"/>
  <c r="K296" i="6"/>
  <c r="M19" i="10" s="1"/>
  <c r="J296" i="6"/>
  <c r="I296" i="6"/>
  <c r="H296" i="6"/>
  <c r="G296" i="6"/>
  <c r="F296" i="6"/>
  <c r="E296" i="6"/>
  <c r="L295" i="6"/>
  <c r="K295" i="6"/>
  <c r="M18" i="10" s="1"/>
  <c r="J295" i="6"/>
  <c r="I295" i="6"/>
  <c r="H295" i="6"/>
  <c r="G295" i="6"/>
  <c r="F295" i="6"/>
  <c r="E295" i="6"/>
  <c r="L294" i="6"/>
  <c r="K294" i="6"/>
  <c r="M17" i="10" s="1"/>
  <c r="J294" i="6"/>
  <c r="I294" i="6"/>
  <c r="H294" i="6"/>
  <c r="G294" i="6"/>
  <c r="F294" i="6"/>
  <c r="E294" i="6"/>
  <c r="L293" i="6"/>
  <c r="K293" i="6"/>
  <c r="M16" i="10" s="1"/>
  <c r="J293" i="6"/>
  <c r="I293" i="6"/>
  <c r="H293" i="6"/>
  <c r="G293" i="6"/>
  <c r="F293" i="6"/>
  <c r="E293" i="6"/>
  <c r="L292" i="6"/>
  <c r="K292" i="6"/>
  <c r="M15" i="10" s="1"/>
  <c r="J292" i="6"/>
  <c r="I292" i="6"/>
  <c r="H292" i="6"/>
  <c r="G292" i="6"/>
  <c r="F292" i="6"/>
  <c r="E292" i="6"/>
  <c r="L291" i="6"/>
  <c r="K291" i="6"/>
  <c r="M14" i="10" s="1"/>
  <c r="J291" i="6"/>
  <c r="I291" i="6"/>
  <c r="H291" i="6"/>
  <c r="G291" i="6"/>
  <c r="F291" i="6"/>
  <c r="E291" i="6"/>
  <c r="L290" i="6"/>
  <c r="K290" i="6"/>
  <c r="M13" i="10" s="1"/>
  <c r="J290" i="6"/>
  <c r="I290" i="6"/>
  <c r="H290" i="6"/>
  <c r="G290" i="6"/>
  <c r="F290" i="6"/>
  <c r="E290" i="6"/>
  <c r="L289" i="6"/>
  <c r="K289" i="6"/>
  <c r="M12" i="10" s="1"/>
  <c r="J289" i="6"/>
  <c r="I289" i="6"/>
  <c r="H289" i="6"/>
  <c r="G289" i="6"/>
  <c r="F289" i="6"/>
  <c r="E289" i="6"/>
  <c r="L288" i="6"/>
  <c r="K288" i="6"/>
  <c r="J288" i="6"/>
  <c r="I288" i="6"/>
  <c r="H288" i="6"/>
  <c r="G288" i="6"/>
  <c r="F288" i="6"/>
  <c r="E288" i="6"/>
  <c r="L287" i="6"/>
  <c r="K287" i="6"/>
  <c r="M11" i="10" s="1"/>
  <c r="J287" i="6"/>
  <c r="I287" i="6"/>
  <c r="H287" i="6"/>
  <c r="G287" i="6"/>
  <c r="F287" i="6"/>
  <c r="E287" i="6"/>
  <c r="L286" i="6"/>
  <c r="K286" i="6"/>
  <c r="M10" i="10" s="1"/>
  <c r="L285" i="6"/>
  <c r="K285" i="6"/>
  <c r="M9" i="10" s="1"/>
  <c r="J285" i="6"/>
  <c r="I285" i="6"/>
  <c r="H285" i="6"/>
  <c r="G285" i="6"/>
  <c r="F285" i="6"/>
  <c r="E285" i="6"/>
  <c r="L284" i="6"/>
  <c r="K284" i="6"/>
  <c r="M8" i="10" s="1"/>
  <c r="L283" i="6"/>
  <c r="K283" i="6"/>
  <c r="M7" i="10" s="1"/>
  <c r="J283" i="6"/>
  <c r="I283" i="6"/>
  <c r="H283" i="6"/>
  <c r="G283" i="6"/>
  <c r="F283" i="6"/>
  <c r="E283" i="6"/>
  <c r="L282" i="6"/>
  <c r="K282" i="6"/>
  <c r="M6" i="10" s="1"/>
  <c r="J282" i="6"/>
  <c r="I282" i="6"/>
  <c r="H282" i="6"/>
  <c r="G282" i="6"/>
  <c r="F282" i="6"/>
  <c r="E282" i="6"/>
  <c r="L260" i="6"/>
  <c r="K260" i="6"/>
  <c r="J260" i="6"/>
  <c r="I260" i="6"/>
  <c r="H260" i="6"/>
  <c r="G260" i="6"/>
  <c r="F260" i="6"/>
  <c r="E260" i="6"/>
  <c r="L259" i="6"/>
  <c r="K259" i="6"/>
  <c r="J259" i="6"/>
  <c r="I259" i="6"/>
  <c r="H259" i="6"/>
  <c r="G259" i="6"/>
  <c r="F259" i="6"/>
  <c r="E259" i="6"/>
  <c r="L258" i="6"/>
  <c r="K258" i="6"/>
  <c r="J258" i="6"/>
  <c r="I258" i="6"/>
  <c r="H258" i="6"/>
  <c r="G258" i="6"/>
  <c r="F258" i="6"/>
  <c r="E258" i="6"/>
  <c r="L257" i="6"/>
  <c r="K257" i="6"/>
  <c r="J257" i="6"/>
  <c r="I257" i="6"/>
  <c r="H257" i="6"/>
  <c r="G257" i="6"/>
  <c r="F257" i="6"/>
  <c r="E257" i="6"/>
  <c r="L256" i="6"/>
  <c r="K256" i="6"/>
  <c r="J256" i="6"/>
  <c r="I256" i="6"/>
  <c r="H256" i="6"/>
  <c r="G256" i="6"/>
  <c r="F256" i="6"/>
  <c r="E256" i="6"/>
  <c r="L255" i="6"/>
  <c r="K255" i="6"/>
  <c r="J255" i="6"/>
  <c r="I255" i="6"/>
  <c r="H255" i="6"/>
  <c r="G255" i="6"/>
  <c r="F255" i="6"/>
  <c r="E255" i="6"/>
  <c r="L254" i="6"/>
  <c r="K254" i="6"/>
  <c r="J254" i="6"/>
  <c r="I254" i="6"/>
  <c r="H254" i="6"/>
  <c r="G254" i="6"/>
  <c r="F254" i="6"/>
  <c r="E254" i="6"/>
  <c r="L253" i="6"/>
  <c r="K253" i="6"/>
  <c r="J253" i="6"/>
  <c r="I253" i="6"/>
  <c r="H253" i="6"/>
  <c r="G253" i="6"/>
  <c r="F253" i="6"/>
  <c r="E253" i="6"/>
  <c r="L251" i="6"/>
  <c r="K251" i="6"/>
  <c r="J251" i="6"/>
  <c r="I251" i="6"/>
  <c r="H251" i="6"/>
  <c r="G251" i="6"/>
  <c r="F251" i="6"/>
  <c r="E251" i="6"/>
  <c r="L250" i="6"/>
  <c r="K250" i="6"/>
  <c r="Z123" i="12" s="1"/>
  <c r="J250" i="6"/>
  <c r="I250" i="6"/>
  <c r="H250" i="6"/>
  <c r="G250" i="6"/>
  <c r="F250" i="6"/>
  <c r="E250" i="6"/>
  <c r="L224" i="6"/>
  <c r="K224" i="6"/>
  <c r="J224" i="6"/>
  <c r="I224" i="6"/>
  <c r="H224" i="6"/>
  <c r="G224" i="6"/>
  <c r="F224" i="6"/>
  <c r="E224" i="6"/>
  <c r="L223" i="6"/>
  <c r="K223" i="6"/>
  <c r="J223" i="6"/>
  <c r="I223" i="6"/>
  <c r="H223" i="6"/>
  <c r="G223" i="6"/>
  <c r="F223" i="6"/>
  <c r="E223" i="6"/>
  <c r="L222" i="6"/>
  <c r="K222" i="6"/>
  <c r="J222" i="6"/>
  <c r="I222" i="6"/>
  <c r="H222" i="6"/>
  <c r="G222" i="6"/>
  <c r="F222" i="6"/>
  <c r="E222" i="6"/>
  <c r="L221" i="6"/>
  <c r="K221" i="6"/>
  <c r="J221" i="6"/>
  <c r="I221" i="6"/>
  <c r="H221" i="6"/>
  <c r="G221" i="6"/>
  <c r="F221" i="6"/>
  <c r="E221" i="6"/>
  <c r="L220" i="6"/>
  <c r="K220" i="6"/>
  <c r="J220" i="6"/>
  <c r="I220" i="6"/>
  <c r="H220" i="6"/>
  <c r="G220" i="6"/>
  <c r="F220" i="6"/>
  <c r="E220" i="6"/>
  <c r="L219" i="6"/>
  <c r="K219" i="6"/>
  <c r="J219" i="6"/>
  <c r="I219" i="6"/>
  <c r="H219" i="6"/>
  <c r="G219" i="6"/>
  <c r="F219" i="6"/>
  <c r="E219" i="6"/>
  <c r="L218" i="6"/>
  <c r="K218" i="6"/>
  <c r="J218" i="6"/>
  <c r="I218" i="6"/>
  <c r="H218" i="6"/>
  <c r="G218" i="6"/>
  <c r="F218" i="6"/>
  <c r="E218" i="6"/>
  <c r="L217" i="6"/>
  <c r="K217" i="6"/>
  <c r="J217" i="6"/>
  <c r="I217" i="6"/>
  <c r="H217" i="6"/>
  <c r="G217" i="6"/>
  <c r="F217" i="6"/>
  <c r="E217" i="6"/>
  <c r="L216" i="6"/>
  <c r="K216" i="6"/>
  <c r="J216" i="6"/>
  <c r="I216" i="6"/>
  <c r="H216" i="6"/>
  <c r="G216" i="6"/>
  <c r="F216" i="6"/>
  <c r="E216" i="6"/>
  <c r="L215" i="6"/>
  <c r="K215" i="6"/>
  <c r="J215" i="6"/>
  <c r="I215" i="6"/>
  <c r="H215" i="6"/>
  <c r="G215" i="6"/>
  <c r="F215" i="6"/>
  <c r="E215" i="6"/>
  <c r="L214" i="6"/>
  <c r="K214" i="6"/>
  <c r="J214" i="6"/>
  <c r="I214" i="6"/>
  <c r="H214" i="6"/>
  <c r="G214" i="6"/>
  <c r="F214" i="6"/>
  <c r="F226" i="6" s="1"/>
  <c r="E214" i="6"/>
  <c r="E226" i="6" s="1"/>
  <c r="L208" i="6"/>
  <c r="L241" i="6" s="1"/>
  <c r="K208" i="6"/>
  <c r="H267" i="11" s="1"/>
  <c r="J208" i="6"/>
  <c r="G267" i="11" s="1"/>
  <c r="I208" i="6"/>
  <c r="F267" i="11" s="1"/>
  <c r="H208" i="6"/>
  <c r="E267" i="11" s="1"/>
  <c r="G208" i="6"/>
  <c r="D267" i="11" s="1"/>
  <c r="F208" i="6"/>
  <c r="E208" i="6"/>
  <c r="L207" i="6"/>
  <c r="L240" i="6" s="1"/>
  <c r="K207" i="6"/>
  <c r="H266" i="11" s="1"/>
  <c r="J207" i="6"/>
  <c r="G266" i="11" s="1"/>
  <c r="I207" i="6"/>
  <c r="F266" i="11" s="1"/>
  <c r="H207" i="6"/>
  <c r="E266" i="11" s="1"/>
  <c r="G207" i="6"/>
  <c r="F207" i="6"/>
  <c r="E207" i="6"/>
  <c r="E240" i="6" s="1"/>
  <c r="L206" i="6"/>
  <c r="L239" i="6" s="1"/>
  <c r="K206" i="6"/>
  <c r="H265" i="11" s="1"/>
  <c r="J206" i="6"/>
  <c r="G265" i="11" s="1"/>
  <c r="I206" i="6"/>
  <c r="H206" i="6"/>
  <c r="E265" i="11" s="1"/>
  <c r="G206" i="6"/>
  <c r="F206" i="6"/>
  <c r="F239" i="6" s="1"/>
  <c r="E206" i="6"/>
  <c r="L205" i="6"/>
  <c r="L238" i="6" s="1"/>
  <c r="K205" i="6"/>
  <c r="H264" i="11" s="1"/>
  <c r="J205" i="6"/>
  <c r="G264" i="11" s="1"/>
  <c r="I205" i="6"/>
  <c r="F264" i="11" s="1"/>
  <c r="H205" i="6"/>
  <c r="G205" i="6"/>
  <c r="F205" i="6"/>
  <c r="E205" i="6"/>
  <c r="E238" i="6" s="1"/>
  <c r="L204" i="6"/>
  <c r="L237" i="6" s="1"/>
  <c r="K204" i="6"/>
  <c r="H263" i="11" s="1"/>
  <c r="J204" i="6"/>
  <c r="I204" i="6"/>
  <c r="F263" i="11" s="1"/>
  <c r="H204" i="6"/>
  <c r="E263" i="11" s="1"/>
  <c r="G204" i="6"/>
  <c r="D263" i="11" s="1"/>
  <c r="F204" i="6"/>
  <c r="F237" i="6" s="1"/>
  <c r="E204" i="6"/>
  <c r="L203" i="6"/>
  <c r="L236" i="6" s="1"/>
  <c r="K203" i="6"/>
  <c r="H262" i="11" s="1"/>
  <c r="J203" i="6"/>
  <c r="G262" i="11" s="1"/>
  <c r="I203" i="6"/>
  <c r="F262" i="11" s="1"/>
  <c r="H203" i="6"/>
  <c r="E262" i="11" s="1"/>
  <c r="G203" i="6"/>
  <c r="F203" i="6"/>
  <c r="F236" i="6" s="1"/>
  <c r="E203" i="6"/>
  <c r="E236" i="6" s="1"/>
  <c r="L202" i="6"/>
  <c r="L235" i="6" s="1"/>
  <c r="K202" i="6"/>
  <c r="J202" i="6"/>
  <c r="I202" i="6"/>
  <c r="H202" i="6"/>
  <c r="G202" i="6"/>
  <c r="G235" i="6" s="1"/>
  <c r="F202" i="6"/>
  <c r="F235" i="6" s="1"/>
  <c r="E202" i="6"/>
  <c r="E235" i="6" s="1"/>
  <c r="L201" i="6"/>
  <c r="L234" i="6" s="1"/>
  <c r="K201" i="6"/>
  <c r="H260" i="11" s="1"/>
  <c r="J201" i="6"/>
  <c r="G260" i="11" s="1"/>
  <c r="I201" i="6"/>
  <c r="F260" i="11" s="1"/>
  <c r="H201" i="6"/>
  <c r="G201" i="6"/>
  <c r="G234" i="6" s="1"/>
  <c r="F201" i="6"/>
  <c r="F234" i="6" s="1"/>
  <c r="E201" i="6"/>
  <c r="E234" i="6" s="1"/>
  <c r="L200" i="6"/>
  <c r="K200" i="6"/>
  <c r="J200" i="6"/>
  <c r="I200" i="6"/>
  <c r="I233" i="6" s="1"/>
  <c r="H200" i="6"/>
  <c r="G200" i="6"/>
  <c r="F200" i="6"/>
  <c r="F233" i="6" s="1"/>
  <c r="E200" i="6"/>
  <c r="E233" i="6" s="1"/>
  <c r="L199" i="6"/>
  <c r="K199" i="6"/>
  <c r="J199" i="6"/>
  <c r="I199" i="6"/>
  <c r="H199" i="6"/>
  <c r="H232" i="6" s="1"/>
  <c r="G199" i="6"/>
  <c r="F199" i="6"/>
  <c r="F232" i="6" s="1"/>
  <c r="E199" i="6"/>
  <c r="E232" i="6" s="1"/>
  <c r="L198" i="6"/>
  <c r="L231" i="6" s="1"/>
  <c r="K198" i="6"/>
  <c r="J198" i="6"/>
  <c r="I198" i="6"/>
  <c r="F258" i="11" s="1"/>
  <c r="H198" i="6"/>
  <c r="E258" i="11" s="1"/>
  <c r="G198" i="6"/>
  <c r="F198" i="6"/>
  <c r="F231" i="6" s="1"/>
  <c r="E198" i="6"/>
  <c r="E231" i="6" s="1"/>
  <c r="L189" i="6"/>
  <c r="K189" i="6"/>
  <c r="J189" i="6"/>
  <c r="I189" i="6"/>
  <c r="H189" i="6"/>
  <c r="G189" i="6"/>
  <c r="F189" i="6"/>
  <c r="E189" i="6"/>
  <c r="L188" i="6"/>
  <c r="K188" i="6"/>
  <c r="J188" i="6"/>
  <c r="I188" i="6"/>
  <c r="H188" i="6"/>
  <c r="G188" i="6"/>
  <c r="F188" i="6"/>
  <c r="E188" i="6"/>
  <c r="L187" i="6"/>
  <c r="K187" i="6"/>
  <c r="J187" i="6"/>
  <c r="I187" i="6"/>
  <c r="H187" i="6"/>
  <c r="G187" i="6"/>
  <c r="F187" i="6"/>
  <c r="E187" i="6"/>
  <c r="L186" i="6"/>
  <c r="K186" i="6"/>
  <c r="J186" i="6"/>
  <c r="I186" i="6"/>
  <c r="H186" i="6"/>
  <c r="G186" i="6"/>
  <c r="F186" i="6"/>
  <c r="E186" i="6"/>
  <c r="L185" i="6"/>
  <c r="K185" i="6"/>
  <c r="J185" i="6"/>
  <c r="I185" i="6"/>
  <c r="H185" i="6"/>
  <c r="G185" i="6"/>
  <c r="F185" i="6"/>
  <c r="E185" i="6"/>
  <c r="L184" i="6"/>
  <c r="K184" i="6"/>
  <c r="J184" i="6"/>
  <c r="I184" i="6"/>
  <c r="H184" i="6"/>
  <c r="G184" i="6"/>
  <c r="F184" i="6"/>
  <c r="E184" i="6"/>
  <c r="L183" i="6"/>
  <c r="K183" i="6"/>
  <c r="J183" i="6"/>
  <c r="I183" i="6"/>
  <c r="H183" i="6"/>
  <c r="G183" i="6"/>
  <c r="F183" i="6"/>
  <c r="E183" i="6"/>
  <c r="L182" i="6"/>
  <c r="K182" i="6"/>
  <c r="J182" i="6"/>
  <c r="I182" i="6"/>
  <c r="H182" i="6"/>
  <c r="G182" i="6"/>
  <c r="F182" i="6"/>
  <c r="E182" i="6"/>
  <c r="L181" i="6"/>
  <c r="K181" i="6"/>
  <c r="J181" i="6"/>
  <c r="I181" i="6"/>
  <c r="H181" i="6"/>
  <c r="G181" i="6"/>
  <c r="F181" i="6"/>
  <c r="E181" i="6"/>
  <c r="L180" i="6"/>
  <c r="K180" i="6"/>
  <c r="J180" i="6"/>
  <c r="I180" i="6"/>
  <c r="H180" i="6"/>
  <c r="G180" i="6"/>
  <c r="F180" i="6"/>
  <c r="E180" i="6"/>
  <c r="L179" i="6"/>
  <c r="K179" i="6"/>
  <c r="J179" i="6"/>
  <c r="I179" i="6"/>
  <c r="H179" i="6"/>
  <c r="G179" i="6"/>
  <c r="F179" i="6"/>
  <c r="E179" i="6"/>
  <c r="L178" i="6"/>
  <c r="K178" i="6"/>
  <c r="J178" i="6"/>
  <c r="I178" i="6"/>
  <c r="H178" i="6"/>
  <c r="G178" i="6"/>
  <c r="F178" i="6"/>
  <c r="E178" i="6"/>
  <c r="L177" i="6"/>
  <c r="K177" i="6"/>
  <c r="J177" i="6"/>
  <c r="I177" i="6"/>
  <c r="H177" i="6"/>
  <c r="G177" i="6"/>
  <c r="F177" i="6"/>
  <c r="E177" i="6"/>
  <c r="L176" i="6"/>
  <c r="K176" i="6"/>
  <c r="J176" i="6"/>
  <c r="I176" i="6"/>
  <c r="H176" i="6"/>
  <c r="G176" i="6"/>
  <c r="F176" i="6"/>
  <c r="E176" i="6"/>
  <c r="L175" i="6"/>
  <c r="K175" i="6"/>
  <c r="J175" i="6"/>
  <c r="I175" i="6"/>
  <c r="H175" i="6"/>
  <c r="G175" i="6"/>
  <c r="F175" i="6"/>
  <c r="E175" i="6"/>
  <c r="L174" i="6"/>
  <c r="K174" i="6"/>
  <c r="J174" i="6"/>
  <c r="I174" i="6"/>
  <c r="H174" i="6"/>
  <c r="G174" i="6"/>
  <c r="F174" i="6"/>
  <c r="E174" i="6"/>
  <c r="L173" i="6"/>
  <c r="K173" i="6"/>
  <c r="J173" i="6"/>
  <c r="I173" i="6"/>
  <c r="H173" i="6"/>
  <c r="G173" i="6"/>
  <c r="F173" i="6"/>
  <c r="E173" i="6"/>
  <c r="L166" i="6"/>
  <c r="K166" i="6"/>
  <c r="J166" i="6"/>
  <c r="I166" i="6"/>
  <c r="H166" i="6"/>
  <c r="G166" i="6"/>
  <c r="F166" i="6"/>
  <c r="E166" i="6"/>
  <c r="L165" i="6"/>
  <c r="K165" i="6"/>
  <c r="J165" i="6"/>
  <c r="I165" i="6"/>
  <c r="H165" i="6"/>
  <c r="G165" i="6"/>
  <c r="F165" i="6"/>
  <c r="E165" i="6"/>
  <c r="L164" i="6"/>
  <c r="K164" i="6"/>
  <c r="J164" i="6"/>
  <c r="I164" i="6"/>
  <c r="H164" i="6"/>
  <c r="G164" i="6"/>
  <c r="F164" i="6"/>
  <c r="E164" i="6"/>
  <c r="L163" i="6"/>
  <c r="K163" i="6"/>
  <c r="J163" i="6"/>
  <c r="I163" i="6"/>
  <c r="H163" i="6"/>
  <c r="G163" i="6"/>
  <c r="F163" i="6"/>
  <c r="E163" i="6"/>
  <c r="L162" i="6"/>
  <c r="K162" i="6"/>
  <c r="J162" i="6"/>
  <c r="I162" i="6"/>
  <c r="H162" i="6"/>
  <c r="G162" i="6"/>
  <c r="F162" i="6"/>
  <c r="E162" i="6"/>
  <c r="L161" i="6"/>
  <c r="K161" i="6"/>
  <c r="J161" i="6"/>
  <c r="I161" i="6"/>
  <c r="H161" i="6"/>
  <c r="G161" i="6"/>
  <c r="F161" i="6"/>
  <c r="E161" i="6"/>
  <c r="L160" i="6"/>
  <c r="K160" i="6"/>
  <c r="J160" i="6"/>
  <c r="I160" i="6"/>
  <c r="H160" i="6"/>
  <c r="G160" i="6"/>
  <c r="F160" i="6"/>
  <c r="E160" i="6"/>
  <c r="L159" i="6"/>
  <c r="K159" i="6"/>
  <c r="J159" i="6"/>
  <c r="I159" i="6"/>
  <c r="H159" i="6"/>
  <c r="G159" i="6"/>
  <c r="F159" i="6"/>
  <c r="E159" i="6"/>
  <c r="L158" i="6"/>
  <c r="K158" i="6"/>
  <c r="J158" i="6"/>
  <c r="I158" i="6"/>
  <c r="H158" i="6"/>
  <c r="G158" i="6"/>
  <c r="F158" i="6"/>
  <c r="E158" i="6"/>
  <c r="L157" i="6"/>
  <c r="K157" i="6"/>
  <c r="J157" i="6"/>
  <c r="I157" i="6"/>
  <c r="H157" i="6"/>
  <c r="G157" i="6"/>
  <c r="F157" i="6"/>
  <c r="E157" i="6"/>
  <c r="L156" i="6"/>
  <c r="K156" i="6"/>
  <c r="J156" i="6"/>
  <c r="I156" i="6"/>
  <c r="H156" i="6"/>
  <c r="G156" i="6"/>
  <c r="F156" i="6"/>
  <c r="E156" i="6"/>
  <c r="L155" i="6"/>
  <c r="K155" i="6"/>
  <c r="J155" i="6"/>
  <c r="I155" i="6"/>
  <c r="H155" i="6"/>
  <c r="G155" i="6"/>
  <c r="F155" i="6"/>
  <c r="E155" i="6"/>
  <c r="L154" i="6"/>
  <c r="K154" i="6"/>
  <c r="J154" i="6"/>
  <c r="I154" i="6"/>
  <c r="H154" i="6"/>
  <c r="G154" i="6"/>
  <c r="F154" i="6"/>
  <c r="E154" i="6"/>
  <c r="L153" i="6"/>
  <c r="K153" i="6"/>
  <c r="J153" i="6"/>
  <c r="I153" i="6"/>
  <c r="H153" i="6"/>
  <c r="G153" i="6"/>
  <c r="F153" i="6"/>
  <c r="E153" i="6"/>
  <c r="L152" i="6"/>
  <c r="K152" i="6"/>
  <c r="J152" i="6"/>
  <c r="I152" i="6"/>
  <c r="H152" i="6"/>
  <c r="G152" i="6"/>
  <c r="F152" i="6"/>
  <c r="E152" i="6"/>
  <c r="L151" i="6"/>
  <c r="K151" i="6"/>
  <c r="J151" i="6"/>
  <c r="I151" i="6"/>
  <c r="H151" i="6"/>
  <c r="G151" i="6"/>
  <c r="F151" i="6"/>
  <c r="E151" i="6"/>
  <c r="L150" i="6"/>
  <c r="K150" i="6"/>
  <c r="J150" i="6"/>
  <c r="I150" i="6"/>
  <c r="H150" i="6"/>
  <c r="G150" i="6"/>
  <c r="F150" i="6"/>
  <c r="E150" i="6"/>
  <c r="L118" i="6"/>
  <c r="K118" i="6"/>
  <c r="J118" i="6"/>
  <c r="I118" i="6"/>
  <c r="H118" i="6"/>
  <c r="G118" i="6"/>
  <c r="F118" i="6"/>
  <c r="E118" i="6"/>
  <c r="L117" i="6"/>
  <c r="K117" i="6"/>
  <c r="J117" i="6"/>
  <c r="I117" i="6"/>
  <c r="H117" i="6"/>
  <c r="G117" i="6"/>
  <c r="F117" i="6"/>
  <c r="E117" i="6"/>
  <c r="L116" i="6"/>
  <c r="K116" i="6"/>
  <c r="J116" i="6"/>
  <c r="I116" i="6"/>
  <c r="H116" i="6"/>
  <c r="G116" i="6"/>
  <c r="F116" i="6"/>
  <c r="E116" i="6"/>
  <c r="L115" i="6"/>
  <c r="K115" i="6"/>
  <c r="J115" i="6"/>
  <c r="I115" i="6"/>
  <c r="H115" i="6"/>
  <c r="G115" i="6"/>
  <c r="F115" i="6"/>
  <c r="E115" i="6"/>
  <c r="L114" i="6"/>
  <c r="K114" i="6"/>
  <c r="J114" i="6"/>
  <c r="I114" i="6"/>
  <c r="H114" i="6"/>
  <c r="G114" i="6"/>
  <c r="F114" i="6"/>
  <c r="E114" i="6"/>
  <c r="L113" i="6"/>
  <c r="K113" i="6"/>
  <c r="J113" i="6"/>
  <c r="I113" i="6"/>
  <c r="H113" i="6"/>
  <c r="G113" i="6"/>
  <c r="F113" i="6"/>
  <c r="E113" i="6"/>
  <c r="L112" i="6"/>
  <c r="K112" i="6"/>
  <c r="J112" i="6"/>
  <c r="I112" i="6"/>
  <c r="H112" i="6"/>
  <c r="G112" i="6"/>
  <c r="F112" i="6"/>
  <c r="E112" i="6"/>
  <c r="L111" i="6"/>
  <c r="K111" i="6"/>
  <c r="J111" i="6"/>
  <c r="I111" i="6"/>
  <c r="H111" i="6"/>
  <c r="G111" i="6"/>
  <c r="F111" i="6"/>
  <c r="E111" i="6"/>
  <c r="L110" i="6"/>
  <c r="K110" i="6"/>
  <c r="J110" i="6"/>
  <c r="I110" i="6"/>
  <c r="H110" i="6"/>
  <c r="G110" i="6"/>
  <c r="F110" i="6"/>
  <c r="E110" i="6"/>
  <c r="L109" i="6"/>
  <c r="K109" i="6"/>
  <c r="J109" i="6"/>
  <c r="I109" i="6"/>
  <c r="H109" i="6"/>
  <c r="G109" i="6"/>
  <c r="G132" i="6" s="1"/>
  <c r="F109" i="6"/>
  <c r="F132" i="6" s="1"/>
  <c r="E109" i="6"/>
  <c r="L108" i="6"/>
  <c r="K108" i="6"/>
  <c r="J108" i="6"/>
  <c r="I108" i="6"/>
  <c r="H108" i="6"/>
  <c r="G108" i="6"/>
  <c r="F108" i="6"/>
  <c r="E108" i="6"/>
  <c r="L107" i="6"/>
  <c r="K107" i="6"/>
  <c r="J107" i="6"/>
  <c r="I107" i="6"/>
  <c r="H107" i="6"/>
  <c r="G107" i="6"/>
  <c r="F107" i="6"/>
  <c r="E107" i="6"/>
  <c r="L106" i="6"/>
  <c r="K106" i="6"/>
  <c r="J106" i="6"/>
  <c r="I106" i="6"/>
  <c r="H106" i="6"/>
  <c r="G106" i="6"/>
  <c r="F106" i="6"/>
  <c r="E106" i="6"/>
  <c r="L105" i="6"/>
  <c r="K105" i="6"/>
  <c r="J105" i="6"/>
  <c r="I105" i="6"/>
  <c r="H105" i="6"/>
  <c r="G105" i="6"/>
  <c r="F105" i="6"/>
  <c r="E105" i="6"/>
  <c r="L104" i="6"/>
  <c r="K104" i="6"/>
  <c r="J104" i="6"/>
  <c r="I104" i="6"/>
  <c r="H104" i="6"/>
  <c r="G104" i="6"/>
  <c r="F104" i="6"/>
  <c r="E104" i="6"/>
  <c r="L103" i="6"/>
  <c r="K103" i="6"/>
  <c r="J103" i="6"/>
  <c r="I103" i="6"/>
  <c r="H103" i="6"/>
  <c r="G103" i="6"/>
  <c r="F103" i="6"/>
  <c r="E103" i="6"/>
  <c r="L102" i="6"/>
  <c r="K102" i="6"/>
  <c r="J102" i="6"/>
  <c r="I102" i="6"/>
  <c r="H102" i="6"/>
  <c r="G102" i="6"/>
  <c r="F102" i="6"/>
  <c r="F120" i="6" s="1"/>
  <c r="E102" i="6"/>
  <c r="L96" i="6"/>
  <c r="L141" i="6" s="1"/>
  <c r="K96" i="6"/>
  <c r="K139" i="12" s="1"/>
  <c r="J96" i="6"/>
  <c r="I96" i="6"/>
  <c r="I141" i="6" s="1"/>
  <c r="H96" i="6"/>
  <c r="H141" i="6" s="1"/>
  <c r="G96" i="6"/>
  <c r="F96" i="6"/>
  <c r="F141" i="6" s="1"/>
  <c r="E96" i="6"/>
  <c r="E141" i="6" s="1"/>
  <c r="L95" i="6"/>
  <c r="L140" i="6" s="1"/>
  <c r="K95" i="6"/>
  <c r="J95" i="6"/>
  <c r="I95" i="6"/>
  <c r="I140" i="6" s="1"/>
  <c r="H95" i="6"/>
  <c r="H140" i="6" s="1"/>
  <c r="G95" i="6"/>
  <c r="F95" i="6"/>
  <c r="F140" i="6" s="1"/>
  <c r="E95" i="6"/>
  <c r="L94" i="6"/>
  <c r="L139" i="6" s="1"/>
  <c r="K94" i="6"/>
  <c r="J94" i="6"/>
  <c r="I94" i="6"/>
  <c r="H94" i="6"/>
  <c r="H139" i="6" s="1"/>
  <c r="G94" i="6"/>
  <c r="F94" i="6"/>
  <c r="F139" i="6" s="1"/>
  <c r="E94" i="6"/>
  <c r="L93" i="6"/>
  <c r="L138" i="6" s="1"/>
  <c r="K93" i="6"/>
  <c r="J93" i="6"/>
  <c r="I93" i="6"/>
  <c r="I138" i="6" s="1"/>
  <c r="H93" i="6"/>
  <c r="H138" i="6" s="1"/>
  <c r="G93" i="6"/>
  <c r="F93" i="6"/>
  <c r="E93" i="6"/>
  <c r="E138" i="6" s="1"/>
  <c r="L92" i="6"/>
  <c r="L137" i="6" s="1"/>
  <c r="K92" i="6"/>
  <c r="J92" i="6"/>
  <c r="I92" i="6"/>
  <c r="I137" i="6" s="1"/>
  <c r="H92" i="6"/>
  <c r="H137" i="6" s="1"/>
  <c r="G92" i="6"/>
  <c r="G137" i="6" s="1"/>
  <c r="F92" i="6"/>
  <c r="F137" i="6" s="1"/>
  <c r="E92" i="6"/>
  <c r="E137" i="6" s="1"/>
  <c r="L91" i="6"/>
  <c r="L136" i="6" s="1"/>
  <c r="K91" i="6"/>
  <c r="J91" i="6"/>
  <c r="I91" i="6"/>
  <c r="I136" i="6" s="1"/>
  <c r="H91" i="6"/>
  <c r="H136" i="6" s="1"/>
  <c r="G91" i="6"/>
  <c r="F91" i="6"/>
  <c r="E91" i="6"/>
  <c r="L90" i="6"/>
  <c r="L135" i="6" s="1"/>
  <c r="K90" i="6"/>
  <c r="K134" i="12" s="1"/>
  <c r="J90" i="6"/>
  <c r="I90" i="6"/>
  <c r="I135" i="6" s="1"/>
  <c r="H90" i="6"/>
  <c r="H135" i="6" s="1"/>
  <c r="G90" i="6"/>
  <c r="G135" i="6" s="1"/>
  <c r="F90" i="6"/>
  <c r="F135" i="6" s="1"/>
  <c r="E90" i="6"/>
  <c r="L89" i="6"/>
  <c r="L134" i="6" s="1"/>
  <c r="K89" i="6"/>
  <c r="K124" i="12" s="1"/>
  <c r="J89" i="6"/>
  <c r="I89" i="6"/>
  <c r="I134" i="6" s="1"/>
  <c r="H89" i="6"/>
  <c r="H134" i="6" s="1"/>
  <c r="G89" i="6"/>
  <c r="F89" i="6"/>
  <c r="F134" i="6" s="1"/>
  <c r="E89" i="6"/>
  <c r="L88" i="6"/>
  <c r="L133" i="6" s="1"/>
  <c r="K88" i="6"/>
  <c r="J88" i="6"/>
  <c r="I88" i="6"/>
  <c r="I133" i="6" s="1"/>
  <c r="H88" i="6"/>
  <c r="H133" i="6" s="1"/>
  <c r="G88" i="6"/>
  <c r="F88" i="6"/>
  <c r="F133" i="6" s="1"/>
  <c r="E88" i="6"/>
  <c r="E133" i="6" s="1"/>
  <c r="L132" i="6"/>
  <c r="I132" i="6"/>
  <c r="H132" i="6"/>
  <c r="L86" i="6"/>
  <c r="K86" i="6"/>
  <c r="J86" i="6"/>
  <c r="I86" i="6"/>
  <c r="I131" i="6" s="1"/>
  <c r="H86" i="6"/>
  <c r="H131" i="6" s="1"/>
  <c r="G86" i="6"/>
  <c r="F86" i="6"/>
  <c r="E86" i="6"/>
  <c r="L85" i="6"/>
  <c r="K85" i="6"/>
  <c r="J85" i="6"/>
  <c r="I85" i="6"/>
  <c r="I130" i="6" s="1"/>
  <c r="H85" i="6"/>
  <c r="H130" i="6" s="1"/>
  <c r="G85" i="6"/>
  <c r="F85" i="6"/>
  <c r="E85" i="6"/>
  <c r="L84" i="6"/>
  <c r="K84" i="6"/>
  <c r="J84" i="6"/>
  <c r="I84" i="6"/>
  <c r="I129" i="6" s="1"/>
  <c r="H84" i="6"/>
  <c r="H129" i="6" s="1"/>
  <c r="G84" i="6"/>
  <c r="F84" i="6"/>
  <c r="E84" i="6"/>
  <c r="L83" i="6"/>
  <c r="K83" i="6"/>
  <c r="J83" i="6"/>
  <c r="I83" i="6"/>
  <c r="I128" i="6" s="1"/>
  <c r="H83" i="6"/>
  <c r="H128" i="6" s="1"/>
  <c r="G83" i="6"/>
  <c r="F83" i="6"/>
  <c r="E83" i="6"/>
  <c r="L82" i="6"/>
  <c r="K82" i="6"/>
  <c r="J82" i="6"/>
  <c r="I82" i="6"/>
  <c r="H82" i="6"/>
  <c r="G82" i="6"/>
  <c r="F82" i="6"/>
  <c r="E82" i="6"/>
  <c r="L81" i="6"/>
  <c r="K81" i="6"/>
  <c r="J81" i="6"/>
  <c r="I81" i="6"/>
  <c r="I126" i="6" s="1"/>
  <c r="H81" i="6"/>
  <c r="H126" i="6" s="1"/>
  <c r="G81" i="6"/>
  <c r="F81" i="6"/>
  <c r="E81" i="6"/>
  <c r="L80" i="6"/>
  <c r="K80" i="6"/>
  <c r="J80" i="6"/>
  <c r="I80" i="6"/>
  <c r="I125" i="6" s="1"/>
  <c r="H80" i="6"/>
  <c r="H125" i="6" s="1"/>
  <c r="G80" i="6"/>
  <c r="F80" i="6"/>
  <c r="E80" i="6"/>
  <c r="L48" i="6"/>
  <c r="K48" i="6"/>
  <c r="J48" i="6"/>
  <c r="I48" i="6"/>
  <c r="H48" i="6"/>
  <c r="G48" i="6"/>
  <c r="F48" i="6"/>
  <c r="E48" i="6"/>
  <c r="L47" i="6"/>
  <c r="K47" i="6"/>
  <c r="J47" i="6"/>
  <c r="I47" i="6"/>
  <c r="H47" i="6"/>
  <c r="G47" i="6"/>
  <c r="F47" i="6"/>
  <c r="E47" i="6"/>
  <c r="L46" i="6"/>
  <c r="K46" i="6"/>
  <c r="J46" i="6"/>
  <c r="I46" i="6"/>
  <c r="H46" i="6"/>
  <c r="G46" i="6"/>
  <c r="F46" i="6"/>
  <c r="E46" i="6"/>
  <c r="L45" i="6"/>
  <c r="K45" i="6"/>
  <c r="J45" i="6"/>
  <c r="I45" i="6"/>
  <c r="H45" i="6"/>
  <c r="G45" i="6"/>
  <c r="F45" i="6"/>
  <c r="E45" i="6"/>
  <c r="L44" i="6"/>
  <c r="K44" i="6"/>
  <c r="J44" i="6"/>
  <c r="I44" i="6"/>
  <c r="H44" i="6"/>
  <c r="G44" i="6"/>
  <c r="F44" i="6"/>
  <c r="E44" i="6"/>
  <c r="L43" i="6"/>
  <c r="K43" i="6"/>
  <c r="J43" i="6"/>
  <c r="I43" i="6"/>
  <c r="H43" i="6"/>
  <c r="G43" i="6"/>
  <c r="F43" i="6"/>
  <c r="E43" i="6"/>
  <c r="L42" i="6"/>
  <c r="K42" i="6"/>
  <c r="J42" i="6"/>
  <c r="I42" i="6"/>
  <c r="H42" i="6"/>
  <c r="G42" i="6"/>
  <c r="F42" i="6"/>
  <c r="E42" i="6"/>
  <c r="L41" i="6"/>
  <c r="K41" i="6"/>
  <c r="J41" i="6"/>
  <c r="I41" i="6"/>
  <c r="H41" i="6"/>
  <c r="G41" i="6"/>
  <c r="F41" i="6"/>
  <c r="E41" i="6"/>
  <c r="L40" i="6"/>
  <c r="K40" i="6"/>
  <c r="J40" i="6"/>
  <c r="I40" i="6"/>
  <c r="H40" i="6"/>
  <c r="G40" i="6"/>
  <c r="F40" i="6"/>
  <c r="E40" i="6"/>
  <c r="L39" i="6"/>
  <c r="K39" i="6"/>
  <c r="J39" i="6"/>
  <c r="I39" i="6"/>
  <c r="H39" i="6"/>
  <c r="G39" i="6"/>
  <c r="F39" i="6"/>
  <c r="E39" i="6"/>
  <c r="L38" i="6"/>
  <c r="K38" i="6"/>
  <c r="J38" i="6"/>
  <c r="I38" i="6"/>
  <c r="H38" i="6"/>
  <c r="G38" i="6"/>
  <c r="F38" i="6"/>
  <c r="E38" i="6"/>
  <c r="L37" i="6"/>
  <c r="K37" i="6"/>
  <c r="J37" i="6"/>
  <c r="I37" i="6"/>
  <c r="H37" i="6"/>
  <c r="G37" i="6"/>
  <c r="F37" i="6"/>
  <c r="E37" i="6"/>
  <c r="L36" i="6"/>
  <c r="K36" i="6"/>
  <c r="J36" i="6"/>
  <c r="I36" i="6"/>
  <c r="H36" i="6"/>
  <c r="G36" i="6"/>
  <c r="F36" i="6"/>
  <c r="E36" i="6"/>
  <c r="L35" i="6"/>
  <c r="K35" i="6"/>
  <c r="J35" i="6"/>
  <c r="I35" i="6"/>
  <c r="H35" i="6"/>
  <c r="G35" i="6"/>
  <c r="F35" i="6"/>
  <c r="E35" i="6"/>
  <c r="L34" i="6"/>
  <c r="K34" i="6"/>
  <c r="J34" i="6"/>
  <c r="I34" i="6"/>
  <c r="H34" i="6"/>
  <c r="G34" i="6"/>
  <c r="F34" i="6"/>
  <c r="E34" i="6"/>
  <c r="L33" i="6"/>
  <c r="K33" i="6"/>
  <c r="J33" i="6"/>
  <c r="I33" i="6"/>
  <c r="H33" i="6"/>
  <c r="G33" i="6"/>
  <c r="F33" i="6"/>
  <c r="E33" i="6"/>
  <c r="L32" i="6"/>
  <c r="K32" i="6"/>
  <c r="J32" i="6"/>
  <c r="I32" i="6"/>
  <c r="H32" i="6"/>
  <c r="H50" i="6" s="1"/>
  <c r="G32" i="6"/>
  <c r="F32" i="6"/>
  <c r="E32" i="6"/>
  <c r="L26" i="6"/>
  <c r="L71" i="6" s="1"/>
  <c r="K26" i="6"/>
  <c r="J26" i="6"/>
  <c r="I26" i="6"/>
  <c r="I71" i="6" s="1"/>
  <c r="H26" i="6"/>
  <c r="H71" i="6" s="1"/>
  <c r="G26" i="6"/>
  <c r="F26" i="6"/>
  <c r="F71" i="6" s="1"/>
  <c r="E26" i="6"/>
  <c r="E71" i="6" s="1"/>
  <c r="L25" i="6"/>
  <c r="K25" i="6"/>
  <c r="K70" i="6" s="1"/>
  <c r="J25" i="6"/>
  <c r="J70" i="6" s="1"/>
  <c r="I25" i="6"/>
  <c r="H25" i="6"/>
  <c r="H70" i="6" s="1"/>
  <c r="G25" i="6"/>
  <c r="G70" i="6" s="1"/>
  <c r="F25" i="6"/>
  <c r="F70" i="6" s="1"/>
  <c r="E25" i="6"/>
  <c r="L24" i="6"/>
  <c r="L69" i="6" s="1"/>
  <c r="K24" i="6"/>
  <c r="K69" i="6" s="1"/>
  <c r="J24" i="6"/>
  <c r="J69" i="6" s="1"/>
  <c r="I24" i="6"/>
  <c r="I69" i="6" s="1"/>
  <c r="H24" i="6"/>
  <c r="H69" i="6" s="1"/>
  <c r="G24" i="6"/>
  <c r="G69" i="6" s="1"/>
  <c r="F24" i="6"/>
  <c r="F69" i="6" s="1"/>
  <c r="E24" i="6"/>
  <c r="L23" i="6"/>
  <c r="L68" i="6" s="1"/>
  <c r="K23" i="6"/>
  <c r="J23" i="6"/>
  <c r="J68" i="6" s="1"/>
  <c r="I23" i="6"/>
  <c r="H23" i="6"/>
  <c r="G23" i="6"/>
  <c r="F23" i="6"/>
  <c r="E23" i="6"/>
  <c r="E68" i="6" s="1"/>
  <c r="L22" i="6"/>
  <c r="L67" i="6" s="1"/>
  <c r="K22" i="6"/>
  <c r="J22" i="6"/>
  <c r="I22" i="6"/>
  <c r="H22" i="6"/>
  <c r="G22" i="6"/>
  <c r="F22" i="6"/>
  <c r="F67" i="6" s="1"/>
  <c r="E22" i="6"/>
  <c r="E67" i="6" s="1"/>
  <c r="L21" i="6"/>
  <c r="L66" i="6" s="1"/>
  <c r="K21" i="6"/>
  <c r="J21" i="6"/>
  <c r="J66" i="6" s="1"/>
  <c r="I21" i="6"/>
  <c r="H21" i="6"/>
  <c r="G21" i="6"/>
  <c r="G66" i="6" s="1"/>
  <c r="F21" i="6"/>
  <c r="F66" i="6" s="1"/>
  <c r="E21" i="6"/>
  <c r="E66" i="6" s="1"/>
  <c r="L20" i="6"/>
  <c r="L65" i="6" s="1"/>
  <c r="K20" i="6"/>
  <c r="J20" i="6"/>
  <c r="J65" i="6" s="1"/>
  <c r="I20" i="6"/>
  <c r="H20" i="6"/>
  <c r="G20" i="6"/>
  <c r="G65" i="6" s="1"/>
  <c r="F20" i="6"/>
  <c r="F65" i="6" s="1"/>
  <c r="E20" i="6"/>
  <c r="L19" i="6"/>
  <c r="L64" i="6" s="1"/>
  <c r="K19" i="6"/>
  <c r="J19" i="6"/>
  <c r="J64" i="6" s="1"/>
  <c r="I19" i="6"/>
  <c r="H19" i="6"/>
  <c r="H64" i="6" s="1"/>
  <c r="G19" i="6"/>
  <c r="G64" i="6" s="1"/>
  <c r="F19" i="6"/>
  <c r="F64" i="6" s="1"/>
  <c r="E19" i="6"/>
  <c r="E64" i="6" s="1"/>
  <c r="L18" i="6"/>
  <c r="L63" i="6" s="1"/>
  <c r="K18" i="6"/>
  <c r="J18" i="6"/>
  <c r="I18" i="6"/>
  <c r="H18" i="6"/>
  <c r="G18" i="6"/>
  <c r="F18" i="6"/>
  <c r="F63" i="6" s="1"/>
  <c r="E18" i="6"/>
  <c r="E63" i="6" s="1"/>
  <c r="L17" i="6"/>
  <c r="L62" i="6" s="1"/>
  <c r="K17" i="6"/>
  <c r="J17" i="6"/>
  <c r="J62" i="6" s="1"/>
  <c r="I17" i="6"/>
  <c r="H17" i="6"/>
  <c r="G17" i="6"/>
  <c r="G62" i="6" s="1"/>
  <c r="F17" i="6"/>
  <c r="F62" i="6" s="1"/>
  <c r="E17" i="6"/>
  <c r="E62" i="6" s="1"/>
  <c r="L16" i="6"/>
  <c r="L61" i="6" s="1"/>
  <c r="K16" i="6"/>
  <c r="K61" i="6" s="1"/>
  <c r="J16" i="6"/>
  <c r="J61" i="6" s="1"/>
  <c r="I16" i="6"/>
  <c r="H16" i="6"/>
  <c r="G16" i="6"/>
  <c r="G61" i="6" s="1"/>
  <c r="F16" i="6"/>
  <c r="F61" i="6" s="1"/>
  <c r="E16" i="6"/>
  <c r="L15" i="6"/>
  <c r="L60" i="6" s="1"/>
  <c r="K15" i="6"/>
  <c r="J15" i="6"/>
  <c r="J60" i="6" s="1"/>
  <c r="I15" i="6"/>
  <c r="H15" i="6"/>
  <c r="H60" i="6" s="1"/>
  <c r="G15" i="6"/>
  <c r="G60" i="6" s="1"/>
  <c r="F15" i="6"/>
  <c r="F60" i="6" s="1"/>
  <c r="E15" i="6"/>
  <c r="E60" i="6" s="1"/>
  <c r="L14" i="6"/>
  <c r="L59" i="6" s="1"/>
  <c r="K14" i="6"/>
  <c r="J14" i="6"/>
  <c r="I14" i="6"/>
  <c r="H14" i="6"/>
  <c r="G14" i="6"/>
  <c r="F14" i="6"/>
  <c r="F59" i="6" s="1"/>
  <c r="E14" i="6"/>
  <c r="E59" i="6" s="1"/>
  <c r="L13" i="6"/>
  <c r="L58" i="6" s="1"/>
  <c r="K13" i="6"/>
  <c r="J13" i="6"/>
  <c r="J58" i="6" s="1"/>
  <c r="I13" i="6"/>
  <c r="H13" i="6"/>
  <c r="G13" i="6"/>
  <c r="G58" i="6" s="1"/>
  <c r="F13" i="6"/>
  <c r="F58" i="6" s="1"/>
  <c r="E13" i="6"/>
  <c r="L12" i="6"/>
  <c r="L57" i="6" s="1"/>
  <c r="K12" i="6"/>
  <c r="K57" i="6" s="1"/>
  <c r="J12" i="6"/>
  <c r="J57" i="6" s="1"/>
  <c r="I12" i="6"/>
  <c r="H12" i="6"/>
  <c r="G12" i="6"/>
  <c r="G57" i="6" s="1"/>
  <c r="F12" i="6"/>
  <c r="F57" i="6" s="1"/>
  <c r="E12" i="6"/>
  <c r="L11" i="6"/>
  <c r="K11" i="6"/>
  <c r="J11" i="6"/>
  <c r="J56" i="6" s="1"/>
  <c r="I11" i="6"/>
  <c r="H11" i="6"/>
  <c r="H56" i="6" s="1"/>
  <c r="G11" i="6"/>
  <c r="G56" i="6" s="1"/>
  <c r="F11" i="6"/>
  <c r="F56" i="6" s="1"/>
  <c r="E11" i="6"/>
  <c r="E56" i="6" s="1"/>
  <c r="L10" i="6"/>
  <c r="L55" i="6" s="1"/>
  <c r="K10" i="6"/>
  <c r="J10" i="6"/>
  <c r="I10" i="6"/>
  <c r="H10" i="6"/>
  <c r="G10" i="6"/>
  <c r="F10" i="6"/>
  <c r="F55" i="6" s="1"/>
  <c r="E10" i="6"/>
  <c r="E55" i="6" s="1"/>
  <c r="L217" i="8"/>
  <c r="K217" i="8"/>
  <c r="L216" i="8"/>
  <c r="K216" i="8"/>
  <c r="L215" i="8"/>
  <c r="K215" i="8"/>
  <c r="L214" i="8"/>
  <c r="K214" i="8"/>
  <c r="L212" i="8"/>
  <c r="K212" i="8"/>
  <c r="L213" i="8"/>
  <c r="K213" i="8"/>
  <c r="L211" i="8"/>
  <c r="K211" i="8"/>
  <c r="L209" i="8"/>
  <c r="K209" i="8"/>
  <c r="L210" i="8"/>
  <c r="K210" i="8"/>
  <c r="L208" i="8"/>
  <c r="K208" i="8"/>
  <c r="L206" i="8"/>
  <c r="K206" i="8"/>
  <c r="L207" i="8"/>
  <c r="K207" i="8"/>
  <c r="L205" i="8"/>
  <c r="K205" i="8"/>
  <c r="L204" i="8"/>
  <c r="K204" i="8"/>
  <c r="L203" i="8"/>
  <c r="K203" i="8"/>
  <c r="L202" i="8"/>
  <c r="K202" i="8"/>
  <c r="L201" i="8"/>
  <c r="K201" i="8"/>
  <c r="L197" i="8"/>
  <c r="K197" i="8"/>
  <c r="L196" i="8"/>
  <c r="K196" i="8"/>
  <c r="L195" i="8"/>
  <c r="K195" i="8"/>
  <c r="L194" i="8"/>
  <c r="K194" i="8"/>
  <c r="L192" i="8"/>
  <c r="K192" i="8"/>
  <c r="L193" i="8"/>
  <c r="K193" i="8"/>
  <c r="L191" i="8"/>
  <c r="K191" i="8"/>
  <c r="L189" i="8"/>
  <c r="K189" i="8"/>
  <c r="L190" i="8"/>
  <c r="K190" i="8"/>
  <c r="L188" i="8"/>
  <c r="K188" i="8"/>
  <c r="L186" i="8"/>
  <c r="K186" i="8"/>
  <c r="L185" i="8"/>
  <c r="K185" i="8"/>
  <c r="L184" i="8"/>
  <c r="K184" i="8"/>
  <c r="L183" i="8"/>
  <c r="K183" i="8"/>
  <c r="L182" i="8"/>
  <c r="K182" i="8"/>
  <c r="L181" i="8"/>
  <c r="K181" i="8"/>
  <c r="L175" i="8"/>
  <c r="K175" i="8"/>
  <c r="L174" i="8"/>
  <c r="K174" i="8"/>
  <c r="L173" i="8"/>
  <c r="K173" i="8"/>
  <c r="L171" i="8"/>
  <c r="K171" i="8"/>
  <c r="L170" i="8"/>
  <c r="K170" i="8"/>
  <c r="L169" i="8"/>
  <c r="K169" i="8"/>
  <c r="L168" i="8"/>
  <c r="K168" i="8"/>
  <c r="L167" i="8"/>
  <c r="K167" i="8"/>
  <c r="L166" i="8"/>
  <c r="K166" i="8"/>
  <c r="L165" i="8"/>
  <c r="K165" i="8"/>
  <c r="L163" i="8"/>
  <c r="K163" i="8"/>
  <c r="V79" i="7" s="1"/>
  <c r="L159" i="8"/>
  <c r="K159" i="8"/>
  <c r="L158" i="8"/>
  <c r="K158" i="8"/>
  <c r="L157" i="8"/>
  <c r="K157" i="8"/>
  <c r="L155" i="8"/>
  <c r="K155" i="8"/>
  <c r="L154" i="8"/>
  <c r="K154" i="8"/>
  <c r="L153" i="8"/>
  <c r="K153" i="8"/>
  <c r="L152" i="8"/>
  <c r="K152" i="8"/>
  <c r="L151" i="8"/>
  <c r="K151" i="8"/>
  <c r="L150" i="8"/>
  <c r="K150" i="8"/>
  <c r="L149" i="8"/>
  <c r="K149" i="8"/>
  <c r="L147" i="8"/>
  <c r="K147" i="8"/>
  <c r="L93" i="8"/>
  <c r="K93" i="8"/>
  <c r="L92" i="8"/>
  <c r="K92" i="8"/>
  <c r="L91" i="8"/>
  <c r="K91" i="8"/>
  <c r="L90" i="8"/>
  <c r="K90" i="8"/>
  <c r="L89" i="8"/>
  <c r="K89" i="8"/>
  <c r="L88" i="8"/>
  <c r="K88" i="8"/>
  <c r="L87" i="8"/>
  <c r="K87" i="8"/>
  <c r="L86" i="8"/>
  <c r="K86" i="8"/>
  <c r="L85" i="8"/>
  <c r="K85" i="8"/>
  <c r="L84" i="8"/>
  <c r="K84" i="8"/>
  <c r="L83" i="8"/>
  <c r="K83" i="8"/>
  <c r="L82" i="8"/>
  <c r="K82" i="8"/>
  <c r="L81" i="8"/>
  <c r="K81" i="8"/>
  <c r="L80" i="8"/>
  <c r="K80" i="8"/>
  <c r="L79" i="8"/>
  <c r="K79" i="8"/>
  <c r="L78" i="8"/>
  <c r="K78" i="8"/>
  <c r="L77" i="8"/>
  <c r="K77" i="8"/>
  <c r="L76" i="8"/>
  <c r="K76" i="8"/>
  <c r="L75" i="8"/>
  <c r="K75" i="8"/>
  <c r="L71" i="8"/>
  <c r="K71" i="8"/>
  <c r="L70" i="8"/>
  <c r="K70" i="8"/>
  <c r="L69" i="8"/>
  <c r="K69" i="8"/>
  <c r="L68" i="8"/>
  <c r="K68" i="8"/>
  <c r="L67" i="8"/>
  <c r="K67" i="8"/>
  <c r="X43" i="7" s="1"/>
  <c r="H116" i="10" s="1"/>
  <c r="L66" i="8"/>
  <c r="K66" i="8"/>
  <c r="L65" i="8"/>
  <c r="K65" i="8"/>
  <c r="X34" i="7" s="1"/>
  <c r="H107" i="10" s="1"/>
  <c r="L64" i="8"/>
  <c r="K64" i="8"/>
  <c r="L63" i="8"/>
  <c r="K63" i="8"/>
  <c r="L62" i="8"/>
  <c r="K62" i="8"/>
  <c r="L61" i="8"/>
  <c r="K61" i="8"/>
  <c r="L60" i="8"/>
  <c r="K60" i="8"/>
  <c r="L59" i="8"/>
  <c r="K59" i="8"/>
  <c r="L58" i="8"/>
  <c r="K58" i="8"/>
  <c r="L57" i="8"/>
  <c r="K57" i="8"/>
  <c r="L56" i="8"/>
  <c r="K56" i="8"/>
  <c r="L55" i="8"/>
  <c r="K55" i="8"/>
  <c r="L54" i="8"/>
  <c r="K54" i="8"/>
  <c r="L53" i="8"/>
  <c r="K53" i="8"/>
  <c r="L47" i="8"/>
  <c r="K47" i="8"/>
  <c r="L46" i="8"/>
  <c r="K46" i="8"/>
  <c r="L45" i="8"/>
  <c r="K45" i="8"/>
  <c r="L44" i="8"/>
  <c r="K44" i="8"/>
  <c r="L43" i="8"/>
  <c r="K43" i="8"/>
  <c r="L42" i="8"/>
  <c r="K42" i="8"/>
  <c r="L41" i="8"/>
  <c r="K41" i="8"/>
  <c r="L40" i="8"/>
  <c r="K40" i="8"/>
  <c r="L39" i="8"/>
  <c r="K39" i="8"/>
  <c r="L38" i="8"/>
  <c r="K38" i="8"/>
  <c r="L37" i="8"/>
  <c r="K37" i="8"/>
  <c r="L36" i="8"/>
  <c r="K36" i="8"/>
  <c r="L35" i="8"/>
  <c r="K35" i="8"/>
  <c r="L34" i="8"/>
  <c r="K34" i="8"/>
  <c r="L33" i="8"/>
  <c r="K33" i="8"/>
  <c r="L32" i="8"/>
  <c r="K32" i="8"/>
  <c r="L31" i="8"/>
  <c r="K31" i="8"/>
  <c r="L30" i="8"/>
  <c r="K30" i="8"/>
  <c r="L26" i="8"/>
  <c r="K26" i="8"/>
  <c r="L25" i="8"/>
  <c r="K25" i="8"/>
  <c r="L24" i="8"/>
  <c r="K24" i="8"/>
  <c r="L23" i="8"/>
  <c r="K23" i="8"/>
  <c r="L22" i="8"/>
  <c r="K22" i="8"/>
  <c r="L21" i="8"/>
  <c r="K21" i="8"/>
  <c r="L20" i="8"/>
  <c r="K20" i="8"/>
  <c r="L19" i="8"/>
  <c r="K19" i="8"/>
  <c r="L18" i="8"/>
  <c r="K18" i="8"/>
  <c r="L17" i="8"/>
  <c r="K17" i="8"/>
  <c r="X16" i="7" s="1"/>
  <c r="H87" i="10" s="1"/>
  <c r="L16" i="8"/>
  <c r="K16" i="8"/>
  <c r="L15" i="8"/>
  <c r="K15" i="8"/>
  <c r="L14" i="8"/>
  <c r="K14" i="8"/>
  <c r="L13" i="8"/>
  <c r="K13" i="8"/>
  <c r="L12" i="8"/>
  <c r="K12" i="8"/>
  <c r="L11" i="8"/>
  <c r="K11" i="8"/>
  <c r="X22" i="7" s="1"/>
  <c r="H93" i="10" s="1"/>
  <c r="L10" i="8"/>
  <c r="K10" i="8"/>
  <c r="L9" i="8"/>
  <c r="K9" i="8"/>
  <c r="L284" i="1"/>
  <c r="K284" i="1"/>
  <c r="J284" i="1"/>
  <c r="I284" i="1"/>
  <c r="H284" i="1"/>
  <c r="G284" i="1"/>
  <c r="F284" i="1"/>
  <c r="E284" i="1"/>
  <c r="L260" i="1"/>
  <c r="K260" i="1"/>
  <c r="J260" i="1"/>
  <c r="I260" i="1"/>
  <c r="H260" i="1"/>
  <c r="G260" i="1"/>
  <c r="F260" i="1"/>
  <c r="E260" i="1"/>
  <c r="L234" i="1"/>
  <c r="K234" i="1"/>
  <c r="J234" i="1"/>
  <c r="I234" i="1"/>
  <c r="H234" i="1"/>
  <c r="G234" i="1"/>
  <c r="F234" i="1"/>
  <c r="E234" i="1"/>
  <c r="L209" i="1"/>
  <c r="K209" i="1"/>
  <c r="J209" i="1"/>
  <c r="I209" i="1"/>
  <c r="I193" i="1" s="1"/>
  <c r="H209" i="1"/>
  <c r="H193" i="1" s="1"/>
  <c r="G209" i="1"/>
  <c r="G193" i="1" s="1"/>
  <c r="F209" i="1"/>
  <c r="E209" i="1"/>
  <c r="E193" i="1" s="1"/>
  <c r="L193" i="1"/>
  <c r="K193" i="1"/>
  <c r="J193" i="1"/>
  <c r="F193" i="1"/>
  <c r="L175" i="1"/>
  <c r="K175" i="1"/>
  <c r="J175" i="1"/>
  <c r="I175" i="1"/>
  <c r="H175" i="1"/>
  <c r="G175" i="1"/>
  <c r="F175" i="1"/>
  <c r="E175" i="1"/>
  <c r="L159" i="1"/>
  <c r="K159" i="1"/>
  <c r="J159" i="1"/>
  <c r="I159" i="1"/>
  <c r="H159" i="1"/>
  <c r="G159" i="1"/>
  <c r="F159" i="1"/>
  <c r="E159" i="1"/>
  <c r="L141" i="1"/>
  <c r="L119" i="1" s="1"/>
  <c r="K141" i="1"/>
  <c r="K119" i="1" s="1"/>
  <c r="J141" i="1"/>
  <c r="J119" i="1" s="1"/>
  <c r="I141" i="1"/>
  <c r="I119" i="1" s="1"/>
  <c r="H141" i="1"/>
  <c r="H119" i="1" s="1"/>
  <c r="G141" i="1"/>
  <c r="G119" i="1" s="1"/>
  <c r="F141" i="1"/>
  <c r="F119" i="1" s="1"/>
  <c r="E141" i="1"/>
  <c r="E119" i="1" s="1"/>
  <c r="L95" i="1"/>
  <c r="J95" i="1"/>
  <c r="I95" i="1"/>
  <c r="H95" i="1"/>
  <c r="G95" i="1"/>
  <c r="F95" i="1"/>
  <c r="E95" i="1"/>
  <c r="E73" i="1" s="1"/>
  <c r="L73" i="1"/>
  <c r="K73" i="1"/>
  <c r="J73" i="1"/>
  <c r="I73" i="1"/>
  <c r="H73" i="1"/>
  <c r="G73" i="1"/>
  <c r="F73" i="1"/>
  <c r="L49" i="1"/>
  <c r="K49" i="1"/>
  <c r="J49" i="1"/>
  <c r="I49" i="1"/>
  <c r="H49" i="1"/>
  <c r="G49" i="1"/>
  <c r="F49" i="1"/>
  <c r="E49" i="1"/>
  <c r="L27" i="1"/>
  <c r="K27" i="1"/>
  <c r="J27" i="1"/>
  <c r="I27" i="1"/>
  <c r="H27" i="1"/>
  <c r="G27" i="1"/>
  <c r="F27" i="1"/>
  <c r="E27" i="1"/>
  <c r="Q10" i="7" l="1"/>
  <c r="S10" i="7" s="1"/>
  <c r="G10" i="7"/>
  <c r="D15" i="7"/>
  <c r="V49" i="7"/>
  <c r="F122" i="10" s="1"/>
  <c r="V42" i="7"/>
  <c r="F115" i="10" s="1"/>
  <c r="V80" i="7"/>
  <c r="F157" i="10" s="1"/>
  <c r="K123" i="12"/>
  <c r="K129" i="12"/>
  <c r="K127" i="12"/>
  <c r="V19" i="7"/>
  <c r="F90" i="10" s="1"/>
  <c r="V51" i="7"/>
  <c r="V38" i="7" s="1"/>
  <c r="F111" i="10" s="1"/>
  <c r="V28" i="7"/>
  <c r="V15" i="7" s="1"/>
  <c r="F86" i="10" s="1"/>
  <c r="V13" i="7"/>
  <c r="F84" i="10" s="1"/>
  <c r="V17" i="7"/>
  <c r="F88" i="10" s="1"/>
  <c r="V20" i="7"/>
  <c r="F91" i="10" s="1"/>
  <c r="V40" i="7"/>
  <c r="F113" i="10" s="1"/>
  <c r="V41" i="7"/>
  <c r="F114" i="10" s="1"/>
  <c r="V23" i="7"/>
  <c r="F94" i="10" s="1"/>
  <c r="V18" i="7"/>
  <c r="F89" i="10" s="1"/>
  <c r="V12" i="7"/>
  <c r="F83" i="10" s="1"/>
  <c r="V10" i="7"/>
  <c r="F81" i="10" s="1"/>
  <c r="V29" i="7"/>
  <c r="W15" i="7" s="1"/>
  <c r="G86" i="10" s="1"/>
  <c r="V25" i="7"/>
  <c r="F96" i="10" s="1"/>
  <c r="V11" i="7"/>
  <c r="F82" i="10" s="1"/>
  <c r="V14" i="7"/>
  <c r="F85" i="10" s="1"/>
  <c r="V33" i="7"/>
  <c r="F106" i="10" s="1"/>
  <c r="F43" i="12"/>
  <c r="F47" i="12"/>
  <c r="F38" i="12"/>
  <c r="F48" i="12"/>
  <c r="F40" i="12"/>
  <c r="F49" i="12"/>
  <c r="F36" i="12"/>
  <c r="F42" i="12"/>
  <c r="F46" i="12"/>
  <c r="F50" i="12"/>
  <c r="F55" i="12"/>
  <c r="F51" i="12"/>
  <c r="F52" i="12"/>
  <c r="F54" i="12"/>
  <c r="F37" i="12"/>
  <c r="F44" i="12"/>
  <c r="F45" i="12"/>
  <c r="G126" i="6"/>
  <c r="G127" i="6"/>
  <c r="G128" i="6"/>
  <c r="G130" i="6"/>
  <c r="G131" i="6"/>
  <c r="X11" i="7"/>
  <c r="H82" i="10" s="1"/>
  <c r="X37" i="7"/>
  <c r="H110" i="10" s="1"/>
  <c r="P123" i="12"/>
  <c r="P129" i="12"/>
  <c r="P141" i="12"/>
  <c r="P130" i="12"/>
  <c r="P131" i="12"/>
  <c r="P127" i="12"/>
  <c r="P132" i="12"/>
  <c r="P142" i="12"/>
  <c r="P133" i="12"/>
  <c r="P124" i="12"/>
  <c r="P134" i="12"/>
  <c r="P135" i="12"/>
  <c r="P136" i="12"/>
  <c r="P125" i="12"/>
  <c r="P137" i="12"/>
  <c r="P138" i="12"/>
  <c r="P139" i="12"/>
  <c r="D88" i="15"/>
  <c r="E88" i="15" s="1"/>
  <c r="L88" i="15" s="1"/>
  <c r="D8" i="13" s="1"/>
  <c r="D90" i="15"/>
  <c r="E90" i="15" s="1"/>
  <c r="L90" i="15" s="1"/>
  <c r="D19" i="13" s="1"/>
  <c r="D79" i="15"/>
  <c r="E79" i="15" s="1"/>
  <c r="L79" i="15" s="1"/>
  <c r="D7" i="13" s="1"/>
  <c r="D80" i="15"/>
  <c r="E80" i="15" s="1"/>
  <c r="L80" i="15" s="1"/>
  <c r="D13" i="13" s="1"/>
  <c r="D82" i="15"/>
  <c r="E82" i="15" s="1"/>
  <c r="L82" i="15" s="1"/>
  <c r="D14" i="13" s="1"/>
  <c r="D94" i="15"/>
  <c r="E94" i="15" s="1"/>
  <c r="L94" i="15" s="1"/>
  <c r="D22" i="13" s="1"/>
  <c r="D85" i="15"/>
  <c r="E85" i="15" s="1"/>
  <c r="L85" i="15" s="1"/>
  <c r="D16" i="13" s="1"/>
  <c r="D83" i="15"/>
  <c r="E83" i="15" s="1"/>
  <c r="D15" i="13" s="1"/>
  <c r="D95" i="15"/>
  <c r="E95" i="15" s="1"/>
  <c r="L95" i="15" s="1"/>
  <c r="D23" i="13" s="1"/>
  <c r="D84" i="15"/>
  <c r="E84" i="15" s="1"/>
  <c r="L84" i="15" s="1"/>
  <c r="D11" i="13" s="1"/>
  <c r="D89" i="15"/>
  <c r="E89" i="15" s="1"/>
  <c r="L89" i="15" s="1"/>
  <c r="D18" i="13" s="1"/>
  <c r="D87" i="15"/>
  <c r="E87" i="15" s="1"/>
  <c r="L87" i="15" s="1"/>
  <c r="D17" i="13" s="1"/>
  <c r="D93" i="15"/>
  <c r="E93" i="15" s="1"/>
  <c r="L93" i="15" s="1"/>
  <c r="D21" i="13" s="1"/>
  <c r="D81" i="15"/>
  <c r="E81" i="15" s="1"/>
  <c r="D25" i="13" s="1"/>
  <c r="D86" i="15"/>
  <c r="E86" i="15" s="1"/>
  <c r="L86" i="15" s="1"/>
  <c r="D26" i="13" s="1"/>
  <c r="D92" i="15"/>
  <c r="E92" i="15" s="1"/>
  <c r="L92" i="15" s="1"/>
  <c r="D9" i="13" s="1"/>
  <c r="D91" i="15"/>
  <c r="E91" i="15" s="1"/>
  <c r="L91" i="15" s="1"/>
  <c r="D20" i="13" s="1"/>
  <c r="D11" i="10"/>
  <c r="L5" i="10"/>
  <c r="D5" i="10"/>
  <c r="D33" i="10"/>
  <c r="D10" i="10"/>
  <c r="E10" i="10" s="1"/>
  <c r="D8" i="10"/>
  <c r="E8" i="10" s="1"/>
  <c r="D6" i="10"/>
  <c r="E6" i="10" s="1"/>
  <c r="L6" i="10" s="1"/>
  <c r="D7" i="10"/>
  <c r="E7" i="10" s="1"/>
  <c r="L7" i="10" s="1"/>
  <c r="D9" i="10"/>
  <c r="E9" i="10" s="1"/>
  <c r="L9" i="10" s="1"/>
  <c r="D12" i="10"/>
  <c r="E12" i="10" s="1"/>
  <c r="L12" i="10" s="1"/>
  <c r="D13" i="10"/>
  <c r="E13" i="10" s="1"/>
  <c r="L13" i="10" s="1"/>
  <c r="D14" i="10"/>
  <c r="E14" i="10" s="1"/>
  <c r="L14" i="10" s="1"/>
  <c r="D15" i="10"/>
  <c r="E15" i="10" s="1"/>
  <c r="L15" i="10" s="1"/>
  <c r="D16" i="10"/>
  <c r="E16" i="10" s="1"/>
  <c r="L16" i="10" s="1"/>
  <c r="D17" i="10"/>
  <c r="E17" i="10" s="1"/>
  <c r="L17" i="10" s="1"/>
  <c r="D18" i="10"/>
  <c r="E18" i="10" s="1"/>
  <c r="L18" i="10" s="1"/>
  <c r="D19" i="10"/>
  <c r="E19" i="10" s="1"/>
  <c r="L19" i="10" s="1"/>
  <c r="D20" i="10"/>
  <c r="E20" i="10" s="1"/>
  <c r="L20" i="10" s="1"/>
  <c r="D21" i="10"/>
  <c r="E21" i="10" s="1"/>
  <c r="L21" i="10" s="1"/>
  <c r="D22" i="10"/>
  <c r="E22" i="10" s="1"/>
  <c r="L22" i="10" s="1"/>
  <c r="W58" i="7"/>
  <c r="G133" i="10" s="1"/>
  <c r="V74" i="7"/>
  <c r="V61" i="7" s="1"/>
  <c r="F136" i="10" s="1"/>
  <c r="H127" i="6"/>
  <c r="H143" i="6" s="1"/>
  <c r="I127" i="6"/>
  <c r="E11" i="10"/>
  <c r="L11" i="10" s="1"/>
  <c r="M24" i="10"/>
  <c r="M25" i="10"/>
  <c r="W98" i="7"/>
  <c r="G179" i="10" s="1"/>
  <c r="V101" i="7"/>
  <c r="F182" i="10" s="1"/>
  <c r="F156" i="10"/>
  <c r="L120" i="6"/>
  <c r="E134" i="6"/>
  <c r="E120" i="6"/>
  <c r="E125" i="6"/>
  <c r="E126" i="6"/>
  <c r="E128" i="6"/>
  <c r="E129" i="6"/>
  <c r="E130" i="6"/>
  <c r="F126" i="6"/>
  <c r="F127" i="6"/>
  <c r="F128" i="6"/>
  <c r="F129" i="6"/>
  <c r="F130" i="6"/>
  <c r="F131" i="6"/>
  <c r="L125" i="6"/>
  <c r="L126" i="6"/>
  <c r="L127" i="6"/>
  <c r="L128" i="6"/>
  <c r="L129" i="6"/>
  <c r="L130" i="6"/>
  <c r="L131" i="6"/>
  <c r="V35" i="7"/>
  <c r="F108" i="10" s="1"/>
  <c r="Z129" i="12"/>
  <c r="Z131" i="12"/>
  <c r="Z132" i="12"/>
  <c r="Z133" i="12"/>
  <c r="Z124" i="12"/>
  <c r="Z134" i="12"/>
  <c r="E17" i="12"/>
  <c r="M15" i="15"/>
  <c r="E23" i="12"/>
  <c r="M23" i="15"/>
  <c r="H120" i="6"/>
  <c r="H98" i="6" s="1"/>
  <c r="H233" i="6"/>
  <c r="H226" i="6"/>
  <c r="K71" i="6"/>
  <c r="N71" i="6" s="1"/>
  <c r="O71" i="6" s="1"/>
  <c r="I49" i="14"/>
  <c r="I56" i="14"/>
  <c r="I78" i="14" s="1"/>
  <c r="I64" i="14"/>
  <c r="I86" i="14" s="1"/>
  <c r="I144" i="14"/>
  <c r="I166" i="14" s="1"/>
  <c r="I152" i="14"/>
  <c r="I174" i="14" s="1"/>
  <c r="I27" i="14"/>
  <c r="I71" i="14" s="1"/>
  <c r="I93" i="14" s="1"/>
  <c r="E145" i="14"/>
  <c r="E167" i="14" s="1"/>
  <c r="H146" i="14"/>
  <c r="H168" i="14" s="1"/>
  <c r="F148" i="14"/>
  <c r="F170" i="14" s="1"/>
  <c r="I149" i="14"/>
  <c r="I171" i="14" s="1"/>
  <c r="G151" i="14"/>
  <c r="G173" i="14" s="1"/>
  <c r="E153" i="14"/>
  <c r="E175" i="14" s="1"/>
  <c r="H154" i="14"/>
  <c r="H176" i="14" s="1"/>
  <c r="F156" i="14"/>
  <c r="F178" i="14" s="1"/>
  <c r="I157" i="14"/>
  <c r="I179" i="14" s="1"/>
  <c r="G159" i="14"/>
  <c r="G181" i="14" s="1"/>
  <c r="G144" i="14"/>
  <c r="G166" i="14" s="1"/>
  <c r="E146" i="14"/>
  <c r="E168" i="14" s="1"/>
  <c r="H147" i="14"/>
  <c r="H169" i="14" s="1"/>
  <c r="F149" i="14"/>
  <c r="F171" i="14" s="1"/>
  <c r="G152" i="14"/>
  <c r="G174" i="14" s="1"/>
  <c r="E154" i="14"/>
  <c r="E176" i="14" s="1"/>
  <c r="H155" i="14"/>
  <c r="H177" i="14" s="1"/>
  <c r="F157" i="14"/>
  <c r="F179" i="14" s="1"/>
  <c r="H145" i="14"/>
  <c r="H167" i="14" s="1"/>
  <c r="F147" i="14"/>
  <c r="F169" i="14" s="1"/>
  <c r="G150" i="14"/>
  <c r="G172" i="14" s="1"/>
  <c r="H153" i="14"/>
  <c r="H175" i="14" s="1"/>
  <c r="F155" i="14"/>
  <c r="F177" i="14" s="1"/>
  <c r="G158" i="14"/>
  <c r="G180" i="14" s="1"/>
  <c r="F144" i="14"/>
  <c r="F166" i="14" s="1"/>
  <c r="G147" i="14"/>
  <c r="G169" i="14" s="1"/>
  <c r="D11" i="15" s="1"/>
  <c r="E149" i="14"/>
  <c r="E171" i="14" s="1"/>
  <c r="H150" i="14"/>
  <c r="H172" i="14" s="1"/>
  <c r="F152" i="14"/>
  <c r="F174" i="14" s="1"/>
  <c r="G155" i="14"/>
  <c r="G177" i="14" s="1"/>
  <c r="E157" i="14"/>
  <c r="E179" i="14" s="1"/>
  <c r="H158" i="14"/>
  <c r="H180" i="14" s="1"/>
  <c r="E150" i="14"/>
  <c r="E172" i="14" s="1"/>
  <c r="E158" i="14"/>
  <c r="E180" i="14" s="1"/>
  <c r="E144" i="14"/>
  <c r="E166" i="14" s="1"/>
  <c r="E152" i="14"/>
  <c r="E174" i="14" s="1"/>
  <c r="G139" i="14"/>
  <c r="H144" i="14"/>
  <c r="H166" i="14" s="1"/>
  <c r="F146" i="14"/>
  <c r="F168" i="14" s="1"/>
  <c r="G149" i="14"/>
  <c r="G171" i="14" s="1"/>
  <c r="H152" i="14"/>
  <c r="H174" i="14" s="1"/>
  <c r="H139" i="14"/>
  <c r="G146" i="14"/>
  <c r="G168" i="14" s="1"/>
  <c r="H149" i="14"/>
  <c r="H171" i="14" s="1"/>
  <c r="F151" i="14"/>
  <c r="F173" i="14" s="1"/>
  <c r="G154" i="14"/>
  <c r="G176" i="14" s="1"/>
  <c r="H157" i="14"/>
  <c r="H179" i="14" s="1"/>
  <c r="F159" i="14"/>
  <c r="F181" i="14" s="1"/>
  <c r="G145" i="14"/>
  <c r="G167" i="14" s="1"/>
  <c r="H148" i="14"/>
  <c r="H170" i="14" s="1"/>
  <c r="F150" i="14"/>
  <c r="F172" i="14" s="1"/>
  <c r="G153" i="14"/>
  <c r="G175" i="14" s="1"/>
  <c r="H156" i="14"/>
  <c r="H178" i="14" s="1"/>
  <c r="E143" i="14"/>
  <c r="E165" i="14" s="1"/>
  <c r="E159" i="14"/>
  <c r="E181" i="14" s="1"/>
  <c r="E156" i="14"/>
  <c r="E178" i="14" s="1"/>
  <c r="E148" i="14"/>
  <c r="E170" i="14" s="1"/>
  <c r="E147" i="14"/>
  <c r="E169" i="14" s="1"/>
  <c r="E155" i="14"/>
  <c r="E177" i="14" s="1"/>
  <c r="H55" i="14"/>
  <c r="H77" i="14" s="1"/>
  <c r="F63" i="14"/>
  <c r="F85" i="14" s="1"/>
  <c r="G66" i="14"/>
  <c r="G88" i="14" s="1"/>
  <c r="H69" i="14"/>
  <c r="H91" i="14" s="1"/>
  <c r="E58" i="14"/>
  <c r="E80" i="14" s="1"/>
  <c r="E66" i="14"/>
  <c r="E88" i="14" s="1"/>
  <c r="F55" i="14"/>
  <c r="F77" i="14" s="1"/>
  <c r="G58" i="14"/>
  <c r="G80" i="14" s="1"/>
  <c r="H61" i="14"/>
  <c r="H83" i="14" s="1"/>
  <c r="E54" i="14"/>
  <c r="E76" i="14" s="1"/>
  <c r="E62" i="14"/>
  <c r="E84" i="14" s="1"/>
  <c r="E55" i="14"/>
  <c r="E77" i="14" s="1"/>
  <c r="E63" i="14"/>
  <c r="E85" i="14" s="1"/>
  <c r="E68" i="14"/>
  <c r="E90" i="14" s="1"/>
  <c r="E60" i="14"/>
  <c r="E82" i="14" s="1"/>
  <c r="E59" i="14"/>
  <c r="E81" i="14" s="1"/>
  <c r="E67" i="14"/>
  <c r="E89" i="14" s="1"/>
  <c r="H117" i="14"/>
  <c r="G136" i="6"/>
  <c r="F125" i="6"/>
  <c r="L70" i="6"/>
  <c r="L50" i="6"/>
  <c r="J226" i="6"/>
  <c r="G68" i="6"/>
  <c r="G134" i="6"/>
  <c r="G139" i="6"/>
  <c r="G138" i="6"/>
  <c r="I226" i="6"/>
  <c r="I50" i="6"/>
  <c r="I139" i="6"/>
  <c r="I70" i="6"/>
  <c r="F50" i="6"/>
  <c r="G232" i="6"/>
  <c r="F68" i="6"/>
  <c r="G140" i="6"/>
  <c r="I120" i="6"/>
  <c r="I98" i="6" s="1"/>
  <c r="N23" i="6"/>
  <c r="F100" i="12"/>
  <c r="F106" i="12"/>
  <c r="F107" i="12"/>
  <c r="F101" i="12"/>
  <c r="F102" i="12"/>
  <c r="F109" i="12"/>
  <c r="F95" i="12"/>
  <c r="F112" i="12"/>
  <c r="F96" i="12"/>
  <c r="F98" i="12"/>
  <c r="F105" i="12"/>
  <c r="F94" i="12"/>
  <c r="F113" i="12"/>
  <c r="F108" i="12"/>
  <c r="F103" i="12"/>
  <c r="F104" i="12"/>
  <c r="F110" i="12"/>
  <c r="U139" i="12"/>
  <c r="U138" i="12"/>
  <c r="U137" i="12"/>
  <c r="U136" i="12"/>
  <c r="U135" i="12"/>
  <c r="U125" i="12"/>
  <c r="Z139" i="12"/>
  <c r="AA139" i="12" s="1"/>
  <c r="Z138" i="12"/>
  <c r="AA138" i="12" s="1"/>
  <c r="Z137" i="12"/>
  <c r="AA137" i="12" s="1"/>
  <c r="Z136" i="12"/>
  <c r="AA136" i="12" s="1"/>
  <c r="Z135" i="12"/>
  <c r="AA135" i="12" s="1"/>
  <c r="Z125" i="12"/>
  <c r="AA125" i="12" s="1"/>
  <c r="Q11" i="7"/>
  <c r="S11" i="7" s="1"/>
  <c r="Y11" i="7"/>
  <c r="I82" i="10" s="1"/>
  <c r="W11" i="7"/>
  <c r="G82" i="10" s="1"/>
  <c r="O11" i="7"/>
  <c r="I11" i="7"/>
  <c r="K11" i="7" s="1"/>
  <c r="G11" i="7"/>
  <c r="W12" i="7"/>
  <c r="Y12" i="7"/>
  <c r="I83" i="10" s="1"/>
  <c r="O12" i="7"/>
  <c r="I12" i="7"/>
  <c r="K12" i="7" s="1"/>
  <c r="G12" i="7"/>
  <c r="W13" i="7"/>
  <c r="Y13" i="7"/>
  <c r="I84" i="10" s="1"/>
  <c r="Q13" i="7"/>
  <c r="S13" i="7" s="1"/>
  <c r="O13" i="7"/>
  <c r="I13" i="7"/>
  <c r="K13" i="7" s="1"/>
  <c r="G13" i="7"/>
  <c r="I14" i="7"/>
  <c r="K14" i="7" s="1"/>
  <c r="O14" i="7"/>
  <c r="O16" i="7"/>
  <c r="I16" i="7"/>
  <c r="K16" i="7" s="1"/>
  <c r="I17" i="7"/>
  <c r="K17" i="7" s="1"/>
  <c r="W17" i="7"/>
  <c r="Q17" i="7"/>
  <c r="S17" i="7" s="1"/>
  <c r="G17" i="7"/>
  <c r="O18" i="7"/>
  <c r="Y18" i="7"/>
  <c r="I89" i="10" s="1"/>
  <c r="W18" i="7"/>
  <c r="Q18" i="7"/>
  <c r="S18" i="7" s="1"/>
  <c r="G18" i="7"/>
  <c r="Y19" i="7"/>
  <c r="I90" i="10" s="1"/>
  <c r="W19" i="7"/>
  <c r="Q19" i="7"/>
  <c r="S19" i="7" s="1"/>
  <c r="I19" i="7"/>
  <c r="K19" i="7" s="1"/>
  <c r="G19" i="7"/>
  <c r="W21" i="7"/>
  <c r="Y21" i="7"/>
  <c r="I92" i="10" s="1"/>
  <c r="Q21" i="7"/>
  <c r="S21" i="7" s="1"/>
  <c r="O21" i="7"/>
  <c r="I21" i="7"/>
  <c r="K21" i="7" s="1"/>
  <c r="G21" i="7"/>
  <c r="Y22" i="7"/>
  <c r="I93" i="10" s="1"/>
  <c r="W22" i="7"/>
  <c r="Q22" i="7"/>
  <c r="S22" i="7" s="1"/>
  <c r="I22" i="7"/>
  <c r="K22" i="7" s="1"/>
  <c r="G22" i="7"/>
  <c r="W23" i="7"/>
  <c r="Q23" i="7"/>
  <c r="S23" i="7" s="1"/>
  <c r="I23" i="7"/>
  <c r="K23" i="7" s="1"/>
  <c r="I24" i="7"/>
  <c r="K24" i="7" s="1"/>
  <c r="W24" i="7"/>
  <c r="Q24" i="7"/>
  <c r="S24" i="7" s="1"/>
  <c r="G24" i="7"/>
  <c r="Y28" i="7"/>
  <c r="O28" i="7"/>
  <c r="I28" i="7"/>
  <c r="K28" i="7" s="1"/>
  <c r="W29" i="7"/>
  <c r="O29" i="7"/>
  <c r="W33" i="7"/>
  <c r="G106" i="10" s="1"/>
  <c r="Y33" i="7"/>
  <c r="I106" i="10" s="1"/>
  <c r="Q33" i="7"/>
  <c r="S33" i="7" s="1"/>
  <c r="O33" i="7"/>
  <c r="I33" i="7"/>
  <c r="K33" i="7" s="1"/>
  <c r="G33" i="7"/>
  <c r="Y34" i="7"/>
  <c r="I107" i="10" s="1"/>
  <c r="W34" i="7"/>
  <c r="G107" i="10" s="1"/>
  <c r="Q34" i="7"/>
  <c r="S34" i="7" s="1"/>
  <c r="I34" i="7"/>
  <c r="K34" i="7" s="1"/>
  <c r="G34" i="7"/>
  <c r="W36" i="7"/>
  <c r="G109" i="10" s="1"/>
  <c r="Y36" i="7"/>
  <c r="I109" i="10" s="1"/>
  <c r="Q36" i="7"/>
  <c r="S36" i="7" s="1"/>
  <c r="I36" i="7"/>
  <c r="K36" i="7" s="1"/>
  <c r="I39" i="7"/>
  <c r="K39" i="7" s="1"/>
  <c r="Y39" i="7"/>
  <c r="I112" i="10" s="1"/>
  <c r="W39" i="7"/>
  <c r="G112" i="10" s="1"/>
  <c r="O39" i="7"/>
  <c r="G39" i="7"/>
  <c r="W41" i="7"/>
  <c r="G114" i="10" s="1"/>
  <c r="Y41" i="7"/>
  <c r="I114" i="10" s="1"/>
  <c r="Q41" i="7"/>
  <c r="S41" i="7" s="1"/>
  <c r="O41" i="7"/>
  <c r="I41" i="7"/>
  <c r="K41" i="7" s="1"/>
  <c r="G41" i="7"/>
  <c r="O42" i="7"/>
  <c r="Y42" i="7"/>
  <c r="I115" i="10" s="1"/>
  <c r="W43" i="7"/>
  <c r="G116" i="10" s="1"/>
  <c r="I43" i="7"/>
  <c r="K43" i="7" s="1"/>
  <c r="Y44" i="7"/>
  <c r="I117" i="10" s="1"/>
  <c r="W44" i="7"/>
  <c r="G117" i="10" s="1"/>
  <c r="Q44" i="7"/>
  <c r="S44" i="7" s="1"/>
  <c r="I44" i="7"/>
  <c r="K44" i="7" s="1"/>
  <c r="G44" i="7"/>
  <c r="I45" i="7"/>
  <c r="K45" i="7" s="1"/>
  <c r="W45" i="7"/>
  <c r="G118" i="10" s="1"/>
  <c r="Q45" i="7"/>
  <c r="S45" i="7" s="1"/>
  <c r="G45" i="7"/>
  <c r="W47" i="7"/>
  <c r="G120" i="10" s="1"/>
  <c r="Y47" i="7"/>
  <c r="I120" i="10" s="1"/>
  <c r="I47" i="7"/>
  <c r="K47" i="7" s="1"/>
  <c r="W49" i="7"/>
  <c r="G122" i="10" s="1"/>
  <c r="Y49" i="7"/>
  <c r="I122" i="10" s="1"/>
  <c r="Q49" i="7"/>
  <c r="S49" i="7" s="1"/>
  <c r="O49" i="7"/>
  <c r="I49" i="7"/>
  <c r="K49" i="7" s="1"/>
  <c r="G49" i="7"/>
  <c r="I51" i="7"/>
  <c r="K51" i="7" s="1"/>
  <c r="Y51" i="7"/>
  <c r="Y56" i="7"/>
  <c r="I131" i="10" s="1"/>
  <c r="O56" i="7"/>
  <c r="Y57" i="7"/>
  <c r="I132" i="10" s="1"/>
  <c r="O57" i="7"/>
  <c r="O62" i="7"/>
  <c r="W62" i="7"/>
  <c r="G137" i="10" s="1"/>
  <c r="I62" i="7"/>
  <c r="K62" i="7" s="1"/>
  <c r="W63" i="7"/>
  <c r="G138" i="10" s="1"/>
  <c r="Q63" i="7"/>
  <c r="S63" i="7" s="1"/>
  <c r="O63" i="7"/>
  <c r="Q64" i="7"/>
  <c r="S64" i="7" s="1"/>
  <c r="Y64" i="7"/>
  <c r="I139" i="10" s="1"/>
  <c r="W64" i="7"/>
  <c r="G139" i="10" s="1"/>
  <c r="G64" i="7"/>
  <c r="Y65" i="7"/>
  <c r="I140" i="10" s="1"/>
  <c r="W65" i="7"/>
  <c r="G140" i="10" s="1"/>
  <c r="Q65" i="7"/>
  <c r="S65" i="7" s="1"/>
  <c r="G65" i="7"/>
  <c r="Y66" i="7"/>
  <c r="I141" i="10" s="1"/>
  <c r="W66" i="7"/>
  <c r="G141" i="10" s="1"/>
  <c r="I66" i="7"/>
  <c r="K66" i="7" s="1"/>
  <c r="G66" i="7"/>
  <c r="W67" i="7"/>
  <c r="G142" i="10" s="1"/>
  <c r="Y67" i="7"/>
  <c r="I142" i="10" s="1"/>
  <c r="Q67" i="7"/>
  <c r="S67" i="7" s="1"/>
  <c r="O67" i="7"/>
  <c r="I67" i="7"/>
  <c r="K67" i="7" s="1"/>
  <c r="G67" i="7"/>
  <c r="W68" i="7"/>
  <c r="G143" i="10" s="1"/>
  <c r="Y68" i="7"/>
  <c r="I143" i="10" s="1"/>
  <c r="O68" i="7"/>
  <c r="I68" i="7"/>
  <c r="K68" i="7" s="1"/>
  <c r="G68" i="7"/>
  <c r="W69" i="7"/>
  <c r="G144" i="10" s="1"/>
  <c r="Y69" i="7"/>
  <c r="I144" i="10" s="1"/>
  <c r="Q69" i="7"/>
  <c r="S69" i="7" s="1"/>
  <c r="O69" i="7"/>
  <c r="I69" i="7"/>
  <c r="K69" i="7" s="1"/>
  <c r="G69" i="7"/>
  <c r="W70" i="7"/>
  <c r="G145" i="10" s="1"/>
  <c r="Y70" i="7"/>
  <c r="I145" i="10" s="1"/>
  <c r="Q70" i="7"/>
  <c r="S70" i="7" s="1"/>
  <c r="O70" i="7"/>
  <c r="I70" i="7"/>
  <c r="K70" i="7" s="1"/>
  <c r="G70" i="7"/>
  <c r="Y74" i="7"/>
  <c r="Q74" i="7"/>
  <c r="S74" i="7" s="1"/>
  <c r="G74" i="7"/>
  <c r="Y79" i="7"/>
  <c r="I156" i="10" s="1"/>
  <c r="Q79" i="7"/>
  <c r="S79" i="7" s="1"/>
  <c r="I79" i="7"/>
  <c r="K79" i="7" s="1"/>
  <c r="G79" i="7"/>
  <c r="Y80" i="7"/>
  <c r="I157" i="10" s="1"/>
  <c r="O80" i="7"/>
  <c r="G80" i="7"/>
  <c r="Q81" i="7"/>
  <c r="S81" i="7" s="1"/>
  <c r="G81" i="7"/>
  <c r="W82" i="7"/>
  <c r="G159" i="10" s="1"/>
  <c r="Y82" i="7"/>
  <c r="I159" i="10" s="1"/>
  <c r="Q82" i="7"/>
  <c r="O82" i="7"/>
  <c r="Y83" i="7"/>
  <c r="I160" i="10" s="1"/>
  <c r="Q83" i="7"/>
  <c r="S83" i="7" s="1"/>
  <c r="W84" i="7"/>
  <c r="G161" i="10" s="1"/>
  <c r="Q84" i="7"/>
  <c r="S84" i="7" s="1"/>
  <c r="I84" i="7"/>
  <c r="K84" i="7" s="1"/>
  <c r="Y85" i="7"/>
  <c r="I162" i="10" s="1"/>
  <c r="W85" i="7"/>
  <c r="G162" i="10" s="1"/>
  <c r="Q85" i="7"/>
  <c r="S85" i="7" s="1"/>
  <c r="I85" i="7"/>
  <c r="K85" i="7" s="1"/>
  <c r="G85" i="7"/>
  <c r="Y88" i="7"/>
  <c r="I165" i="10" s="1"/>
  <c r="Q88" i="7"/>
  <c r="S88" i="7" s="1"/>
  <c r="I88" i="7"/>
  <c r="K88" i="7" s="1"/>
  <c r="G88" i="7"/>
  <c r="Q89" i="7"/>
  <c r="S89" i="7" s="1"/>
  <c r="W89" i="7"/>
  <c r="G166" i="10" s="1"/>
  <c r="I89" i="7"/>
  <c r="K89" i="7" s="1"/>
  <c r="G89" i="7"/>
  <c r="W93" i="7"/>
  <c r="G175" i="10" s="1"/>
  <c r="Y93" i="7"/>
  <c r="I175" i="10" s="1"/>
  <c r="Q93" i="7"/>
  <c r="S93" i="7" s="1"/>
  <c r="O93" i="7"/>
  <c r="I93" i="7"/>
  <c r="K93" i="7" s="1"/>
  <c r="G93" i="7"/>
  <c r="Y94" i="7"/>
  <c r="I176" i="10" s="1"/>
  <c r="Q94" i="7"/>
  <c r="S94" i="7" s="1"/>
  <c r="I94" i="7"/>
  <c r="K94" i="7" s="1"/>
  <c r="G94" i="7"/>
  <c r="Y102" i="7"/>
  <c r="I183" i="10" s="1"/>
  <c r="Q102" i="7"/>
  <c r="S102" i="7" s="1"/>
  <c r="G54" i="14"/>
  <c r="G76" i="14" s="1"/>
  <c r="E56" i="14"/>
  <c r="E78" i="14" s="1"/>
  <c r="H57" i="14"/>
  <c r="H79" i="14" s="1"/>
  <c r="F59" i="14"/>
  <c r="F81" i="14" s="1"/>
  <c r="I60" i="14"/>
  <c r="I82" i="14" s="1"/>
  <c r="G62" i="14"/>
  <c r="G84" i="14" s="1"/>
  <c r="E64" i="14"/>
  <c r="E86" i="14" s="1"/>
  <c r="H65" i="14"/>
  <c r="H87" i="14" s="1"/>
  <c r="I65" i="14"/>
  <c r="I87" i="14" s="1"/>
  <c r="G67" i="14"/>
  <c r="G89" i="14" s="1"/>
  <c r="I147" i="14"/>
  <c r="I169" i="14" s="1"/>
  <c r="E151" i="14"/>
  <c r="E173" i="14" s="1"/>
  <c r="F154" i="14"/>
  <c r="F176" i="14" s="1"/>
  <c r="G157" i="14"/>
  <c r="G179" i="14" s="1"/>
  <c r="G226" i="6"/>
  <c r="J28" i="6"/>
  <c r="G28" i="6"/>
  <c r="F191" i="6"/>
  <c r="F168" i="6" s="1"/>
  <c r="D31" i="10"/>
  <c r="D32" i="10"/>
  <c r="D34" i="10"/>
  <c r="E34" i="10" s="1"/>
  <c r="L34" i="10" s="1"/>
  <c r="M35" i="10"/>
  <c r="F73" i="12"/>
  <c r="M36" i="10"/>
  <c r="F69" i="12"/>
  <c r="M37" i="10"/>
  <c r="F74" i="12"/>
  <c r="M38" i="10"/>
  <c r="F84" i="12"/>
  <c r="M39" i="10"/>
  <c r="F75" i="12"/>
  <c r="M40" i="10"/>
  <c r="F66" i="12"/>
  <c r="M41" i="10"/>
  <c r="F76" i="12"/>
  <c r="M42" i="10"/>
  <c r="F77" i="12"/>
  <c r="M43" i="10"/>
  <c r="F78" i="12"/>
  <c r="M44" i="10"/>
  <c r="F67" i="12"/>
  <c r="M45" i="10"/>
  <c r="F79" i="12"/>
  <c r="M46" i="10"/>
  <c r="F80" i="12"/>
  <c r="M47" i="10"/>
  <c r="F81" i="12"/>
  <c r="J130" i="6"/>
  <c r="J131" i="6"/>
  <c r="J132" i="6"/>
  <c r="J135" i="6"/>
  <c r="J139" i="6"/>
  <c r="O110" i="10"/>
  <c r="K131" i="12"/>
  <c r="K131" i="6"/>
  <c r="K132" i="12"/>
  <c r="K132" i="6"/>
  <c r="K142" i="12"/>
  <c r="K133" i="6"/>
  <c r="N133" i="6" s="1"/>
  <c r="O133" i="6" s="1"/>
  <c r="K133" i="12"/>
  <c r="K120" i="6"/>
  <c r="O177" i="10"/>
  <c r="Z130" i="12"/>
  <c r="O179" i="10"/>
  <c r="Z127" i="12"/>
  <c r="O181" i="10"/>
  <c r="Z142" i="12"/>
  <c r="M31" i="10"/>
  <c r="F65" i="12"/>
  <c r="M32" i="10"/>
  <c r="F71" i="12"/>
  <c r="M33" i="10"/>
  <c r="F83" i="12"/>
  <c r="J140" i="6"/>
  <c r="O87" i="10"/>
  <c r="F132" i="12"/>
  <c r="K128" i="6"/>
  <c r="K130" i="12"/>
  <c r="O121" i="10"/>
  <c r="K138" i="12"/>
  <c r="J126" i="6"/>
  <c r="O83" i="10"/>
  <c r="F141" i="12"/>
  <c r="O96" i="10"/>
  <c r="F138" i="12"/>
  <c r="K127" i="6"/>
  <c r="K141" i="12"/>
  <c r="O117" i="10"/>
  <c r="K135" i="12"/>
  <c r="K138" i="6"/>
  <c r="N138" i="6" s="1"/>
  <c r="O138" i="6" s="1"/>
  <c r="K125" i="12"/>
  <c r="K139" i="6"/>
  <c r="K137" i="12"/>
  <c r="J128" i="6"/>
  <c r="O95" i="10"/>
  <c r="F137" i="12"/>
  <c r="J127" i="6"/>
  <c r="K137" i="6"/>
  <c r="N137" i="6" s="1"/>
  <c r="O137" i="6" s="1"/>
  <c r="K136" i="12"/>
  <c r="N11" i="7"/>
  <c r="N17" i="7"/>
  <c r="P14" i="7"/>
  <c r="N10" i="7"/>
  <c r="D35" i="10"/>
  <c r="D36" i="10"/>
  <c r="D37" i="10"/>
  <c r="D38" i="10"/>
  <c r="D39" i="10"/>
  <c r="D40" i="10"/>
  <c r="D41" i="10"/>
  <c r="D42" i="10"/>
  <c r="D43" i="10"/>
  <c r="D44" i="10"/>
  <c r="D45" i="10"/>
  <c r="D46" i="10"/>
  <c r="D47" i="10"/>
  <c r="P11" i="7"/>
  <c r="X69" i="7"/>
  <c r="H144" i="10" s="1"/>
  <c r="P75" i="7"/>
  <c r="Q61" i="7" s="1"/>
  <c r="N28" i="7"/>
  <c r="N15" i="7" s="1"/>
  <c r="N56" i="7"/>
  <c r="N88" i="7"/>
  <c r="P20" i="7"/>
  <c r="P25" i="7"/>
  <c r="O37" i="7"/>
  <c r="N40" i="7"/>
  <c r="N42" i="7"/>
  <c r="V88" i="7"/>
  <c r="F165" i="10" s="1"/>
  <c r="N22" i="7"/>
  <c r="N26" i="7"/>
  <c r="O35" i="7"/>
  <c r="P13" i="7"/>
  <c r="P19" i="7"/>
  <c r="P24" i="7"/>
  <c r="P26" i="7"/>
  <c r="N39" i="7"/>
  <c r="P48" i="7"/>
  <c r="N51" i="7"/>
  <c r="N38" i="7" s="1"/>
  <c r="D61" i="10"/>
  <c r="E61" i="10" s="1"/>
  <c r="L61" i="10" s="1"/>
  <c r="D60" i="10"/>
  <c r="E60" i="10" s="1"/>
  <c r="D57" i="10"/>
  <c r="E57" i="10" s="1"/>
  <c r="L57" i="10" s="1"/>
  <c r="D69" i="10"/>
  <c r="E69" i="10" s="1"/>
  <c r="L69" i="10" s="1"/>
  <c r="D58" i="10"/>
  <c r="E58" i="10" s="1"/>
  <c r="D72" i="10"/>
  <c r="E72" i="10" s="1"/>
  <c r="L72" i="10" s="1"/>
  <c r="D56" i="10"/>
  <c r="E56" i="10" s="1"/>
  <c r="L56" i="10" s="1"/>
  <c r="D67" i="10"/>
  <c r="E67" i="10" s="1"/>
  <c r="L67" i="10" s="1"/>
  <c r="D70" i="10"/>
  <c r="E70" i="10" s="1"/>
  <c r="L70" i="10" s="1"/>
  <c r="D71" i="10"/>
  <c r="E71" i="10" s="1"/>
  <c r="L71" i="10" s="1"/>
  <c r="D66" i="10"/>
  <c r="E66" i="10" s="1"/>
  <c r="L66" i="10" s="1"/>
  <c r="D68" i="10"/>
  <c r="E68" i="10" s="1"/>
  <c r="L68" i="10" s="1"/>
  <c r="D63" i="10"/>
  <c r="E63" i="10" s="1"/>
  <c r="L63" i="10" s="1"/>
  <c r="D64" i="10"/>
  <c r="E64" i="10" s="1"/>
  <c r="L64" i="10" s="1"/>
  <c r="D65" i="10"/>
  <c r="E65" i="10" s="1"/>
  <c r="L65" i="10" s="1"/>
  <c r="D62" i="10"/>
  <c r="E62" i="10" s="1"/>
  <c r="L62" i="10" s="1"/>
  <c r="D59" i="10"/>
  <c r="E59" i="10" s="1"/>
  <c r="L59" i="10" s="1"/>
  <c r="D78" i="15"/>
  <c r="L55" i="10"/>
  <c r="D55" i="10"/>
  <c r="L30" i="10"/>
  <c r="D30" i="10"/>
  <c r="N16" i="7"/>
  <c r="P29" i="7"/>
  <c r="N65" i="7"/>
  <c r="N287" i="6"/>
  <c r="J50" i="6"/>
  <c r="N151" i="6"/>
  <c r="O151" i="6" s="1"/>
  <c r="N152" i="6"/>
  <c r="O152" i="6" s="1"/>
  <c r="L226" i="6"/>
  <c r="E50" i="6"/>
  <c r="N289" i="6"/>
  <c r="N290" i="6"/>
  <c r="N292" i="6"/>
  <c r="N293" i="6"/>
  <c r="N298" i="6"/>
  <c r="L28" i="6"/>
  <c r="N202" i="6"/>
  <c r="O202" i="6" s="1"/>
  <c r="J120" i="6"/>
  <c r="J98" i="6" s="1"/>
  <c r="H236" i="6"/>
  <c r="N282" i="6"/>
  <c r="N283" i="6"/>
  <c r="N286" i="6"/>
  <c r="I58" i="6"/>
  <c r="I66" i="6"/>
  <c r="K50" i="6"/>
  <c r="K65" i="6"/>
  <c r="N156" i="6"/>
  <c r="O156" i="6" s="1"/>
  <c r="N157" i="6"/>
  <c r="O157" i="6" s="1"/>
  <c r="N159" i="6"/>
  <c r="O159" i="6" s="1"/>
  <c r="N160" i="6"/>
  <c r="O160" i="6" s="1"/>
  <c r="N161" i="6"/>
  <c r="O161" i="6" s="1"/>
  <c r="N163" i="6"/>
  <c r="O163" i="6" s="1"/>
  <c r="N174" i="6"/>
  <c r="O174" i="6" s="1"/>
  <c r="N176" i="6"/>
  <c r="O176" i="6" s="1"/>
  <c r="N177" i="6"/>
  <c r="O177" i="6" s="1"/>
  <c r="N178" i="6"/>
  <c r="O178" i="6" s="1"/>
  <c r="N180" i="6"/>
  <c r="O180" i="6" s="1"/>
  <c r="N181" i="6"/>
  <c r="O181" i="6" s="1"/>
  <c r="N182" i="6"/>
  <c r="O182" i="6" s="1"/>
  <c r="N189" i="6"/>
  <c r="O189" i="6" s="1"/>
  <c r="K235" i="6"/>
  <c r="N235" i="6" s="1"/>
  <c r="O235" i="6" s="1"/>
  <c r="K240" i="6"/>
  <c r="K241" i="6"/>
  <c r="N13" i="6"/>
  <c r="N16" i="6"/>
  <c r="N20" i="6"/>
  <c r="N203" i="6"/>
  <c r="O203" i="6" s="1"/>
  <c r="N198" i="6"/>
  <c r="O198" i="6" s="1"/>
  <c r="H301" i="6"/>
  <c r="E25" i="11" s="1"/>
  <c r="I237" i="6"/>
  <c r="J301" i="6"/>
  <c r="G25" i="11" s="1"/>
  <c r="N12" i="6"/>
  <c r="I62" i="6"/>
  <c r="H68" i="6"/>
  <c r="J235" i="6"/>
  <c r="J241" i="6"/>
  <c r="K226" i="6"/>
  <c r="L323" i="6"/>
  <c r="F136" i="6"/>
  <c r="F138" i="6"/>
  <c r="F241" i="6"/>
  <c r="E239" i="6"/>
  <c r="E241" i="6"/>
  <c r="I234" i="6"/>
  <c r="I238" i="6"/>
  <c r="N288" i="6"/>
  <c r="N25" i="6"/>
  <c r="H55" i="6"/>
  <c r="H28" i="6"/>
  <c r="H73" i="6" s="1"/>
  <c r="H57" i="6"/>
  <c r="H58" i="6"/>
  <c r="H59" i="6"/>
  <c r="H61" i="6"/>
  <c r="H62" i="6"/>
  <c r="H63" i="6"/>
  <c r="H65" i="6"/>
  <c r="H66" i="6"/>
  <c r="H67" i="6"/>
  <c r="G55" i="6"/>
  <c r="G59" i="6"/>
  <c r="G63" i="6"/>
  <c r="G67" i="6"/>
  <c r="G71" i="6"/>
  <c r="G125" i="6"/>
  <c r="G129" i="6"/>
  <c r="G133" i="6"/>
  <c r="G141" i="6"/>
  <c r="K136" i="6"/>
  <c r="J233" i="6"/>
  <c r="G238" i="6"/>
  <c r="N207" i="6"/>
  <c r="O207" i="6" s="1"/>
  <c r="L98" i="6"/>
  <c r="H191" i="6"/>
  <c r="H168" i="6" s="1"/>
  <c r="I55" i="6"/>
  <c r="I28" i="6"/>
  <c r="I57" i="6"/>
  <c r="I59" i="6"/>
  <c r="I60" i="6"/>
  <c r="I61" i="6"/>
  <c r="I63" i="6"/>
  <c r="I64" i="6"/>
  <c r="I65" i="6"/>
  <c r="I67" i="6"/>
  <c r="I68" i="6"/>
  <c r="L191" i="6"/>
  <c r="L168" i="6" s="1"/>
  <c r="N199" i="6"/>
  <c r="O199" i="6" s="1"/>
  <c r="G231" i="6"/>
  <c r="J239" i="6"/>
  <c r="L277" i="6"/>
  <c r="N285" i="6"/>
  <c r="N294" i="6"/>
  <c r="N295" i="6"/>
  <c r="L232" i="6"/>
  <c r="L233" i="6"/>
  <c r="I231" i="6"/>
  <c r="E301" i="6"/>
  <c r="N284" i="6"/>
  <c r="N299" i="6"/>
  <c r="K55" i="6"/>
  <c r="N55" i="6" s="1"/>
  <c r="O55" i="6" s="1"/>
  <c r="K56" i="6"/>
  <c r="N56" i="6" s="1"/>
  <c r="O56" i="6" s="1"/>
  <c r="K58" i="6"/>
  <c r="K59" i="6"/>
  <c r="K60" i="6"/>
  <c r="K62" i="6"/>
  <c r="K63" i="6"/>
  <c r="N63" i="6" s="1"/>
  <c r="O63" i="6" s="1"/>
  <c r="K64" i="6"/>
  <c r="K66" i="6"/>
  <c r="K67" i="6"/>
  <c r="K68" i="6"/>
  <c r="N68" i="6" s="1"/>
  <c r="O68" i="6" s="1"/>
  <c r="J59" i="6"/>
  <c r="J63" i="6"/>
  <c r="J67" i="6"/>
  <c r="J71" i="6"/>
  <c r="J129" i="6"/>
  <c r="J133" i="6"/>
  <c r="J134" i="6"/>
  <c r="J136" i="6"/>
  <c r="J138" i="6"/>
  <c r="N201" i="6"/>
  <c r="O201" i="6" s="1"/>
  <c r="N24" i="6"/>
  <c r="N82" i="6"/>
  <c r="O82" i="6" s="1"/>
  <c r="N86" i="6"/>
  <c r="O86" i="6" s="1"/>
  <c r="N90" i="6"/>
  <c r="O90" i="6" s="1"/>
  <c r="N91" i="6"/>
  <c r="O91" i="6" s="1"/>
  <c r="N94" i="6"/>
  <c r="O94" i="6" s="1"/>
  <c r="N95" i="6"/>
  <c r="O95" i="6" s="1"/>
  <c r="E98" i="6"/>
  <c r="L210" i="6"/>
  <c r="K237" i="6"/>
  <c r="J55" i="6"/>
  <c r="O139" i="10"/>
  <c r="O144" i="10"/>
  <c r="I323" i="6"/>
  <c r="N17" i="6"/>
  <c r="N21" i="6"/>
  <c r="G50" i="6"/>
  <c r="O106" i="10"/>
  <c r="N83" i="6"/>
  <c r="O83" i="6" s="1"/>
  <c r="O122" i="10"/>
  <c r="J323" i="6"/>
  <c r="E135" i="6"/>
  <c r="E136" i="6"/>
  <c r="O138" i="10"/>
  <c r="N165" i="6"/>
  <c r="O165" i="6" s="1"/>
  <c r="N179" i="6"/>
  <c r="O179" i="6" s="1"/>
  <c r="N187" i="6"/>
  <c r="O187" i="6" s="1"/>
  <c r="E264" i="11"/>
  <c r="H238" i="6"/>
  <c r="K236" i="6"/>
  <c r="K323" i="6"/>
  <c r="N10" i="6"/>
  <c r="N14" i="6"/>
  <c r="N18" i="6"/>
  <c r="N22" i="6"/>
  <c r="N26" i="6"/>
  <c r="K28" i="6"/>
  <c r="E57" i="6"/>
  <c r="E61" i="6"/>
  <c r="E65" i="6"/>
  <c r="E69" i="6"/>
  <c r="N80" i="6"/>
  <c r="O80" i="6" s="1"/>
  <c r="O107" i="10"/>
  <c r="N84" i="6"/>
  <c r="O84" i="6" s="1"/>
  <c r="O111" i="10"/>
  <c r="N88" i="6"/>
  <c r="O88" i="6" s="1"/>
  <c r="O115" i="10"/>
  <c r="N92" i="6"/>
  <c r="O92" i="6" s="1"/>
  <c r="O119" i="10"/>
  <c r="N96" i="6"/>
  <c r="O96" i="6" s="1"/>
  <c r="E127" i="6"/>
  <c r="E131" i="6"/>
  <c r="K140" i="6"/>
  <c r="K141" i="6"/>
  <c r="N141" i="6" s="1"/>
  <c r="O141" i="6" s="1"/>
  <c r="O134" i="10"/>
  <c r="O143" i="10"/>
  <c r="N166" i="6"/>
  <c r="O166" i="6" s="1"/>
  <c r="E191" i="6"/>
  <c r="E168" i="6" s="1"/>
  <c r="D258" i="11"/>
  <c r="G210" i="6"/>
  <c r="G263" i="11"/>
  <c r="J237" i="6"/>
  <c r="F265" i="11"/>
  <c r="I239" i="6"/>
  <c r="J125" i="6"/>
  <c r="E323" i="6"/>
  <c r="E28" i="6"/>
  <c r="I56" i="6"/>
  <c r="E58" i="6"/>
  <c r="E70" i="6"/>
  <c r="N81" i="6"/>
  <c r="O81" i="6" s="1"/>
  <c r="O108" i="10"/>
  <c r="N85" i="6"/>
  <c r="O85" i="6" s="1"/>
  <c r="O112" i="10"/>
  <c r="N89" i="6"/>
  <c r="O89" i="6" s="1"/>
  <c r="O116" i="10"/>
  <c r="N93" i="6"/>
  <c r="O93" i="6" s="1"/>
  <c r="O120" i="10"/>
  <c r="K125" i="6"/>
  <c r="N125" i="6" s="1"/>
  <c r="O125" i="6" s="1"/>
  <c r="K129" i="6"/>
  <c r="E132" i="6"/>
  <c r="E139" i="6"/>
  <c r="E140" i="6"/>
  <c r="N153" i="6"/>
  <c r="O153" i="6" s="1"/>
  <c r="O135" i="10"/>
  <c r="O140" i="10"/>
  <c r="N162" i="6"/>
  <c r="O162" i="6" s="1"/>
  <c r="G191" i="6"/>
  <c r="G168" i="6" s="1"/>
  <c r="N175" i="6"/>
  <c r="O175" i="6" s="1"/>
  <c r="E259" i="11"/>
  <c r="H210" i="6"/>
  <c r="H243" i="6" s="1"/>
  <c r="O200" i="6"/>
  <c r="N200" i="6"/>
  <c r="G233" i="6"/>
  <c r="O176" i="10"/>
  <c r="O175" i="10"/>
  <c r="N11" i="6"/>
  <c r="N15" i="6"/>
  <c r="N19" i="6"/>
  <c r="F323" i="6"/>
  <c r="F28" i="6"/>
  <c r="F98" i="6"/>
  <c r="K134" i="6"/>
  <c r="N134" i="6" s="1"/>
  <c r="O134" i="6" s="1"/>
  <c r="O131" i="10"/>
  <c r="O136" i="10"/>
  <c r="N158" i="6"/>
  <c r="O158" i="6" s="1"/>
  <c r="O145" i="10"/>
  <c r="G258" i="11"/>
  <c r="J210" i="6"/>
  <c r="J231" i="6"/>
  <c r="F259" i="11"/>
  <c r="I232" i="6"/>
  <c r="E260" i="11"/>
  <c r="H234" i="6"/>
  <c r="D261" i="11"/>
  <c r="E237" i="6"/>
  <c r="O180" i="10"/>
  <c r="G323" i="6"/>
  <c r="O109" i="10"/>
  <c r="O113" i="10"/>
  <c r="K126" i="6"/>
  <c r="K130" i="6"/>
  <c r="K135" i="6"/>
  <c r="O132" i="10"/>
  <c r="N154" i="6"/>
  <c r="O154" i="6" s="1"/>
  <c r="O141" i="10"/>
  <c r="I191" i="6"/>
  <c r="I168" i="6" s="1"/>
  <c r="N184" i="6"/>
  <c r="O184" i="6" s="1"/>
  <c r="H258" i="11"/>
  <c r="K210" i="6"/>
  <c r="K231" i="6"/>
  <c r="D262" i="11"/>
  <c r="G236" i="6"/>
  <c r="H323" i="6"/>
  <c r="L56" i="6"/>
  <c r="J137" i="6"/>
  <c r="J141" i="6"/>
  <c r="N150" i="6"/>
  <c r="O150" i="6" s="1"/>
  <c r="N155" i="6"/>
  <c r="O155" i="6" s="1"/>
  <c r="O137" i="10"/>
  <c r="N164" i="6"/>
  <c r="O164" i="6" s="1"/>
  <c r="O146" i="10"/>
  <c r="N185" i="6"/>
  <c r="O185" i="6" s="1"/>
  <c r="H259" i="11"/>
  <c r="K232" i="6"/>
  <c r="F261" i="11"/>
  <c r="I235" i="6"/>
  <c r="D174" i="10"/>
  <c r="D155" i="10"/>
  <c r="D130" i="10"/>
  <c r="D80" i="10"/>
  <c r="D105" i="10"/>
  <c r="D6" i="15"/>
  <c r="F4" i="7"/>
  <c r="G82" i="7" s="1"/>
  <c r="J121" i="12"/>
  <c r="E34" i="12"/>
  <c r="L4" i="7"/>
  <c r="J4" i="7"/>
  <c r="H4" i="7"/>
  <c r="I82" i="7" s="1"/>
  <c r="Y121" i="12"/>
  <c r="O121" i="12"/>
  <c r="E121" i="12"/>
  <c r="E92" i="12"/>
  <c r="T121" i="12"/>
  <c r="E63" i="12"/>
  <c r="O114" i="10"/>
  <c r="O118" i="10"/>
  <c r="G120" i="6"/>
  <c r="G98" i="6" s="1"/>
  <c r="O133" i="10"/>
  <c r="O142" i="10"/>
  <c r="K191" i="6"/>
  <c r="K168" i="6" s="1"/>
  <c r="N186" i="6"/>
  <c r="O186" i="6" s="1"/>
  <c r="E210" i="6"/>
  <c r="E243" i="6" s="1"/>
  <c r="K233" i="6"/>
  <c r="D265" i="11"/>
  <c r="G239" i="6"/>
  <c r="N206" i="6"/>
  <c r="O206" i="6" s="1"/>
  <c r="D266" i="11"/>
  <c r="G240" i="6"/>
  <c r="F301" i="6"/>
  <c r="N173" i="6"/>
  <c r="O173" i="6" s="1"/>
  <c r="G259" i="11"/>
  <c r="J232" i="6"/>
  <c r="D260" i="11"/>
  <c r="F240" i="6"/>
  <c r="N208" i="6"/>
  <c r="O208" i="6" s="1"/>
  <c r="I236" i="6"/>
  <c r="K238" i="6"/>
  <c r="K239" i="6"/>
  <c r="G301" i="6"/>
  <c r="N296" i="6"/>
  <c r="N297" i="6"/>
  <c r="O147" i="10"/>
  <c r="F210" i="6"/>
  <c r="F243" i="6" s="1"/>
  <c r="N204" i="6"/>
  <c r="O204" i="6" s="1"/>
  <c r="K234" i="6"/>
  <c r="F277" i="6"/>
  <c r="O182" i="10"/>
  <c r="Y37" i="7"/>
  <c r="I110" i="10" s="1"/>
  <c r="O183" i="10"/>
  <c r="N183" i="6"/>
  <c r="O183" i="6" s="1"/>
  <c r="G261" i="11"/>
  <c r="N205" i="6"/>
  <c r="O205" i="6" s="1"/>
  <c r="G241" i="6"/>
  <c r="O178" i="10"/>
  <c r="K301" i="6"/>
  <c r="H25" i="11" s="1"/>
  <c r="J191" i="6"/>
  <c r="J168" i="6" s="1"/>
  <c r="N188" i="6"/>
  <c r="O188" i="6" s="1"/>
  <c r="D259" i="11"/>
  <c r="H261" i="11"/>
  <c r="F238" i="6"/>
  <c r="I210" i="6"/>
  <c r="H240" i="6"/>
  <c r="I241" i="6"/>
  <c r="O184" i="10"/>
  <c r="L301" i="6"/>
  <c r="Q40" i="7"/>
  <c r="S40" i="7" s="1"/>
  <c r="I40" i="7"/>
  <c r="K40" i="7" s="1"/>
  <c r="Y40" i="7"/>
  <c r="I113" i="10" s="1"/>
  <c r="W40" i="7"/>
  <c r="G113" i="10" s="1"/>
  <c r="G40" i="7"/>
  <c r="O40" i="7"/>
  <c r="D264" i="11"/>
  <c r="G237" i="6"/>
  <c r="I240" i="6"/>
  <c r="N291" i="6"/>
  <c r="W87" i="7"/>
  <c r="G164" i="10" s="1"/>
  <c r="I10" i="7"/>
  <c r="K10" i="7" s="1"/>
  <c r="W10" i="7"/>
  <c r="G81" i="10" s="1"/>
  <c r="Q16" i="7"/>
  <c r="S16" i="7" s="1"/>
  <c r="G16" i="7"/>
  <c r="W16" i="7"/>
  <c r="Y16" i="7"/>
  <c r="I87" i="10" s="1"/>
  <c r="X21" i="7"/>
  <c r="H92" i="10" s="1"/>
  <c r="O26" i="7"/>
  <c r="Q26" i="7"/>
  <c r="S26" i="7" s="1"/>
  <c r="G26" i="7"/>
  <c r="W26" i="7"/>
  <c r="Q28" i="7"/>
  <c r="S28" i="7" s="1"/>
  <c r="G28" i="7"/>
  <c r="W28" i="7"/>
  <c r="Q29" i="7"/>
  <c r="S29" i="7" s="1"/>
  <c r="G29" i="7"/>
  <c r="I29" i="7"/>
  <c r="K29" i="7" s="1"/>
  <c r="Y29" i="7"/>
  <c r="X33" i="7"/>
  <c r="H106" i="10" s="1"/>
  <c r="Y98" i="7"/>
  <c r="I179" i="10" s="1"/>
  <c r="E261" i="11"/>
  <c r="H231" i="6"/>
  <c r="J234" i="6"/>
  <c r="H235" i="6"/>
  <c r="J238" i="6"/>
  <c r="H239" i="6"/>
  <c r="I301" i="6"/>
  <c r="F25" i="11" s="1"/>
  <c r="P103" i="7"/>
  <c r="P95" i="7"/>
  <c r="P84" i="7"/>
  <c r="P93" i="7"/>
  <c r="P80" i="7"/>
  <c r="P70" i="7"/>
  <c r="P62" i="7"/>
  <c r="Q59" i="7"/>
  <c r="P88" i="7"/>
  <c r="P72" i="7"/>
  <c r="Q99" i="7"/>
  <c r="P87" i="7"/>
  <c r="P86" i="7"/>
  <c r="P69" i="7"/>
  <c r="Q101" i="7"/>
  <c r="P98" i="7"/>
  <c r="P97" i="7"/>
  <c r="P83" i="7"/>
  <c r="P71" i="7"/>
  <c r="P63" i="7"/>
  <c r="P52" i="7"/>
  <c r="P43" i="7"/>
  <c r="P35" i="7"/>
  <c r="P23" i="7"/>
  <c r="P102" i="7"/>
  <c r="Q98" i="7"/>
  <c r="P81" i="7"/>
  <c r="P60" i="7"/>
  <c r="P94" i="7"/>
  <c r="P79" i="7"/>
  <c r="P44" i="7"/>
  <c r="P33" i="7"/>
  <c r="P57" i="7"/>
  <c r="P42" i="7"/>
  <c r="P89" i="7"/>
  <c r="P99" i="7"/>
  <c r="P85" i="7"/>
  <c r="P36" i="7"/>
  <c r="P51" i="7"/>
  <c r="P47" i="7"/>
  <c r="P18" i="7"/>
  <c r="P17" i="7"/>
  <c r="P56" i="7"/>
  <c r="P45" i="7"/>
  <c r="P39" i="7"/>
  <c r="P28" i="7"/>
  <c r="P16" i="7"/>
  <c r="P67" i="7"/>
  <c r="P58" i="7"/>
  <c r="P40" i="7"/>
  <c r="P34" i="7"/>
  <c r="P22" i="7"/>
  <c r="P10" i="7"/>
  <c r="P101" i="7"/>
  <c r="P96" i="7"/>
  <c r="P82" i="7"/>
  <c r="P74" i="7"/>
  <c r="P66" i="7"/>
  <c r="P65" i="7"/>
  <c r="P64" i="7"/>
  <c r="P49" i="7"/>
  <c r="P46" i="7"/>
  <c r="P21" i="7"/>
  <c r="X12" i="7"/>
  <c r="H83" i="10" s="1"/>
  <c r="X17" i="7"/>
  <c r="H88" i="10" s="1"/>
  <c r="I26" i="7"/>
  <c r="K26" i="7" s="1"/>
  <c r="Q48" i="7"/>
  <c r="S48" i="7" s="1"/>
  <c r="W48" i="7"/>
  <c r="G121" i="10" s="1"/>
  <c r="I48" i="7"/>
  <c r="K48" i="7" s="1"/>
  <c r="G48" i="7"/>
  <c r="O48" i="7"/>
  <c r="X81" i="7"/>
  <c r="H158" i="10" s="1"/>
  <c r="W103" i="7"/>
  <c r="G184" i="10" s="1"/>
  <c r="Q15" i="7"/>
  <c r="P41" i="7"/>
  <c r="P59" i="7"/>
  <c r="P68" i="7"/>
  <c r="I71" i="7"/>
  <c r="K71" i="7" s="1"/>
  <c r="Y71" i="7"/>
  <c r="I146" i="10" s="1"/>
  <c r="G71" i="7"/>
  <c r="Q71" i="7"/>
  <c r="S71" i="7" s="1"/>
  <c r="W71" i="7"/>
  <c r="G146" i="10" s="1"/>
  <c r="O71" i="7"/>
  <c r="W97" i="7"/>
  <c r="G178" i="10" s="1"/>
  <c r="Q97" i="7"/>
  <c r="Y97" i="7"/>
  <c r="I178" i="10" s="1"/>
  <c r="O97" i="7"/>
  <c r="P100" i="7"/>
  <c r="J236" i="6"/>
  <c r="H237" i="6"/>
  <c r="J240" i="6"/>
  <c r="H241" i="6"/>
  <c r="X101" i="7"/>
  <c r="H182" i="10" s="1"/>
  <c r="X98" i="7"/>
  <c r="H179" i="10" s="1"/>
  <c r="X87" i="7"/>
  <c r="H164" i="10" s="1"/>
  <c r="X79" i="7"/>
  <c r="H156" i="10" s="1"/>
  <c r="Y101" i="7"/>
  <c r="I182" i="10" s="1"/>
  <c r="X96" i="7"/>
  <c r="H177" i="10" s="1"/>
  <c r="X95" i="7"/>
  <c r="X82" i="7"/>
  <c r="H159" i="10" s="1"/>
  <c r="X74" i="7"/>
  <c r="X61" i="7" s="1"/>
  <c r="H136" i="10" s="1"/>
  <c r="X65" i="7"/>
  <c r="H140" i="10" s="1"/>
  <c r="X102" i="7"/>
  <c r="H183" i="10" s="1"/>
  <c r="X93" i="7"/>
  <c r="H175" i="10" s="1"/>
  <c r="X80" i="7"/>
  <c r="H157" i="10" s="1"/>
  <c r="X103" i="7"/>
  <c r="H184" i="10" s="1"/>
  <c r="X89" i="7"/>
  <c r="H166" i="10" s="1"/>
  <c r="X72" i="7"/>
  <c r="H147" i="10" s="1"/>
  <c r="X64" i="7"/>
  <c r="H139" i="10" s="1"/>
  <c r="X86" i="7"/>
  <c r="H163" i="10" s="1"/>
  <c r="X75" i="7"/>
  <c r="Y61" i="7" s="1"/>
  <c r="I136" i="10" s="1"/>
  <c r="X66" i="7"/>
  <c r="H141" i="10" s="1"/>
  <c r="X58" i="7"/>
  <c r="H133" i="10" s="1"/>
  <c r="X46" i="7"/>
  <c r="H119" i="10" s="1"/>
  <c r="X26" i="7"/>
  <c r="H97" i="10" s="1"/>
  <c r="X18" i="7"/>
  <c r="H89" i="10" s="1"/>
  <c r="X94" i="7"/>
  <c r="H176" i="10" s="1"/>
  <c r="X83" i="7"/>
  <c r="H160" i="10" s="1"/>
  <c r="X67" i="7"/>
  <c r="H142" i="10" s="1"/>
  <c r="X85" i="7"/>
  <c r="H162" i="10" s="1"/>
  <c r="X70" i="7"/>
  <c r="H145" i="10" s="1"/>
  <c r="X63" i="7"/>
  <c r="H138" i="10" s="1"/>
  <c r="Y59" i="7"/>
  <c r="I134" i="10" s="1"/>
  <c r="X68" i="7"/>
  <c r="H143" i="10" s="1"/>
  <c r="X47" i="7"/>
  <c r="H120" i="10" s="1"/>
  <c r="X36" i="7"/>
  <c r="H109" i="10" s="1"/>
  <c r="X35" i="7"/>
  <c r="H108" i="10" s="1"/>
  <c r="X99" i="7"/>
  <c r="H180" i="10" s="1"/>
  <c r="X84" i="7"/>
  <c r="H161" i="10" s="1"/>
  <c r="Y60" i="7"/>
  <c r="I135" i="10" s="1"/>
  <c r="X45" i="7"/>
  <c r="H118" i="10" s="1"/>
  <c r="X48" i="7"/>
  <c r="H121" i="10" s="1"/>
  <c r="X100" i="7"/>
  <c r="H181" i="10" s="1"/>
  <c r="X97" i="7"/>
  <c r="H178" i="10" s="1"/>
  <c r="X60" i="7"/>
  <c r="H135" i="10" s="1"/>
  <c r="X52" i="7"/>
  <c r="Y38" i="7" s="1"/>
  <c r="I111" i="10" s="1"/>
  <c r="X40" i="7"/>
  <c r="H113" i="10" s="1"/>
  <c r="X20" i="7"/>
  <c r="H91" i="10" s="1"/>
  <c r="X62" i="7"/>
  <c r="H137" i="10" s="1"/>
  <c r="X59" i="7"/>
  <c r="H134" i="10" s="1"/>
  <c r="Y58" i="7"/>
  <c r="I133" i="10" s="1"/>
  <c r="X49" i="7"/>
  <c r="H122" i="10" s="1"/>
  <c r="X44" i="7"/>
  <c r="H117" i="10" s="1"/>
  <c r="X41" i="7"/>
  <c r="H114" i="10" s="1"/>
  <c r="X19" i="7"/>
  <c r="H90" i="10" s="1"/>
  <c r="X51" i="7"/>
  <c r="X38" i="7" s="1"/>
  <c r="H111" i="10" s="1"/>
  <c r="X42" i="7"/>
  <c r="H115" i="10" s="1"/>
  <c r="X28" i="7"/>
  <c r="X15" i="7" s="1"/>
  <c r="H86" i="10" s="1"/>
  <c r="X25" i="7"/>
  <c r="H96" i="10" s="1"/>
  <c r="X14" i="7"/>
  <c r="H85" i="10" s="1"/>
  <c r="X39" i="7"/>
  <c r="H112" i="10" s="1"/>
  <c r="X29" i="7"/>
  <c r="Y15" i="7" s="1"/>
  <c r="I86" i="10" s="1"/>
  <c r="X24" i="7"/>
  <c r="H95" i="10" s="1"/>
  <c r="X23" i="7"/>
  <c r="H94" i="10" s="1"/>
  <c r="X13" i="7"/>
  <c r="H84" i="10" s="1"/>
  <c r="X10" i="7"/>
  <c r="H81" i="10" s="1"/>
  <c r="P37" i="7"/>
  <c r="Y48" i="7"/>
  <c r="I121" i="10" s="1"/>
  <c r="Y87" i="7"/>
  <c r="I164" i="10" s="1"/>
  <c r="X88" i="7"/>
  <c r="H165" i="10" s="1"/>
  <c r="G97" i="7"/>
  <c r="Y10" i="7"/>
  <c r="I81" i="10" s="1"/>
  <c r="O10" i="7"/>
  <c r="Q20" i="7"/>
  <c r="S20" i="7" s="1"/>
  <c r="W20" i="7"/>
  <c r="I20" i="7"/>
  <c r="K20" i="7" s="1"/>
  <c r="G20" i="7"/>
  <c r="Y20" i="7"/>
  <c r="I91" i="10" s="1"/>
  <c r="O46" i="7"/>
  <c r="Y46" i="7"/>
  <c r="I119" i="10" s="1"/>
  <c r="W46" i="7"/>
  <c r="G119" i="10" s="1"/>
  <c r="I46" i="7"/>
  <c r="K46" i="7" s="1"/>
  <c r="Q46" i="7"/>
  <c r="S46" i="7" s="1"/>
  <c r="Y52" i="7"/>
  <c r="G52" i="7"/>
  <c r="I52" i="7"/>
  <c r="K52" i="7" s="1"/>
  <c r="W52" i="7"/>
  <c r="O52" i="7"/>
  <c r="X56" i="7"/>
  <c r="H131" i="10" s="1"/>
  <c r="X71" i="7"/>
  <c r="H146" i="10" s="1"/>
  <c r="Q14" i="7"/>
  <c r="S14" i="7" s="1"/>
  <c r="G14" i="7"/>
  <c r="W14" i="7"/>
  <c r="Y14" i="7"/>
  <c r="I85" i="10" s="1"/>
  <c r="I25" i="7"/>
  <c r="K25" i="7" s="1"/>
  <c r="Q25" i="7"/>
  <c r="S25" i="7" s="1"/>
  <c r="G25" i="7"/>
  <c r="W25" i="7"/>
  <c r="Y25" i="7"/>
  <c r="I96" i="10" s="1"/>
  <c r="G46" i="7"/>
  <c r="H22" i="11"/>
  <c r="H14" i="11"/>
  <c r="H17" i="11"/>
  <c r="H20" i="11"/>
  <c r="H12" i="11"/>
  <c r="H18" i="11"/>
  <c r="H10" i="11"/>
  <c r="H19" i="11"/>
  <c r="H13" i="11"/>
  <c r="H8" i="11"/>
  <c r="H21" i="11"/>
  <c r="H15" i="11"/>
  <c r="H24" i="11"/>
  <c r="H7" i="11"/>
  <c r="H16" i="11"/>
  <c r="H11" i="11"/>
  <c r="H9" i="11"/>
  <c r="H23" i="11"/>
  <c r="Q12" i="7"/>
  <c r="S12" i="7" s="1"/>
  <c r="N13" i="7"/>
  <c r="I18" i="7"/>
  <c r="K18" i="7" s="1"/>
  <c r="O22" i="7"/>
  <c r="N23" i="7"/>
  <c r="N24" i="7"/>
  <c r="V26" i="7"/>
  <c r="F97" i="10" s="1"/>
  <c r="N34" i="7"/>
  <c r="Y35" i="7"/>
  <c r="I108" i="10" s="1"/>
  <c r="Q35" i="7"/>
  <c r="G36" i="7"/>
  <c r="I42" i="7"/>
  <c r="K42" i="7" s="1"/>
  <c r="W42" i="7"/>
  <c r="G115" i="10" s="1"/>
  <c r="V45" i="7"/>
  <c r="F118" i="10" s="1"/>
  <c r="G47" i="7"/>
  <c r="N48" i="7"/>
  <c r="G51" i="7"/>
  <c r="W51" i="7"/>
  <c r="N52" i="7"/>
  <c r="O38" i="7" s="1"/>
  <c r="I56" i="7"/>
  <c r="K56" i="7" s="1"/>
  <c r="V57" i="7"/>
  <c r="F132" i="10" s="1"/>
  <c r="N58" i="7"/>
  <c r="I72" i="7"/>
  <c r="K72" i="7" s="1"/>
  <c r="Y72" i="7"/>
  <c r="I147" i="10" s="1"/>
  <c r="G72" i="7"/>
  <c r="O72" i="7"/>
  <c r="Q72" i="7"/>
  <c r="S72" i="7" s="1"/>
  <c r="W80" i="7"/>
  <c r="G157" i="10" s="1"/>
  <c r="I80" i="7"/>
  <c r="K80" i="7" s="1"/>
  <c r="Q80" i="7"/>
  <c r="S80" i="7" s="1"/>
  <c r="W99" i="7"/>
  <c r="G180" i="10" s="1"/>
  <c r="O101" i="7"/>
  <c r="N101" i="7"/>
  <c r="N93" i="7"/>
  <c r="N82" i="7"/>
  <c r="N96" i="7"/>
  <c r="N95" i="7"/>
  <c r="N68" i="7"/>
  <c r="N60" i="7"/>
  <c r="N103" i="7"/>
  <c r="N80" i="7"/>
  <c r="N70" i="7"/>
  <c r="N89" i="7"/>
  <c r="N79" i="7"/>
  <c r="N67" i="7"/>
  <c r="N59" i="7"/>
  <c r="N86" i="7"/>
  <c r="N69" i="7"/>
  <c r="N49" i="7"/>
  <c r="N41" i="7"/>
  <c r="N33" i="7"/>
  <c r="N21" i="7"/>
  <c r="O103" i="7"/>
  <c r="N100" i="7"/>
  <c r="N99" i="7"/>
  <c r="N84" i="7"/>
  <c r="N74" i="7"/>
  <c r="N61" i="7" s="1"/>
  <c r="N102" i="7"/>
  <c r="N98" i="7"/>
  <c r="N81" i="7"/>
  <c r="N72" i="7"/>
  <c r="N97" i="7"/>
  <c r="N87" i="7"/>
  <c r="N71" i="7"/>
  <c r="N66" i="7"/>
  <c r="N64" i="7"/>
  <c r="N62" i="7"/>
  <c r="N47" i="7"/>
  <c r="N46" i="7"/>
  <c r="N36" i="7"/>
  <c r="N35" i="7"/>
  <c r="N94" i="7"/>
  <c r="N83" i="7"/>
  <c r="N45" i="7"/>
  <c r="N14" i="7"/>
  <c r="Y23" i="7"/>
  <c r="I94" i="10" s="1"/>
  <c r="G23" i="7"/>
  <c r="O23" i="7"/>
  <c r="O24" i="7"/>
  <c r="Y24" i="7"/>
  <c r="I95" i="10" s="1"/>
  <c r="N25" i="7"/>
  <c r="N29" i="7"/>
  <c r="O15" i="7" s="1"/>
  <c r="N37" i="7"/>
  <c r="D38" i="7"/>
  <c r="N43" i="7"/>
  <c r="V47" i="7"/>
  <c r="F120" i="10" s="1"/>
  <c r="I57" i="7"/>
  <c r="K57" i="7" s="1"/>
  <c r="Q57" i="7"/>
  <c r="S57" i="7" s="1"/>
  <c r="G57" i="7"/>
  <c r="W57" i="7"/>
  <c r="G132" i="10" s="1"/>
  <c r="O59" i="7"/>
  <c r="O60" i="7"/>
  <c r="V66" i="7"/>
  <c r="F141" i="10" s="1"/>
  <c r="Y95" i="7"/>
  <c r="G95" i="7"/>
  <c r="W95" i="7"/>
  <c r="O95" i="7"/>
  <c r="O17" i="7"/>
  <c r="Y17" i="7"/>
  <c r="I88" i="10" s="1"/>
  <c r="N18" i="7"/>
  <c r="N19" i="7"/>
  <c r="W37" i="7"/>
  <c r="G110" i="10" s="1"/>
  <c r="Q37" i="7"/>
  <c r="O47" i="7"/>
  <c r="O51" i="7"/>
  <c r="V60" i="7"/>
  <c r="F135" i="10" s="1"/>
  <c r="Y62" i="7"/>
  <c r="I137" i="10" s="1"/>
  <c r="G62" i="7"/>
  <c r="Q62" i="7"/>
  <c r="S62" i="7" s="1"/>
  <c r="I75" i="7"/>
  <c r="K75" i="7" s="1"/>
  <c r="Q75" i="7"/>
  <c r="S75" i="7" s="1"/>
  <c r="O75" i="7"/>
  <c r="Y75" i="7"/>
  <c r="G75" i="7"/>
  <c r="W83" i="7"/>
  <c r="G160" i="10" s="1"/>
  <c r="I83" i="7"/>
  <c r="K83" i="7" s="1"/>
  <c r="O83" i="7"/>
  <c r="Q95" i="7"/>
  <c r="V100" i="7"/>
  <c r="F181" i="10" s="1"/>
  <c r="V96" i="7"/>
  <c r="F177" i="10" s="1"/>
  <c r="V85" i="7"/>
  <c r="F162" i="10" s="1"/>
  <c r="V99" i="7"/>
  <c r="F180" i="10" s="1"/>
  <c r="V98" i="7"/>
  <c r="F179" i="10" s="1"/>
  <c r="V84" i="7"/>
  <c r="F161" i="10" s="1"/>
  <c r="V71" i="7"/>
  <c r="F146" i="10" s="1"/>
  <c r="V63" i="7"/>
  <c r="F138" i="10" s="1"/>
  <c r="V95" i="7"/>
  <c r="V94" i="7"/>
  <c r="F176" i="10" s="1"/>
  <c r="V93" i="7"/>
  <c r="F175" i="10" s="1"/>
  <c r="V81" i="7"/>
  <c r="F158" i="10" s="1"/>
  <c r="V70" i="7"/>
  <c r="F145" i="10" s="1"/>
  <c r="V62" i="7"/>
  <c r="F137" i="10" s="1"/>
  <c r="V103" i="7"/>
  <c r="F184" i="10" s="1"/>
  <c r="V89" i="7"/>
  <c r="F166" i="10" s="1"/>
  <c r="V72" i="7"/>
  <c r="F147" i="10" s="1"/>
  <c r="V64" i="7"/>
  <c r="F139" i="10" s="1"/>
  <c r="V56" i="7"/>
  <c r="F131" i="10" s="1"/>
  <c r="V44" i="7"/>
  <c r="F117" i="10" s="1"/>
  <c r="V36" i="7"/>
  <c r="F109" i="10" s="1"/>
  <c r="V24" i="7"/>
  <c r="F95" i="10" s="1"/>
  <c r="V16" i="7"/>
  <c r="F87" i="10" s="1"/>
  <c r="V97" i="7"/>
  <c r="F178" i="10" s="1"/>
  <c r="V87" i="7"/>
  <c r="F164" i="10" s="1"/>
  <c r="V83" i="7"/>
  <c r="F160" i="10" s="1"/>
  <c r="V82" i="7"/>
  <c r="F159" i="10" s="1"/>
  <c r="V67" i="7"/>
  <c r="F142" i="10" s="1"/>
  <c r="V58" i="7"/>
  <c r="F133" i="10" s="1"/>
  <c r="V52" i="7"/>
  <c r="W38" i="7" s="1"/>
  <c r="G111" i="10" s="1"/>
  <c r="V75" i="7"/>
  <c r="W61" i="7" s="1"/>
  <c r="G136" i="10" s="1"/>
  <c r="V65" i="7"/>
  <c r="F140" i="10" s="1"/>
  <c r="V59" i="7"/>
  <c r="F134" i="10" s="1"/>
  <c r="V39" i="7"/>
  <c r="F112" i="10" s="1"/>
  <c r="V68" i="7"/>
  <c r="F143" i="10" s="1"/>
  <c r="V48" i="7"/>
  <c r="F121" i="10" s="1"/>
  <c r="V37" i="7"/>
  <c r="F110" i="10" s="1"/>
  <c r="N12" i="7"/>
  <c r="R12" i="7" s="1"/>
  <c r="O19" i="7"/>
  <c r="N20" i="7"/>
  <c r="V21" i="7"/>
  <c r="F92" i="10" s="1"/>
  <c r="V22" i="7"/>
  <c r="F93" i="10" s="1"/>
  <c r="V34" i="7"/>
  <c r="F107" i="10" s="1"/>
  <c r="W35" i="7"/>
  <c r="G108" i="10" s="1"/>
  <c r="O36" i="7"/>
  <c r="Q39" i="7"/>
  <c r="S39" i="7" s="1"/>
  <c r="V43" i="7"/>
  <c r="F116" i="10" s="1"/>
  <c r="V46" i="7"/>
  <c r="F119" i="10" s="1"/>
  <c r="N57" i="7"/>
  <c r="W59" i="7"/>
  <c r="G134" i="10" s="1"/>
  <c r="W60" i="7"/>
  <c r="G135" i="10" s="1"/>
  <c r="G83" i="7"/>
  <c r="N85" i="7"/>
  <c r="I96" i="7"/>
  <c r="K96" i="7" s="1"/>
  <c r="Q96" i="7"/>
  <c r="S96" i="7" s="1"/>
  <c r="G96" i="7"/>
  <c r="W96" i="7"/>
  <c r="G177" i="10" s="1"/>
  <c r="O96" i="7"/>
  <c r="Q42" i="7"/>
  <c r="S42" i="7" s="1"/>
  <c r="G42" i="7"/>
  <c r="N44" i="7"/>
  <c r="Q47" i="7"/>
  <c r="S47" i="7" s="1"/>
  <c r="Q51" i="7"/>
  <c r="S51" i="7" s="1"/>
  <c r="Q56" i="7"/>
  <c r="S56" i="7" s="1"/>
  <c r="G56" i="7"/>
  <c r="W56" i="7"/>
  <c r="G131" i="10" s="1"/>
  <c r="V69" i="7"/>
  <c r="F144" i="10" s="1"/>
  <c r="N75" i="7"/>
  <c r="O61" i="7" s="1"/>
  <c r="V86" i="7"/>
  <c r="F163" i="10" s="1"/>
  <c r="V102" i="7"/>
  <c r="F183" i="10" s="1"/>
  <c r="Y43" i="7"/>
  <c r="I116" i="10" s="1"/>
  <c r="G43" i="7"/>
  <c r="O43" i="7"/>
  <c r="O44" i="7"/>
  <c r="Q58" i="7"/>
  <c r="O58" i="7"/>
  <c r="I63" i="7"/>
  <c r="K63" i="7" s="1"/>
  <c r="Y63" i="7"/>
  <c r="I138" i="10" s="1"/>
  <c r="G63" i="7"/>
  <c r="O65" i="7"/>
  <c r="I65" i="7"/>
  <c r="K65" i="7" s="1"/>
  <c r="O74" i="7"/>
  <c r="I74" i="7"/>
  <c r="K74" i="7" s="1"/>
  <c r="D61" i="7"/>
  <c r="W74" i="7"/>
  <c r="O86" i="7"/>
  <c r="Y99" i="7"/>
  <c r="I180" i="10" s="1"/>
  <c r="O102" i="7"/>
  <c r="W102" i="7"/>
  <c r="G183" i="10" s="1"/>
  <c r="I102" i="7"/>
  <c r="K102" i="7" s="1"/>
  <c r="G102" i="7"/>
  <c r="O34" i="7"/>
  <c r="Q43" i="7"/>
  <c r="S43" i="7" s="1"/>
  <c r="O45" i="7"/>
  <c r="Y45" i="7"/>
  <c r="I118" i="10" s="1"/>
  <c r="G58" i="7"/>
  <c r="I100" i="7"/>
  <c r="K100" i="7" s="1"/>
  <c r="Q100" i="7"/>
  <c r="S100" i="7" s="1"/>
  <c r="W100" i="7"/>
  <c r="G181" i="10" s="1"/>
  <c r="G100" i="7"/>
  <c r="O100" i="7"/>
  <c r="F53" i="14"/>
  <c r="F75" i="14" s="1"/>
  <c r="F27" i="14"/>
  <c r="H27" i="14"/>
  <c r="H53" i="14"/>
  <c r="H75" i="14" s="1"/>
  <c r="G49" i="14"/>
  <c r="I64" i="7"/>
  <c r="K64" i="7" s="1"/>
  <c r="O64" i="7"/>
  <c r="Q66" i="7"/>
  <c r="S66" i="7" s="1"/>
  <c r="O66" i="7"/>
  <c r="I86" i="7"/>
  <c r="K86" i="7" s="1"/>
  <c r="Q86" i="7"/>
  <c r="S86" i="7" s="1"/>
  <c r="G86" i="7"/>
  <c r="Y86" i="7"/>
  <c r="I163" i="10" s="1"/>
  <c r="I53" i="14"/>
  <c r="I75" i="14" s="1"/>
  <c r="G55" i="14"/>
  <c r="G77" i="14" s="1"/>
  <c r="E57" i="14"/>
  <c r="E79" i="14" s="1"/>
  <c r="H58" i="14"/>
  <c r="H80" i="14" s="1"/>
  <c r="F60" i="14"/>
  <c r="F82" i="14" s="1"/>
  <c r="I61" i="14"/>
  <c r="I83" i="14" s="1"/>
  <c r="G63" i="14"/>
  <c r="G85" i="14" s="1"/>
  <c r="E65" i="14"/>
  <c r="E87" i="14" s="1"/>
  <c r="H66" i="14"/>
  <c r="H88" i="14" s="1"/>
  <c r="F68" i="14"/>
  <c r="F90" i="14" s="1"/>
  <c r="I69" i="14"/>
  <c r="I91" i="14" s="1"/>
  <c r="H49" i="14"/>
  <c r="Q60" i="7"/>
  <c r="Q68" i="7"/>
  <c r="S68" i="7" s="1"/>
  <c r="I81" i="7"/>
  <c r="K81" i="7" s="1"/>
  <c r="Y84" i="7"/>
  <c r="I161" i="10" s="1"/>
  <c r="G84" i="7"/>
  <c r="O84" i="7"/>
  <c r="O85" i="7"/>
  <c r="W88" i="7"/>
  <c r="G165" i="10" s="1"/>
  <c r="O98" i="7"/>
  <c r="O99" i="7"/>
  <c r="W101" i="7"/>
  <c r="G182" i="10" s="1"/>
  <c r="W79" i="7"/>
  <c r="G156" i="10" s="1"/>
  <c r="O87" i="7"/>
  <c r="O88" i="7"/>
  <c r="E49" i="14"/>
  <c r="O79" i="7"/>
  <c r="W81" i="7"/>
  <c r="G158" i="10" s="1"/>
  <c r="G87" i="7"/>
  <c r="Q87" i="7"/>
  <c r="O89" i="7"/>
  <c r="Y89" i="7"/>
  <c r="I166" i="10" s="1"/>
  <c r="W94" i="7"/>
  <c r="G176" i="10" s="1"/>
  <c r="E27" i="14"/>
  <c r="H54" i="14"/>
  <c r="H76" i="14" s="1"/>
  <c r="F56" i="14"/>
  <c r="F78" i="14" s="1"/>
  <c r="I57" i="14"/>
  <c r="I79" i="14" s="1"/>
  <c r="F49" i="14"/>
  <c r="O81" i="7"/>
  <c r="Y81" i="7"/>
  <c r="I158" i="10" s="1"/>
  <c r="O94" i="7"/>
  <c r="Q103" i="7"/>
  <c r="Y103" i="7"/>
  <c r="I184" i="10" s="1"/>
  <c r="G103" i="7"/>
  <c r="G27" i="14"/>
  <c r="G117" i="14"/>
  <c r="G161" i="14" s="1"/>
  <c r="G183" i="14" s="1"/>
  <c r="G72" i="15" s="1"/>
  <c r="G143" i="14"/>
  <c r="G165" i="14" s="1"/>
  <c r="F67" i="14"/>
  <c r="F89" i="14" s="1"/>
  <c r="I68" i="14"/>
  <c r="I90" i="14" s="1"/>
  <c r="E117" i="14"/>
  <c r="F117" i="14"/>
  <c r="F143" i="14"/>
  <c r="F165" i="14" s="1"/>
  <c r="I139" i="14"/>
  <c r="I117" i="14"/>
  <c r="I143" i="14"/>
  <c r="I165" i="14" s="1"/>
  <c r="E53" i="14"/>
  <c r="E75" i="14" s="1"/>
  <c r="E139" i="14"/>
  <c r="F139" i="14"/>
  <c r="H143" i="14"/>
  <c r="H165" i="14" s="1"/>
  <c r="R14" i="7" l="1"/>
  <c r="M7" i="15"/>
  <c r="H65" i="15"/>
  <c r="H37" i="15"/>
  <c r="T142" i="12"/>
  <c r="T124" i="12"/>
  <c r="T127" i="12"/>
  <c r="T130" i="12"/>
  <c r="T129" i="12"/>
  <c r="I97" i="7"/>
  <c r="K97" i="7" s="1"/>
  <c r="I37" i="7"/>
  <c r="N86" i="10"/>
  <c r="E36" i="12"/>
  <c r="H36" i="12" s="1"/>
  <c r="E7" i="13" s="1"/>
  <c r="E42" i="12"/>
  <c r="H42" i="12" s="1"/>
  <c r="E13" i="13" s="1"/>
  <c r="E46" i="12"/>
  <c r="H46" i="12" s="1"/>
  <c r="E17" i="13" s="1"/>
  <c r="E50" i="12"/>
  <c r="H50" i="12" s="1"/>
  <c r="E21" i="13" s="1"/>
  <c r="E55" i="12"/>
  <c r="H55" i="12" s="1"/>
  <c r="E26" i="13" s="1"/>
  <c r="E37" i="12"/>
  <c r="H37" i="12" s="1"/>
  <c r="E8" i="13" s="1"/>
  <c r="E47" i="12"/>
  <c r="H47" i="12" s="1"/>
  <c r="E18" i="13" s="1"/>
  <c r="E45" i="12"/>
  <c r="H45" i="12" s="1"/>
  <c r="E16" i="13" s="1"/>
  <c r="E43" i="12"/>
  <c r="H43" i="12" s="1"/>
  <c r="E14" i="13" s="1"/>
  <c r="E51" i="12"/>
  <c r="H51" i="12" s="1"/>
  <c r="E22" i="13" s="1"/>
  <c r="E49" i="12"/>
  <c r="H49" i="12" s="1"/>
  <c r="E20" i="13" s="1"/>
  <c r="E38" i="12"/>
  <c r="H38" i="12" s="1"/>
  <c r="E9" i="13" s="1"/>
  <c r="E48" i="12"/>
  <c r="H48" i="12" s="1"/>
  <c r="E19" i="13" s="1"/>
  <c r="E52" i="12"/>
  <c r="H52" i="12" s="1"/>
  <c r="E23" i="13" s="1"/>
  <c r="E40" i="12"/>
  <c r="H40" i="12" s="1"/>
  <c r="E11" i="13" s="1"/>
  <c r="H54" i="12"/>
  <c r="E25" i="13" s="1"/>
  <c r="G94" i="10"/>
  <c r="N94" i="10" s="1"/>
  <c r="G88" i="10"/>
  <c r="N88" i="10" s="1"/>
  <c r="G83" i="10"/>
  <c r="N83" i="10" s="1"/>
  <c r="G92" i="10"/>
  <c r="N92" i="10" s="1"/>
  <c r="G89" i="10"/>
  <c r="N89" i="10" s="1"/>
  <c r="G84" i="10"/>
  <c r="N84" i="10" s="1"/>
  <c r="G95" i="10"/>
  <c r="N95" i="10" s="1"/>
  <c r="G93" i="10"/>
  <c r="N93" i="10" s="1"/>
  <c r="N82" i="10"/>
  <c r="G90" i="10"/>
  <c r="N90" i="10" s="1"/>
  <c r="G35" i="7"/>
  <c r="I143" i="6"/>
  <c r="N126" i="6"/>
  <c r="O126" i="6" s="1"/>
  <c r="E40" i="10"/>
  <c r="L40" i="10" s="1"/>
  <c r="R24" i="7"/>
  <c r="T24" i="7" s="1"/>
  <c r="E95" i="10" s="1"/>
  <c r="R48" i="7"/>
  <c r="T48" i="7" s="1"/>
  <c r="E121" i="10" s="1"/>
  <c r="R26" i="7"/>
  <c r="T26" i="7" s="1"/>
  <c r="E97" i="10" s="1"/>
  <c r="M156" i="10"/>
  <c r="N128" i="6"/>
  <c r="O128" i="6" s="1"/>
  <c r="N130" i="6"/>
  <c r="O130" i="6" s="1"/>
  <c r="L143" i="6"/>
  <c r="N129" i="6"/>
  <c r="O129" i="6" s="1"/>
  <c r="F139" i="12"/>
  <c r="O97" i="10"/>
  <c r="E189" i="11"/>
  <c r="D189" i="11" s="1"/>
  <c r="R19" i="7"/>
  <c r="T19" i="7" s="1"/>
  <c r="E90" i="10" s="1"/>
  <c r="R11" i="7"/>
  <c r="T11" i="7" s="1"/>
  <c r="E82" i="10" s="1"/>
  <c r="R25" i="7"/>
  <c r="T25" i="7" s="1"/>
  <c r="E96" i="10" s="1"/>
  <c r="R13" i="7"/>
  <c r="T13" i="7" s="1"/>
  <c r="E84" i="10" s="1"/>
  <c r="R20" i="7"/>
  <c r="T20" i="7" s="1"/>
  <c r="E91" i="10" s="1"/>
  <c r="S82" i="7"/>
  <c r="K82" i="7"/>
  <c r="E9" i="12"/>
  <c r="M20" i="15"/>
  <c r="E11" i="12"/>
  <c r="M12" i="15"/>
  <c r="E21" i="12"/>
  <c r="M21" i="15"/>
  <c r="E16" i="12"/>
  <c r="M13" i="15"/>
  <c r="E8" i="12"/>
  <c r="M16" i="15"/>
  <c r="E13" i="12"/>
  <c r="M8" i="15"/>
  <c r="E22" i="12"/>
  <c r="M22" i="15"/>
  <c r="E26" i="12"/>
  <c r="M14" i="15"/>
  <c r="E18" i="12"/>
  <c r="M17" i="15"/>
  <c r="E25" i="12"/>
  <c r="M9" i="15"/>
  <c r="E20" i="12"/>
  <c r="M19" i="15"/>
  <c r="E15" i="12"/>
  <c r="M11" i="15"/>
  <c r="E19" i="12"/>
  <c r="M18" i="15"/>
  <c r="E14" i="12"/>
  <c r="M10" i="15"/>
  <c r="I161" i="14"/>
  <c r="I183" i="14" s="1"/>
  <c r="H161" i="14"/>
  <c r="H183" i="14" s="1"/>
  <c r="H72" i="15" s="1"/>
  <c r="E71" i="14"/>
  <c r="E93" i="14" s="1"/>
  <c r="E50" i="15" s="1"/>
  <c r="I243" i="6"/>
  <c r="L73" i="6"/>
  <c r="J243" i="6"/>
  <c r="F73" i="6"/>
  <c r="I73" i="6"/>
  <c r="K73" i="6"/>
  <c r="L243" i="6"/>
  <c r="E43" i="10"/>
  <c r="L43" i="10" s="1"/>
  <c r="E35" i="10"/>
  <c r="L35" i="10" s="1"/>
  <c r="E47" i="10"/>
  <c r="L47" i="10" s="1"/>
  <c r="E39" i="10"/>
  <c r="L39" i="10" s="1"/>
  <c r="E44" i="10"/>
  <c r="L44" i="10" s="1"/>
  <c r="E36" i="10"/>
  <c r="L36" i="10" s="1"/>
  <c r="G277" i="6"/>
  <c r="J73" i="6"/>
  <c r="N138" i="10"/>
  <c r="G73" i="6"/>
  <c r="K243" i="6"/>
  <c r="E45" i="10"/>
  <c r="L45" i="10" s="1"/>
  <c r="E41" i="10"/>
  <c r="L41" i="10" s="1"/>
  <c r="E37" i="10"/>
  <c r="L37" i="10" s="1"/>
  <c r="E31" i="10"/>
  <c r="L31" i="10" s="1"/>
  <c r="J277" i="6"/>
  <c r="E32" i="10"/>
  <c r="L32" i="10" s="1"/>
  <c r="I277" i="6"/>
  <c r="M145" i="10"/>
  <c r="M106" i="10"/>
  <c r="N140" i="10"/>
  <c r="O17" i="6"/>
  <c r="O25" i="6"/>
  <c r="O18" i="6"/>
  <c r="O20" i="6"/>
  <c r="O13" i="6"/>
  <c r="O15" i="6"/>
  <c r="O24" i="6"/>
  <c r="O26" i="6"/>
  <c r="O14" i="6"/>
  <c r="O23" i="6"/>
  <c r="O11" i="6"/>
  <c r="O19" i="6"/>
  <c r="O10" i="6"/>
  <c r="O12" i="6"/>
  <c r="O22" i="6"/>
  <c r="O16" i="6"/>
  <c r="O21" i="6"/>
  <c r="M112" i="10"/>
  <c r="N106" i="10"/>
  <c r="N145" i="10"/>
  <c r="M140" i="10"/>
  <c r="N142" i="10"/>
  <c r="M142" i="10"/>
  <c r="M122" i="10"/>
  <c r="N122" i="10"/>
  <c r="N120" i="10"/>
  <c r="M120" i="10"/>
  <c r="N144" i="10"/>
  <c r="N161" i="10"/>
  <c r="N137" i="10"/>
  <c r="M82" i="10"/>
  <c r="N107" i="10"/>
  <c r="N175" i="10"/>
  <c r="M117" i="10"/>
  <c r="M143" i="10"/>
  <c r="N139" i="10"/>
  <c r="M107" i="10"/>
  <c r="N118" i="10"/>
  <c r="M139" i="10"/>
  <c r="M114" i="10"/>
  <c r="M162" i="10"/>
  <c r="N116" i="10"/>
  <c r="N162" i="10"/>
  <c r="N143" i="10"/>
  <c r="N159" i="10"/>
  <c r="M109" i="10"/>
  <c r="M141" i="10"/>
  <c r="M159" i="10"/>
  <c r="M175" i="10"/>
  <c r="N141" i="10"/>
  <c r="M144" i="10"/>
  <c r="N109" i="10"/>
  <c r="E7" i="12"/>
  <c r="H56" i="15"/>
  <c r="D56" i="15" s="1"/>
  <c r="H57" i="15"/>
  <c r="D57" i="15" s="1"/>
  <c r="H58" i="15"/>
  <c r="D58" i="15" s="1"/>
  <c r="H59" i="15"/>
  <c r="D59" i="15" s="1"/>
  <c r="H60" i="15"/>
  <c r="D60" i="15" s="1"/>
  <c r="H61" i="15"/>
  <c r="D61" i="15" s="1"/>
  <c r="H62" i="15"/>
  <c r="D62" i="15" s="1"/>
  <c r="H63" i="15"/>
  <c r="D63" i="15" s="1"/>
  <c r="H64" i="15"/>
  <c r="D64" i="15" s="1"/>
  <c r="D65" i="15"/>
  <c r="H66" i="15"/>
  <c r="D66" i="15" s="1"/>
  <c r="H67" i="15"/>
  <c r="D67" i="15" s="1"/>
  <c r="H68" i="15"/>
  <c r="D68" i="15" s="1"/>
  <c r="H69" i="15"/>
  <c r="D69" i="15" s="1"/>
  <c r="H70" i="15"/>
  <c r="D70" i="15" s="1"/>
  <c r="H71" i="15"/>
  <c r="D71" i="15" s="1"/>
  <c r="H55" i="15"/>
  <c r="D55" i="15" s="1"/>
  <c r="F161" i="14"/>
  <c r="F183" i="14" s="1"/>
  <c r="F72" i="15" s="1"/>
  <c r="H34" i="15"/>
  <c r="D34" i="15" s="1"/>
  <c r="H35" i="15"/>
  <c r="D35" i="15" s="1"/>
  <c r="H36" i="15"/>
  <c r="D36" i="15" s="1"/>
  <c r="D37" i="15"/>
  <c r="H38" i="15"/>
  <c r="D38" i="15" s="1"/>
  <c r="H39" i="15"/>
  <c r="D39" i="15" s="1"/>
  <c r="H40" i="15"/>
  <c r="D40" i="15" s="1"/>
  <c r="H41" i="15"/>
  <c r="D41" i="15" s="1"/>
  <c r="H42" i="15"/>
  <c r="D42" i="15" s="1"/>
  <c r="H43" i="15"/>
  <c r="D43" i="15" s="1"/>
  <c r="H44" i="15"/>
  <c r="D44" i="15" s="1"/>
  <c r="H45" i="15"/>
  <c r="D45" i="15" s="1"/>
  <c r="H46" i="15"/>
  <c r="D46" i="15" s="1"/>
  <c r="H47" i="15"/>
  <c r="D47" i="15" s="1"/>
  <c r="H48" i="15"/>
  <c r="D48" i="15" s="1"/>
  <c r="H49" i="15"/>
  <c r="D49" i="15" s="1"/>
  <c r="H33" i="15"/>
  <c r="D33" i="15" s="1"/>
  <c r="H73" i="12"/>
  <c r="F15" i="13" s="1"/>
  <c r="E69" i="12"/>
  <c r="H69" i="12" s="1"/>
  <c r="F11" i="13" s="1"/>
  <c r="E74" i="12"/>
  <c r="H74" i="12" s="1"/>
  <c r="F16" i="13" s="1"/>
  <c r="E84" i="12"/>
  <c r="H84" i="12" s="1"/>
  <c r="F26" i="13" s="1"/>
  <c r="E75" i="12"/>
  <c r="H75" i="12" s="1"/>
  <c r="F17" i="13" s="1"/>
  <c r="E66" i="12"/>
  <c r="H66" i="12" s="1"/>
  <c r="F8" i="13" s="1"/>
  <c r="E76" i="12"/>
  <c r="H76" i="12" s="1"/>
  <c r="F18" i="13" s="1"/>
  <c r="E77" i="12"/>
  <c r="H77" i="12" s="1"/>
  <c r="F19" i="13" s="1"/>
  <c r="E78" i="12"/>
  <c r="H78" i="12" s="1"/>
  <c r="F20" i="13" s="1"/>
  <c r="E67" i="12"/>
  <c r="H67" i="12" s="1"/>
  <c r="F9" i="13" s="1"/>
  <c r="E79" i="12"/>
  <c r="H79" i="12" s="1"/>
  <c r="F21" i="13" s="1"/>
  <c r="E80" i="12"/>
  <c r="H80" i="12" s="1"/>
  <c r="F22" i="13" s="1"/>
  <c r="E81" i="12"/>
  <c r="H81" i="12" s="1"/>
  <c r="F23" i="13" s="1"/>
  <c r="E65" i="12"/>
  <c r="H65" i="12" s="1"/>
  <c r="F7" i="13" s="1"/>
  <c r="E71" i="12"/>
  <c r="H71" i="12" s="1"/>
  <c r="F13" i="13" s="1"/>
  <c r="H83" i="12"/>
  <c r="F25" i="13" s="1"/>
  <c r="E72" i="12"/>
  <c r="H72" i="12" s="1"/>
  <c r="F14" i="13" s="1"/>
  <c r="T139" i="12"/>
  <c r="W139" i="12" s="1"/>
  <c r="K23" i="13" s="1"/>
  <c r="T138" i="12"/>
  <c r="W138" i="12" s="1"/>
  <c r="K22" i="13" s="1"/>
  <c r="T137" i="12"/>
  <c r="W137" i="12" s="1"/>
  <c r="K21" i="13" s="1"/>
  <c r="T136" i="12"/>
  <c r="W136" i="12" s="1"/>
  <c r="K20" i="13" s="1"/>
  <c r="T135" i="12"/>
  <c r="W135" i="12" s="1"/>
  <c r="K19" i="13" s="1"/>
  <c r="T125" i="12"/>
  <c r="W125" i="12" s="1"/>
  <c r="K9" i="13" s="1"/>
  <c r="E110" i="12"/>
  <c r="H110" i="12" s="1"/>
  <c r="G23" i="13" s="1"/>
  <c r="E107" i="12"/>
  <c r="H107" i="12" s="1"/>
  <c r="G20" i="13" s="1"/>
  <c r="E106" i="12"/>
  <c r="H106" i="12" s="1"/>
  <c r="G19" i="13" s="1"/>
  <c r="E105" i="12"/>
  <c r="H105" i="12" s="1"/>
  <c r="G18" i="13" s="1"/>
  <c r="E95" i="12"/>
  <c r="H95" i="12" s="1"/>
  <c r="G8" i="13" s="1"/>
  <c r="E104" i="12"/>
  <c r="H104" i="12" s="1"/>
  <c r="G17" i="13" s="1"/>
  <c r="H102" i="12"/>
  <c r="G15" i="13" s="1"/>
  <c r="E101" i="12"/>
  <c r="H101" i="12" s="1"/>
  <c r="G14" i="13" s="1"/>
  <c r="H112" i="12"/>
  <c r="G25" i="13" s="1"/>
  <c r="E100" i="12"/>
  <c r="H100" i="12" s="1"/>
  <c r="G13" i="13" s="1"/>
  <c r="E94" i="12"/>
  <c r="H94" i="12" s="1"/>
  <c r="G7" i="13" s="1"/>
  <c r="E113" i="12"/>
  <c r="H113" i="12" s="1"/>
  <c r="G26" i="13" s="1"/>
  <c r="E109" i="12"/>
  <c r="H109" i="12" s="1"/>
  <c r="G22" i="13" s="1"/>
  <c r="E98" i="12"/>
  <c r="H98" i="12" s="1"/>
  <c r="G11" i="13" s="1"/>
  <c r="E96" i="12"/>
  <c r="H96" i="12" s="1"/>
  <c r="G9" i="13" s="1"/>
  <c r="E103" i="12"/>
  <c r="H103" i="12" s="1"/>
  <c r="G16" i="13" s="1"/>
  <c r="E108" i="12"/>
  <c r="H108" i="12" s="1"/>
  <c r="G21" i="13" s="1"/>
  <c r="E129" i="12"/>
  <c r="E141" i="12"/>
  <c r="H141" i="12" s="1"/>
  <c r="H25" i="13" s="1"/>
  <c r="E130" i="12"/>
  <c r="E127" i="12"/>
  <c r="E132" i="12"/>
  <c r="H132" i="12" s="1"/>
  <c r="H16" i="13" s="1"/>
  <c r="E142" i="12"/>
  <c r="E124" i="12"/>
  <c r="E134" i="12"/>
  <c r="E135" i="12"/>
  <c r="E125" i="12"/>
  <c r="E137" i="12"/>
  <c r="H137" i="12" s="1"/>
  <c r="H21" i="13" s="1"/>
  <c r="E138" i="12"/>
  <c r="H138" i="12" s="1"/>
  <c r="H22" i="13" s="1"/>
  <c r="O123" i="12"/>
  <c r="R123" i="12" s="1"/>
  <c r="J7" i="13" s="1"/>
  <c r="O129" i="12"/>
  <c r="R129" i="12" s="1"/>
  <c r="J13" i="13" s="1"/>
  <c r="R141" i="12"/>
  <c r="J25" i="13" s="1"/>
  <c r="O130" i="12"/>
  <c r="R130" i="12" s="1"/>
  <c r="J14" i="13" s="1"/>
  <c r="R131" i="12"/>
  <c r="J15" i="13" s="1"/>
  <c r="O127" i="12"/>
  <c r="R127" i="12" s="1"/>
  <c r="J11" i="13" s="1"/>
  <c r="O132" i="12"/>
  <c r="R132" i="12" s="1"/>
  <c r="J16" i="13" s="1"/>
  <c r="O142" i="12"/>
  <c r="R142" i="12" s="1"/>
  <c r="J26" i="13" s="1"/>
  <c r="O133" i="12"/>
  <c r="R133" i="12" s="1"/>
  <c r="J17" i="13" s="1"/>
  <c r="O124" i="12"/>
  <c r="R124" i="12" s="1"/>
  <c r="J8" i="13" s="1"/>
  <c r="O134" i="12"/>
  <c r="R134" i="12" s="1"/>
  <c r="J18" i="13" s="1"/>
  <c r="O135" i="12"/>
  <c r="R135" i="12" s="1"/>
  <c r="J19" i="13" s="1"/>
  <c r="O136" i="12"/>
  <c r="R136" i="12" s="1"/>
  <c r="J20" i="13" s="1"/>
  <c r="O125" i="12"/>
  <c r="R125" i="12" s="1"/>
  <c r="J9" i="13" s="1"/>
  <c r="O137" i="12"/>
  <c r="R137" i="12" s="1"/>
  <c r="J21" i="13" s="1"/>
  <c r="O138" i="12"/>
  <c r="R138" i="12" s="1"/>
  <c r="J22" i="13" s="1"/>
  <c r="O139" i="12"/>
  <c r="R139" i="12" s="1"/>
  <c r="J23" i="13" s="1"/>
  <c r="AB141" i="12"/>
  <c r="L25" i="13" s="1"/>
  <c r="Y139" i="12"/>
  <c r="AB139" i="12" s="1"/>
  <c r="L23" i="13" s="1"/>
  <c r="Y138" i="12"/>
  <c r="AB138" i="12" s="1"/>
  <c r="L22" i="13" s="1"/>
  <c r="Y137" i="12"/>
  <c r="AB137" i="12" s="1"/>
  <c r="L21" i="13" s="1"/>
  <c r="Y136" i="12"/>
  <c r="AB136" i="12" s="1"/>
  <c r="L20" i="13" s="1"/>
  <c r="Y135" i="12"/>
  <c r="AB135" i="12" s="1"/>
  <c r="L19" i="13" s="1"/>
  <c r="Y125" i="12"/>
  <c r="AB125" i="12" s="1"/>
  <c r="L9" i="13" s="1"/>
  <c r="Y123" i="12"/>
  <c r="AB123" i="12" s="1"/>
  <c r="L7" i="13" s="1"/>
  <c r="Y129" i="12"/>
  <c r="AB129" i="12" s="1"/>
  <c r="L13" i="13" s="1"/>
  <c r="Y130" i="12"/>
  <c r="AB130" i="12" s="1"/>
  <c r="L14" i="13" s="1"/>
  <c r="AB131" i="12"/>
  <c r="L15" i="13" s="1"/>
  <c r="Y127" i="12"/>
  <c r="AB127" i="12" s="1"/>
  <c r="L11" i="13" s="1"/>
  <c r="Y132" i="12"/>
  <c r="AB132" i="12" s="1"/>
  <c r="L16" i="13" s="1"/>
  <c r="Y142" i="12"/>
  <c r="AB142" i="12" s="1"/>
  <c r="L26" i="13" s="1"/>
  <c r="Y133" i="12"/>
  <c r="AB133" i="12" s="1"/>
  <c r="L17" i="13" s="1"/>
  <c r="Y124" i="12"/>
  <c r="AB124" i="12" s="1"/>
  <c r="L8" i="13" s="1"/>
  <c r="Y134" i="12"/>
  <c r="AB134" i="12" s="1"/>
  <c r="L18" i="13" s="1"/>
  <c r="J123" i="12"/>
  <c r="M123" i="12" s="1"/>
  <c r="I7" i="13" s="1"/>
  <c r="M131" i="12"/>
  <c r="I15" i="13" s="1"/>
  <c r="J133" i="12"/>
  <c r="M133" i="12" s="1"/>
  <c r="I17" i="13" s="1"/>
  <c r="J124" i="12"/>
  <c r="M124" i="12" s="1"/>
  <c r="I8" i="13" s="1"/>
  <c r="J135" i="12"/>
  <c r="M135" i="12" s="1"/>
  <c r="I19" i="13" s="1"/>
  <c r="J136" i="12"/>
  <c r="M136" i="12" s="1"/>
  <c r="I20" i="13" s="1"/>
  <c r="J125" i="12"/>
  <c r="M125" i="12" s="1"/>
  <c r="I9" i="13" s="1"/>
  <c r="J139" i="12"/>
  <c r="M139" i="12" s="1"/>
  <c r="I23" i="13" s="1"/>
  <c r="J127" i="12"/>
  <c r="M127" i="12" s="1"/>
  <c r="I11" i="13" s="1"/>
  <c r="J132" i="12"/>
  <c r="M132" i="12" s="1"/>
  <c r="I16" i="13" s="1"/>
  <c r="J142" i="12"/>
  <c r="M142" i="12" s="1"/>
  <c r="I26" i="13" s="1"/>
  <c r="J134" i="12"/>
  <c r="M134" i="12" s="1"/>
  <c r="I18" i="13" s="1"/>
  <c r="J137" i="12"/>
  <c r="M137" i="12" s="1"/>
  <c r="I21" i="13" s="1"/>
  <c r="J138" i="12"/>
  <c r="M138" i="12" s="1"/>
  <c r="I22" i="13" s="1"/>
  <c r="J129" i="12"/>
  <c r="M129" i="12" s="1"/>
  <c r="I13" i="13" s="1"/>
  <c r="J130" i="12"/>
  <c r="M130" i="12" s="1"/>
  <c r="I14" i="13" s="1"/>
  <c r="M141" i="12"/>
  <c r="I25" i="13" s="1"/>
  <c r="T123" i="12"/>
  <c r="T132" i="12"/>
  <c r="E123" i="12"/>
  <c r="E139" i="12"/>
  <c r="E136" i="12"/>
  <c r="E133" i="12"/>
  <c r="E131" i="12"/>
  <c r="T133" i="12"/>
  <c r="T134" i="12"/>
  <c r="M50" i="10"/>
  <c r="E42" i="10"/>
  <c r="L42" i="10" s="1"/>
  <c r="E33" i="10"/>
  <c r="L33" i="10" s="1"/>
  <c r="M49" i="10"/>
  <c r="E46" i="10"/>
  <c r="L46" i="10" s="1"/>
  <c r="E38" i="10"/>
  <c r="L38" i="10" s="1"/>
  <c r="O86" i="10"/>
  <c r="F127" i="12"/>
  <c r="O166" i="10"/>
  <c r="U134" i="12"/>
  <c r="O85" i="10"/>
  <c r="F131" i="12"/>
  <c r="O165" i="10"/>
  <c r="U124" i="12"/>
  <c r="O91" i="10"/>
  <c r="F134" i="12"/>
  <c r="O159" i="10"/>
  <c r="U130" i="12"/>
  <c r="O164" i="10"/>
  <c r="U133" i="12"/>
  <c r="O94" i="10"/>
  <c r="F125" i="12"/>
  <c r="O84" i="10"/>
  <c r="F130" i="12"/>
  <c r="O160" i="10"/>
  <c r="U131" i="12"/>
  <c r="O163" i="10"/>
  <c r="U142" i="12"/>
  <c r="O93" i="10"/>
  <c r="F136" i="12"/>
  <c r="O82" i="10"/>
  <c r="F129" i="12"/>
  <c r="O92" i="10"/>
  <c r="F135" i="12"/>
  <c r="O81" i="10"/>
  <c r="F123" i="12"/>
  <c r="O158" i="10"/>
  <c r="U141" i="12"/>
  <c r="O162" i="10"/>
  <c r="U132" i="12"/>
  <c r="O90" i="10"/>
  <c r="F124" i="12"/>
  <c r="G143" i="6"/>
  <c r="O157" i="10"/>
  <c r="U129" i="12"/>
  <c r="O161" i="10"/>
  <c r="U127" i="12"/>
  <c r="O89" i="10"/>
  <c r="F133" i="12"/>
  <c r="O156" i="10"/>
  <c r="U123" i="12"/>
  <c r="N66" i="6"/>
  <c r="O66" i="6" s="1"/>
  <c r="O88" i="10"/>
  <c r="F142" i="12"/>
  <c r="S37" i="7"/>
  <c r="N98" i="6"/>
  <c r="O98" i="6" s="1"/>
  <c r="E206" i="11" s="1"/>
  <c r="H44" i="12"/>
  <c r="E15" i="13" s="1"/>
  <c r="S35" i="7"/>
  <c r="R29" i="7"/>
  <c r="N133" i="10"/>
  <c r="F58" i="12"/>
  <c r="F57" i="12"/>
  <c r="G37" i="12" s="1"/>
  <c r="F86" i="12"/>
  <c r="G76" i="12" s="1"/>
  <c r="N59" i="6"/>
  <c r="O59" i="6" s="1"/>
  <c r="E33" i="11"/>
  <c r="D33" i="11" s="1"/>
  <c r="F87" i="12"/>
  <c r="F143" i="6"/>
  <c r="N62" i="6"/>
  <c r="O62" i="6" s="1"/>
  <c r="E39" i="11"/>
  <c r="D39" i="11" s="1"/>
  <c r="E248" i="11"/>
  <c r="D248" i="11" s="1"/>
  <c r="E45" i="11"/>
  <c r="D45" i="11" s="1"/>
  <c r="E143" i="6"/>
  <c r="N67" i="6"/>
  <c r="O67" i="6" s="1"/>
  <c r="E42" i="11"/>
  <c r="D42" i="11" s="1"/>
  <c r="N234" i="6"/>
  <c r="O234" i="6" s="1"/>
  <c r="N60" i="6"/>
  <c r="O60" i="6" s="1"/>
  <c r="N64" i="6"/>
  <c r="O64" i="6" s="1"/>
  <c r="M179" i="10"/>
  <c r="M166" i="10"/>
  <c r="M147" i="10"/>
  <c r="N163" i="10"/>
  <c r="N117" i="10"/>
  <c r="T12" i="7"/>
  <c r="E83" i="10" s="1"/>
  <c r="S103" i="7"/>
  <c r="S60" i="7"/>
  <c r="S97" i="7"/>
  <c r="S95" i="7"/>
  <c r="N147" i="10"/>
  <c r="N166" i="10"/>
  <c r="S87" i="7"/>
  <c r="T14" i="7"/>
  <c r="E85" i="10" s="1"/>
  <c r="M133" i="10"/>
  <c r="M163" i="10"/>
  <c r="S58" i="7"/>
  <c r="R18" i="7"/>
  <c r="T18" i="7" s="1"/>
  <c r="E89" i="10" s="1"/>
  <c r="N176" i="10"/>
  <c r="M176" i="10"/>
  <c r="N111" i="10"/>
  <c r="M111" i="10"/>
  <c r="E21" i="11"/>
  <c r="D21" i="11"/>
  <c r="G21" i="11"/>
  <c r="F21" i="11"/>
  <c r="N183" i="10"/>
  <c r="M183" i="10"/>
  <c r="N110" i="10"/>
  <c r="M110" i="10"/>
  <c r="N115" i="10"/>
  <c r="M115" i="10"/>
  <c r="G23" i="11"/>
  <c r="D23" i="11"/>
  <c r="F23" i="11"/>
  <c r="E23" i="11"/>
  <c r="F8" i="11"/>
  <c r="D8" i="11"/>
  <c r="G8" i="11"/>
  <c r="E8" i="11"/>
  <c r="F14" i="11"/>
  <c r="D14" i="11"/>
  <c r="G14" i="11"/>
  <c r="E14" i="11"/>
  <c r="N178" i="10"/>
  <c r="M178" i="10"/>
  <c r="R68" i="7"/>
  <c r="T68" i="7" s="1"/>
  <c r="E143" i="10" s="1"/>
  <c r="R65" i="7"/>
  <c r="T65" i="7" s="1"/>
  <c r="E140" i="10" s="1"/>
  <c r="R34" i="7"/>
  <c r="T34" i="7" s="1"/>
  <c r="E107" i="10" s="1"/>
  <c r="R56" i="7"/>
  <c r="T56" i="7" s="1"/>
  <c r="E131" i="10" s="1"/>
  <c r="R89" i="7"/>
  <c r="T89" i="7" s="1"/>
  <c r="E166" i="10" s="1"/>
  <c r="R81" i="7"/>
  <c r="T81" i="7" s="1"/>
  <c r="E158" i="10" s="1"/>
  <c r="R71" i="7"/>
  <c r="T71" i="7" s="1"/>
  <c r="E146" i="10" s="1"/>
  <c r="S99" i="7"/>
  <c r="R84" i="7"/>
  <c r="T84" i="7" s="1"/>
  <c r="E161" i="10" s="1"/>
  <c r="V125" i="12"/>
  <c r="V135" i="12"/>
  <c r="N240" i="6"/>
  <c r="O240" i="6" s="1"/>
  <c r="H103" i="7"/>
  <c r="H100" i="7"/>
  <c r="H89" i="7"/>
  <c r="H81" i="7"/>
  <c r="H88" i="7"/>
  <c r="I87" i="7"/>
  <c r="K87" i="7" s="1"/>
  <c r="H79" i="7"/>
  <c r="H67" i="7"/>
  <c r="I101" i="7"/>
  <c r="H99" i="7"/>
  <c r="I98" i="7"/>
  <c r="H85" i="7"/>
  <c r="H101" i="7"/>
  <c r="H98" i="7"/>
  <c r="H97" i="7"/>
  <c r="H84" i="7"/>
  <c r="H83" i="7"/>
  <c r="H75" i="7"/>
  <c r="H66" i="7"/>
  <c r="H58" i="7"/>
  <c r="H95" i="7"/>
  <c r="H94" i="7"/>
  <c r="H68" i="7"/>
  <c r="H60" i="7"/>
  <c r="H48" i="7"/>
  <c r="H40" i="7"/>
  <c r="H29" i="7"/>
  <c r="H20" i="7"/>
  <c r="H70" i="7"/>
  <c r="H93" i="7"/>
  <c r="H82" i="7"/>
  <c r="H59" i="7"/>
  <c r="H56" i="7"/>
  <c r="H41" i="7"/>
  <c r="H80" i="7"/>
  <c r="H72" i="7"/>
  <c r="H52" i="7"/>
  <c r="H51" i="7"/>
  <c r="H96" i="7"/>
  <c r="H65" i="7"/>
  <c r="H64" i="7"/>
  <c r="H63" i="7"/>
  <c r="H62" i="7"/>
  <c r="I99" i="7"/>
  <c r="I58" i="7"/>
  <c r="K58" i="7" s="1"/>
  <c r="H26" i="7"/>
  <c r="H25" i="7"/>
  <c r="H14" i="7"/>
  <c r="H11" i="7"/>
  <c r="H102" i="7"/>
  <c r="H71" i="7"/>
  <c r="H46" i="7"/>
  <c r="H43" i="7"/>
  <c r="H34" i="7"/>
  <c r="H33" i="7"/>
  <c r="H24" i="7"/>
  <c r="I103" i="7"/>
  <c r="K103" i="7" s="1"/>
  <c r="H69" i="7"/>
  <c r="H47" i="7"/>
  <c r="H36" i="7"/>
  <c r="H87" i="7"/>
  <c r="I60" i="7"/>
  <c r="H45" i="7"/>
  <c r="H39" i="7"/>
  <c r="H19" i="7"/>
  <c r="H12" i="7"/>
  <c r="H10" i="7"/>
  <c r="I35" i="7"/>
  <c r="K35" i="7" s="1"/>
  <c r="H23" i="7"/>
  <c r="H74" i="7"/>
  <c r="H35" i="7"/>
  <c r="H13" i="7"/>
  <c r="H22" i="7"/>
  <c r="H18" i="7"/>
  <c r="I95" i="7"/>
  <c r="K95" i="7" s="1"/>
  <c r="H44" i="7"/>
  <c r="H28" i="7"/>
  <c r="H21" i="7"/>
  <c r="H16" i="7"/>
  <c r="H57" i="7"/>
  <c r="H49" i="7"/>
  <c r="H86" i="7"/>
  <c r="I59" i="7"/>
  <c r="H37" i="7"/>
  <c r="H17" i="7"/>
  <c r="H42" i="7"/>
  <c r="E47" i="11"/>
  <c r="D47" i="11" s="1"/>
  <c r="E37" i="11"/>
  <c r="D37" i="11" s="1"/>
  <c r="H277" i="6"/>
  <c r="N132" i="6"/>
  <c r="O132" i="6" s="1"/>
  <c r="N58" i="6"/>
  <c r="O58" i="6" s="1"/>
  <c r="E286" i="11"/>
  <c r="D286" i="11" s="1"/>
  <c r="E282" i="11"/>
  <c r="D282" i="11" s="1"/>
  <c r="E278" i="11"/>
  <c r="D278" i="11" s="1"/>
  <c r="E285" i="11"/>
  <c r="D285" i="11" s="1"/>
  <c r="E281" i="11"/>
  <c r="D281" i="11" s="1"/>
  <c r="E277" i="11"/>
  <c r="D277" i="11" s="1"/>
  <c r="E283" i="11"/>
  <c r="D283" i="11" s="1"/>
  <c r="E280" i="11"/>
  <c r="D280" i="11" s="1"/>
  <c r="E279" i="11"/>
  <c r="D279" i="11" s="1"/>
  <c r="E284" i="11"/>
  <c r="D284" i="11" s="1"/>
  <c r="N57" i="6"/>
  <c r="O57" i="6" s="1"/>
  <c r="N179" i="10"/>
  <c r="K145" i="12"/>
  <c r="K144" i="12"/>
  <c r="L138" i="12" s="1"/>
  <c r="N182" i="10"/>
  <c r="M182" i="10"/>
  <c r="G11" i="11"/>
  <c r="E11" i="11"/>
  <c r="F11" i="11"/>
  <c r="D11" i="11"/>
  <c r="R58" i="7"/>
  <c r="N156" i="10"/>
  <c r="N108" i="10"/>
  <c r="M108" i="10"/>
  <c r="N160" i="10"/>
  <c r="M160" i="10"/>
  <c r="G9" i="11"/>
  <c r="D9" i="11"/>
  <c r="F9" i="11"/>
  <c r="E9" i="11"/>
  <c r="E13" i="11"/>
  <c r="G13" i="11"/>
  <c r="F13" i="11"/>
  <c r="D13" i="11"/>
  <c r="G22" i="11"/>
  <c r="F22" i="11"/>
  <c r="D22" i="11"/>
  <c r="E22" i="11"/>
  <c r="G85" i="10"/>
  <c r="N85" i="10" s="1"/>
  <c r="R37" i="7"/>
  <c r="R59" i="7"/>
  <c r="N184" i="10"/>
  <c r="M184" i="10"/>
  <c r="R66" i="7"/>
  <c r="T66" i="7" s="1"/>
  <c r="E141" i="10" s="1"/>
  <c r="R40" i="7"/>
  <c r="T40" i="7" s="1"/>
  <c r="E113" i="10" s="1"/>
  <c r="R17" i="7"/>
  <c r="T17" i="7" s="1"/>
  <c r="E88" i="10" s="1"/>
  <c r="R42" i="7"/>
  <c r="T42" i="7" s="1"/>
  <c r="E115" i="10" s="1"/>
  <c r="S98" i="7"/>
  <c r="R83" i="7"/>
  <c r="T83" i="7" s="1"/>
  <c r="E160" i="10" s="1"/>
  <c r="R72" i="7"/>
  <c r="T72" i="7" s="1"/>
  <c r="E147" i="10" s="1"/>
  <c r="R95" i="7"/>
  <c r="R75" i="7"/>
  <c r="V136" i="12"/>
  <c r="E34" i="11"/>
  <c r="D34" i="11" s="1"/>
  <c r="E30" i="11"/>
  <c r="D30" i="11" s="1"/>
  <c r="E41" i="11"/>
  <c r="D41" i="11" s="1"/>
  <c r="K277" i="6"/>
  <c r="G243" i="6"/>
  <c r="N210" i="6"/>
  <c r="O210" i="6" s="1"/>
  <c r="E287" i="11" s="1"/>
  <c r="M86" i="10"/>
  <c r="O125" i="10"/>
  <c r="O124" i="10"/>
  <c r="N181" i="10"/>
  <c r="M181" i="10"/>
  <c r="G19" i="11"/>
  <c r="F19" i="11"/>
  <c r="E19" i="11"/>
  <c r="D19" i="11"/>
  <c r="T102" i="7"/>
  <c r="E183" i="10" s="1"/>
  <c r="R102" i="7"/>
  <c r="R88" i="7"/>
  <c r="T88" i="7" s="1"/>
  <c r="E165" i="10" s="1"/>
  <c r="N241" i="6"/>
  <c r="O241" i="6" s="1"/>
  <c r="V137" i="12"/>
  <c r="N236" i="6"/>
  <c r="O236" i="6" s="1"/>
  <c r="N28" i="6"/>
  <c r="O28" i="6" s="1"/>
  <c r="E73" i="6"/>
  <c r="G71" i="14"/>
  <c r="G93" i="14" s="1"/>
  <c r="G50" i="15" s="1"/>
  <c r="H71" i="14"/>
  <c r="H93" i="14" s="1"/>
  <c r="H50" i="15" s="1"/>
  <c r="N134" i="10"/>
  <c r="M134" i="10"/>
  <c r="F16" i="11"/>
  <c r="D16" i="11"/>
  <c r="G16" i="11"/>
  <c r="E16" i="11"/>
  <c r="D10" i="11"/>
  <c r="G10" i="11"/>
  <c r="F10" i="11"/>
  <c r="E10" i="11"/>
  <c r="N146" i="10"/>
  <c r="M146" i="10"/>
  <c r="R82" i="7"/>
  <c r="R67" i="7"/>
  <c r="T67" i="7" s="1"/>
  <c r="E142" i="10" s="1"/>
  <c r="R47" i="7"/>
  <c r="T47" i="7" s="1"/>
  <c r="E120" i="10" s="1"/>
  <c r="R33" i="7"/>
  <c r="T33" i="7" s="1"/>
  <c r="E106" i="10" s="1"/>
  <c r="R23" i="7"/>
  <c r="T23" i="7" s="1"/>
  <c r="E94" i="10" s="1"/>
  <c r="R98" i="7"/>
  <c r="S59" i="7"/>
  <c r="M137" i="10"/>
  <c r="N81" i="10"/>
  <c r="M81" i="10"/>
  <c r="N113" i="10"/>
  <c r="M113" i="10"/>
  <c r="Z145" i="12"/>
  <c r="Z144" i="12"/>
  <c r="V138" i="12"/>
  <c r="E43" i="11"/>
  <c r="D43" i="11" s="1"/>
  <c r="E32" i="11"/>
  <c r="D32" i="11" s="1"/>
  <c r="O187" i="10"/>
  <c r="O186" i="10"/>
  <c r="N191" i="6"/>
  <c r="O191" i="6" s="1"/>
  <c r="E250" i="11" s="1"/>
  <c r="N177" i="10"/>
  <c r="M177" i="10"/>
  <c r="R41" i="7"/>
  <c r="T41" i="7" s="1"/>
  <c r="E114" i="10" s="1"/>
  <c r="R57" i="7"/>
  <c r="T57" i="7" s="1"/>
  <c r="E132" i="10" s="1"/>
  <c r="R103" i="7"/>
  <c r="N158" i="10"/>
  <c r="M158" i="10"/>
  <c r="M118" i="10"/>
  <c r="M180" i="10"/>
  <c r="N180" i="10"/>
  <c r="D7" i="11"/>
  <c r="F7" i="11"/>
  <c r="G7" i="11"/>
  <c r="E7" i="11"/>
  <c r="D18" i="11"/>
  <c r="G18" i="11"/>
  <c r="F18" i="11"/>
  <c r="E18" i="11"/>
  <c r="M138" i="10"/>
  <c r="R100" i="7"/>
  <c r="T100" i="7" s="1"/>
  <c r="E181" i="10" s="1"/>
  <c r="M161" i="10"/>
  <c r="R21" i="7"/>
  <c r="T21" i="7" s="1"/>
  <c r="E92" i="10" s="1"/>
  <c r="R96" i="7"/>
  <c r="T96" i="7" s="1"/>
  <c r="E177" i="10" s="1"/>
  <c r="R16" i="7"/>
  <c r="T16" i="7" s="1"/>
  <c r="E87" i="10" s="1"/>
  <c r="R51" i="7"/>
  <c r="R38" i="7" s="1"/>
  <c r="P38" i="7"/>
  <c r="R44" i="7"/>
  <c r="T44" i="7"/>
  <c r="E117" i="10" s="1"/>
  <c r="R35" i="7"/>
  <c r="S101" i="7"/>
  <c r="R62" i="7"/>
  <c r="T62" i="7" s="1"/>
  <c r="E137" i="10" s="1"/>
  <c r="V139" i="12"/>
  <c r="N239" i="6"/>
  <c r="O239" i="6" s="1"/>
  <c r="E31" i="11"/>
  <c r="D31" i="11" s="1"/>
  <c r="E36" i="11"/>
  <c r="D36" i="11" s="1"/>
  <c r="N232" i="6"/>
  <c r="O232" i="6" s="1"/>
  <c r="E277" i="6"/>
  <c r="N265" i="6"/>
  <c r="O265" i="6" s="1"/>
  <c r="N231" i="6"/>
  <c r="O231" i="6" s="1"/>
  <c r="J143" i="6"/>
  <c r="E203" i="11"/>
  <c r="D203" i="11" s="1"/>
  <c r="E199" i="11"/>
  <c r="D199" i="11" s="1"/>
  <c r="E195" i="11"/>
  <c r="D195" i="11" s="1"/>
  <c r="E191" i="11"/>
  <c r="D191" i="11" s="1"/>
  <c r="E202" i="11"/>
  <c r="D202" i="11" s="1"/>
  <c r="E198" i="11"/>
  <c r="D198" i="11" s="1"/>
  <c r="E194" i="11"/>
  <c r="D194" i="11" s="1"/>
  <c r="E190" i="11"/>
  <c r="D190" i="11" s="1"/>
  <c r="E204" i="11"/>
  <c r="D204" i="11" s="1"/>
  <c r="E201" i="11"/>
  <c r="D201" i="11" s="1"/>
  <c r="E192" i="11"/>
  <c r="D192" i="11" s="1"/>
  <c r="E200" i="11"/>
  <c r="D200" i="11" s="1"/>
  <c r="E197" i="11"/>
  <c r="D197" i="11" s="1"/>
  <c r="E205" i="11"/>
  <c r="D205" i="11" s="1"/>
  <c r="E196" i="11"/>
  <c r="D196" i="11" s="1"/>
  <c r="E193" i="11"/>
  <c r="D193" i="11" s="1"/>
  <c r="N135" i="10"/>
  <c r="M135" i="10"/>
  <c r="G96" i="10"/>
  <c r="N96" i="10" s="1"/>
  <c r="P61" i="7"/>
  <c r="R74" i="7"/>
  <c r="R61" i="7" s="1"/>
  <c r="M165" i="10"/>
  <c r="N165" i="10"/>
  <c r="N131" i="10"/>
  <c r="M131" i="10"/>
  <c r="M116" i="10"/>
  <c r="F24" i="11"/>
  <c r="E24" i="11"/>
  <c r="D24" i="11"/>
  <c r="G24" i="11"/>
  <c r="F12" i="11"/>
  <c r="G12" i="11"/>
  <c r="D12" i="11"/>
  <c r="E12" i="11"/>
  <c r="R46" i="7"/>
  <c r="T46" i="7" s="1"/>
  <c r="E119" i="10" s="1"/>
  <c r="R101" i="7"/>
  <c r="P15" i="7"/>
  <c r="R28" i="7"/>
  <c r="R15" i="7" s="1"/>
  <c r="R36" i="7"/>
  <c r="T36" i="7" s="1"/>
  <c r="E109" i="10" s="1"/>
  <c r="R79" i="7"/>
  <c r="T79" i="7" s="1"/>
  <c r="E156" i="10" s="1"/>
  <c r="R43" i="7"/>
  <c r="T43" i="7" s="1"/>
  <c r="E116" i="10" s="1"/>
  <c r="R69" i="7"/>
  <c r="T69" i="7" s="1"/>
  <c r="E144" i="10" s="1"/>
  <c r="R70" i="7"/>
  <c r="T70" i="7" s="1"/>
  <c r="E145" i="10" s="1"/>
  <c r="E249" i="11"/>
  <c r="D249" i="11" s="1"/>
  <c r="E245" i="11"/>
  <c r="D245" i="11" s="1"/>
  <c r="E241" i="11"/>
  <c r="D241" i="11" s="1"/>
  <c r="E237" i="11"/>
  <c r="D237" i="11" s="1"/>
  <c r="E233" i="11"/>
  <c r="D233" i="11" s="1"/>
  <c r="E244" i="11"/>
  <c r="D244" i="11" s="1"/>
  <c r="E240" i="11"/>
  <c r="D240" i="11" s="1"/>
  <c r="E236" i="11"/>
  <c r="D236" i="11" s="1"/>
  <c r="E247" i="11"/>
  <c r="D247" i="11" s="1"/>
  <c r="E238" i="11"/>
  <c r="D238" i="11" s="1"/>
  <c r="E235" i="11"/>
  <c r="D235" i="11" s="1"/>
  <c r="E246" i="11"/>
  <c r="D246" i="11" s="1"/>
  <c r="E243" i="11"/>
  <c r="D243" i="11" s="1"/>
  <c r="E234" i="11"/>
  <c r="D234" i="11" s="1"/>
  <c r="E242" i="11"/>
  <c r="D242" i="11" s="1"/>
  <c r="E239" i="11"/>
  <c r="D239" i="11" s="1"/>
  <c r="F101" i="7"/>
  <c r="F98" i="7"/>
  <c r="F87" i="7"/>
  <c r="F93" i="7"/>
  <c r="F80" i="7"/>
  <c r="F74" i="7"/>
  <c r="F61" i="7" s="1"/>
  <c r="F65" i="7"/>
  <c r="F88" i="7"/>
  <c r="F79" i="7"/>
  <c r="F100" i="7"/>
  <c r="G99" i="7"/>
  <c r="F86" i="7"/>
  <c r="F72" i="7"/>
  <c r="F64" i="7"/>
  <c r="F97" i="7"/>
  <c r="F83" i="7"/>
  <c r="F75" i="7"/>
  <c r="G61" i="7" s="1"/>
  <c r="F66" i="7"/>
  <c r="F58" i="7"/>
  <c r="F46" i="7"/>
  <c r="F26" i="7"/>
  <c r="F18" i="7"/>
  <c r="F69" i="7"/>
  <c r="F103" i="7"/>
  <c r="F102" i="7"/>
  <c r="F99" i="7"/>
  <c r="F82" i="7"/>
  <c r="F67" i="7"/>
  <c r="F63" i="7"/>
  <c r="F44" i="7"/>
  <c r="F43" i="7"/>
  <c r="F33" i="7"/>
  <c r="G98" i="7"/>
  <c r="F89" i="7"/>
  <c r="F81" i="7"/>
  <c r="G59" i="7"/>
  <c r="F57" i="7"/>
  <c r="F42" i="7"/>
  <c r="G101" i="7"/>
  <c r="F96" i="7"/>
  <c r="F68" i="7"/>
  <c r="F60" i="7"/>
  <c r="F59" i="7"/>
  <c r="F45" i="7"/>
  <c r="F39" i="7"/>
  <c r="G37" i="7"/>
  <c r="F94" i="7"/>
  <c r="F62" i="7"/>
  <c r="F37" i="7"/>
  <c r="F17" i="7"/>
  <c r="F52" i="7"/>
  <c r="G38" i="7" s="1"/>
  <c r="F48" i="7"/>
  <c r="F29" i="7"/>
  <c r="G15" i="7" s="1"/>
  <c r="F28" i="7"/>
  <c r="F15" i="7" s="1"/>
  <c r="F16" i="7"/>
  <c r="F85" i="7"/>
  <c r="F49" i="7"/>
  <c r="F35" i="7"/>
  <c r="F22" i="7"/>
  <c r="F13" i="7"/>
  <c r="F41" i="7"/>
  <c r="F21" i="7"/>
  <c r="F10" i="7"/>
  <c r="G60" i="7"/>
  <c r="F24" i="7"/>
  <c r="F20" i="7"/>
  <c r="F12" i="7"/>
  <c r="F70" i="7"/>
  <c r="F84" i="7"/>
  <c r="F71" i="7"/>
  <c r="F23" i="7"/>
  <c r="F19" i="7"/>
  <c r="F47" i="7"/>
  <c r="F36" i="7"/>
  <c r="F51" i="7"/>
  <c r="F38" i="7" s="1"/>
  <c r="F95" i="7"/>
  <c r="F25" i="7"/>
  <c r="F14" i="7"/>
  <c r="F40" i="7"/>
  <c r="F11" i="7"/>
  <c r="F34" i="7"/>
  <c r="F56" i="7"/>
  <c r="E46" i="11"/>
  <c r="D46" i="11" s="1"/>
  <c r="E40" i="11"/>
  <c r="D40" i="11" s="1"/>
  <c r="P144" i="12"/>
  <c r="P145" i="12"/>
  <c r="N131" i="6"/>
  <c r="O131" i="6" s="1"/>
  <c r="N69" i="6"/>
  <c r="O69" i="6" s="1"/>
  <c r="N136" i="6"/>
  <c r="O136" i="6" s="1"/>
  <c r="R97" i="7"/>
  <c r="K143" i="6"/>
  <c r="E161" i="14"/>
  <c r="E183" i="14" s="1"/>
  <c r="E72" i="15" s="1"/>
  <c r="F71" i="14"/>
  <c r="F93" i="14" s="1"/>
  <c r="F50" i="15" s="1"/>
  <c r="N136" i="10"/>
  <c r="M136" i="10"/>
  <c r="G15" i="11"/>
  <c r="F15" i="11"/>
  <c r="E15" i="11"/>
  <c r="D15" i="11"/>
  <c r="F20" i="11"/>
  <c r="E20" i="11"/>
  <c r="D20" i="11"/>
  <c r="G20" i="11"/>
  <c r="N114" i="10"/>
  <c r="N121" i="10"/>
  <c r="M121" i="10"/>
  <c r="R49" i="7"/>
  <c r="T49" i="7" s="1"/>
  <c r="E122" i="10" s="1"/>
  <c r="R10" i="7"/>
  <c r="T10" i="7" s="1"/>
  <c r="E81" i="10" s="1"/>
  <c r="R39" i="7"/>
  <c r="T39" i="7" s="1"/>
  <c r="E112" i="10" s="1"/>
  <c r="R85" i="7"/>
  <c r="T85" i="7" s="1"/>
  <c r="E162" i="10" s="1"/>
  <c r="R94" i="7"/>
  <c r="T94" i="7" s="1"/>
  <c r="E176" i="10" s="1"/>
  <c r="R52" i="7"/>
  <c r="S38" i="7" s="1"/>
  <c r="Q38" i="7"/>
  <c r="R86" i="7"/>
  <c r="T86" i="7" s="1"/>
  <c r="E163" i="10" s="1"/>
  <c r="R80" i="7"/>
  <c r="T80" i="7" s="1"/>
  <c r="E157" i="10" s="1"/>
  <c r="N112" i="10"/>
  <c r="N237" i="6"/>
  <c r="O237" i="6" s="1"/>
  <c r="E35" i="11"/>
  <c r="D35" i="11" s="1"/>
  <c r="E44" i="11"/>
  <c r="D44" i="11" s="1"/>
  <c r="O150" i="10"/>
  <c r="O149" i="10"/>
  <c r="O233" i="6"/>
  <c r="N233" i="6"/>
  <c r="N140" i="6"/>
  <c r="O140" i="6" s="1"/>
  <c r="N127" i="6"/>
  <c r="O127" i="6" s="1"/>
  <c r="N65" i="6"/>
  <c r="O65" i="6" s="1"/>
  <c r="N135" i="6"/>
  <c r="O135" i="6" s="1"/>
  <c r="N132" i="10"/>
  <c r="M132" i="10"/>
  <c r="M157" i="10"/>
  <c r="N157" i="10"/>
  <c r="G17" i="11"/>
  <c r="E17" i="11"/>
  <c r="D17" i="11"/>
  <c r="F17" i="11"/>
  <c r="N119" i="10"/>
  <c r="M119" i="10"/>
  <c r="G91" i="10"/>
  <c r="N91" i="10" s="1"/>
  <c r="F115" i="12"/>
  <c r="G95" i="12" s="1"/>
  <c r="F116" i="12"/>
  <c r="R64" i="7"/>
  <c r="T64" i="7" s="1"/>
  <c r="E139" i="10" s="1"/>
  <c r="R22" i="7"/>
  <c r="T22" i="7" s="1"/>
  <c r="E93" i="10" s="1"/>
  <c r="R45" i="7"/>
  <c r="T45" i="7" s="1"/>
  <c r="E118" i="10" s="1"/>
  <c r="R99" i="7"/>
  <c r="R60" i="7"/>
  <c r="R63" i="7"/>
  <c r="T63" i="7"/>
  <c r="E138" i="10" s="1"/>
  <c r="R87" i="7"/>
  <c r="R93" i="7"/>
  <c r="T93" i="7" s="1"/>
  <c r="E175" i="10" s="1"/>
  <c r="G97" i="10"/>
  <c r="N97" i="10" s="1"/>
  <c r="G87" i="10"/>
  <c r="N87" i="10" s="1"/>
  <c r="N164" i="10"/>
  <c r="M164" i="10"/>
  <c r="N238" i="6"/>
  <c r="O238" i="6" s="1"/>
  <c r="N301" i="6"/>
  <c r="E48" i="11" s="1"/>
  <c r="E38" i="11"/>
  <c r="D38" i="11" s="1"/>
  <c r="N139" i="6"/>
  <c r="O139" i="6" s="1"/>
  <c r="N70" i="6"/>
  <c r="O70" i="6" s="1"/>
  <c r="N61" i="6"/>
  <c r="O61" i="6" s="1"/>
  <c r="W124" i="12" l="1"/>
  <c r="K8" i="13" s="1"/>
  <c r="AA127" i="12"/>
  <c r="AA134" i="12"/>
  <c r="AA124" i="12"/>
  <c r="AA142" i="12"/>
  <c r="AA133" i="12"/>
  <c r="AA132" i="12"/>
  <c r="AA131" i="12"/>
  <c r="AA130" i="12"/>
  <c r="AA129" i="12"/>
  <c r="AA141" i="12"/>
  <c r="H139" i="12"/>
  <c r="H23" i="13" s="1"/>
  <c r="W127" i="12"/>
  <c r="K11" i="13" s="1"/>
  <c r="K37" i="7"/>
  <c r="M94" i="10"/>
  <c r="M88" i="10"/>
  <c r="M89" i="10"/>
  <c r="M84" i="10"/>
  <c r="M90" i="10"/>
  <c r="M92" i="10"/>
  <c r="M83" i="10"/>
  <c r="M95" i="10"/>
  <c r="M93" i="10"/>
  <c r="M87" i="10"/>
  <c r="M97" i="10"/>
  <c r="M85" i="10"/>
  <c r="M96" i="10"/>
  <c r="M91" i="10"/>
  <c r="H131" i="12"/>
  <c r="H15" i="13" s="1"/>
  <c r="T82" i="7"/>
  <c r="E159" i="10" s="1"/>
  <c r="T59" i="7"/>
  <c r="E134" i="10" s="1"/>
  <c r="H133" i="12"/>
  <c r="H17" i="13" s="1"/>
  <c r="G52" i="12"/>
  <c r="G45" i="12"/>
  <c r="G40" i="12"/>
  <c r="G38" i="12"/>
  <c r="G36" i="12"/>
  <c r="G49" i="12"/>
  <c r="G51" i="12"/>
  <c r="G44" i="12"/>
  <c r="G50" i="12"/>
  <c r="H135" i="12"/>
  <c r="H19" i="13" s="1"/>
  <c r="H125" i="12"/>
  <c r="H9" i="13" s="1"/>
  <c r="H123" i="12"/>
  <c r="H7" i="13" s="1"/>
  <c r="W131" i="12"/>
  <c r="K15" i="13" s="1"/>
  <c r="N143" i="6"/>
  <c r="O143" i="6" s="1"/>
  <c r="H127" i="12"/>
  <c r="H11" i="13" s="1"/>
  <c r="H142" i="12"/>
  <c r="H26" i="13" s="1"/>
  <c r="H136" i="12"/>
  <c r="H20" i="13" s="1"/>
  <c r="E156" i="11"/>
  <c r="D156" i="11" s="1"/>
  <c r="H134" i="12"/>
  <c r="H18" i="13" s="1"/>
  <c r="G42" i="12"/>
  <c r="H130" i="12"/>
  <c r="H14" i="13" s="1"/>
  <c r="E159" i="11"/>
  <c r="D159" i="11" s="1"/>
  <c r="H124" i="12"/>
  <c r="H8" i="13" s="1"/>
  <c r="E146" i="11"/>
  <c r="D146" i="11" s="1"/>
  <c r="W132" i="12"/>
  <c r="K16" i="13" s="1"/>
  <c r="H129" i="12"/>
  <c r="H13" i="13" s="1"/>
  <c r="E160" i="11"/>
  <c r="D160" i="11" s="1"/>
  <c r="E157" i="11"/>
  <c r="D157" i="11" s="1"/>
  <c r="E150" i="11"/>
  <c r="D150" i="11" s="1"/>
  <c r="E148" i="11"/>
  <c r="D148" i="11" s="1"/>
  <c r="E161" i="11"/>
  <c r="D161" i="11" s="1"/>
  <c r="E149" i="11"/>
  <c r="D149" i="11" s="1"/>
  <c r="E153" i="11"/>
  <c r="D153" i="11" s="1"/>
  <c r="E155" i="11"/>
  <c r="D155" i="11" s="1"/>
  <c r="E158" i="11"/>
  <c r="D158" i="11" s="1"/>
  <c r="E152" i="11"/>
  <c r="D152" i="11" s="1"/>
  <c r="E151" i="11"/>
  <c r="D151" i="11" s="1"/>
  <c r="E145" i="11"/>
  <c r="D145" i="11" s="1"/>
  <c r="E147" i="11"/>
  <c r="D147" i="11" s="1"/>
  <c r="E154" i="11"/>
  <c r="D154" i="11" s="1"/>
  <c r="E162" i="11"/>
  <c r="F33" i="15"/>
  <c r="E33" i="15"/>
  <c r="G33" i="15"/>
  <c r="F49" i="15"/>
  <c r="G49" i="15"/>
  <c r="E49" i="15"/>
  <c r="F48" i="15"/>
  <c r="E48" i="15"/>
  <c r="G48" i="15"/>
  <c r="E47" i="15"/>
  <c r="G47" i="15"/>
  <c r="F47" i="15"/>
  <c r="E46" i="15"/>
  <c r="G46" i="15"/>
  <c r="F46" i="15"/>
  <c r="F45" i="15"/>
  <c r="G45" i="15"/>
  <c r="E45" i="15"/>
  <c r="F44" i="15"/>
  <c r="G44" i="15"/>
  <c r="E44" i="15"/>
  <c r="E43" i="15"/>
  <c r="F43" i="15"/>
  <c r="G43" i="15"/>
  <c r="G42" i="15"/>
  <c r="E42" i="15"/>
  <c r="F42" i="15"/>
  <c r="F41" i="15"/>
  <c r="G41" i="15"/>
  <c r="E41" i="15"/>
  <c r="F40" i="15"/>
  <c r="G40" i="15"/>
  <c r="E40" i="15"/>
  <c r="E39" i="15"/>
  <c r="G39" i="15"/>
  <c r="F39" i="15"/>
  <c r="E38" i="15"/>
  <c r="G38" i="15"/>
  <c r="F38" i="15"/>
  <c r="G37" i="15"/>
  <c r="E37" i="15"/>
  <c r="F37" i="15"/>
  <c r="F36" i="15"/>
  <c r="G36" i="15"/>
  <c r="E36" i="15"/>
  <c r="E35" i="15"/>
  <c r="F35" i="15"/>
  <c r="G35" i="15"/>
  <c r="G34" i="15"/>
  <c r="E34" i="15"/>
  <c r="F34" i="15"/>
  <c r="F55" i="15"/>
  <c r="G55" i="15"/>
  <c r="E55" i="15"/>
  <c r="E71" i="15"/>
  <c r="F71" i="15"/>
  <c r="G71" i="15"/>
  <c r="G70" i="15"/>
  <c r="E70" i="15"/>
  <c r="F70" i="15"/>
  <c r="E69" i="15"/>
  <c r="F69" i="15"/>
  <c r="G69" i="15"/>
  <c r="E68" i="15"/>
  <c r="F68" i="15"/>
  <c r="G68" i="15"/>
  <c r="E67" i="15"/>
  <c r="F67" i="15"/>
  <c r="G67" i="15"/>
  <c r="E66" i="15"/>
  <c r="F66" i="15"/>
  <c r="G66" i="15"/>
  <c r="F65" i="15"/>
  <c r="G65" i="15"/>
  <c r="E65" i="15"/>
  <c r="E64" i="15"/>
  <c r="F64" i="15"/>
  <c r="G64" i="15"/>
  <c r="E63" i="15"/>
  <c r="F63" i="15"/>
  <c r="G63" i="15"/>
  <c r="G62" i="15"/>
  <c r="E62" i="15"/>
  <c r="F62" i="15"/>
  <c r="E61" i="15"/>
  <c r="F61" i="15"/>
  <c r="G61" i="15"/>
  <c r="E60" i="15"/>
  <c r="F60" i="15"/>
  <c r="G60" i="15"/>
  <c r="E59" i="15"/>
  <c r="F59" i="15"/>
  <c r="G59" i="15"/>
  <c r="E58" i="15"/>
  <c r="F58" i="15"/>
  <c r="G58" i="15"/>
  <c r="F57" i="15"/>
  <c r="G57" i="15"/>
  <c r="E57" i="15"/>
  <c r="E56" i="15"/>
  <c r="F56" i="15"/>
  <c r="G56" i="15"/>
  <c r="E29" i="12"/>
  <c r="E28" i="12"/>
  <c r="F7" i="12" s="1"/>
  <c r="F144" i="12"/>
  <c r="G127" i="12" s="1"/>
  <c r="F145" i="12"/>
  <c r="O100" i="10"/>
  <c r="O168" i="10"/>
  <c r="O169" i="10"/>
  <c r="O99" i="10"/>
  <c r="T37" i="7"/>
  <c r="E110" i="10" s="1"/>
  <c r="G66" i="12"/>
  <c r="G65" i="12"/>
  <c r="G67" i="12"/>
  <c r="T35" i="7"/>
  <c r="E108" i="10" s="1"/>
  <c r="G54" i="12"/>
  <c r="G47" i="12"/>
  <c r="W134" i="12"/>
  <c r="K18" i="13" s="1"/>
  <c r="W123" i="12"/>
  <c r="K7" i="13" s="1"/>
  <c r="T99" i="7"/>
  <c r="E180" i="10" s="1"/>
  <c r="T58" i="7"/>
  <c r="E133" i="10" s="1"/>
  <c r="K60" i="7"/>
  <c r="T95" i="7"/>
  <c r="T97" i="7"/>
  <c r="E178" i="10" s="1"/>
  <c r="T60" i="7"/>
  <c r="E135" i="10" s="1"/>
  <c r="S15" i="7"/>
  <c r="T29" i="7"/>
  <c r="G80" i="12"/>
  <c r="W129" i="12"/>
  <c r="K13" i="13" s="1"/>
  <c r="G79" i="12"/>
  <c r="G71" i="12"/>
  <c r="G74" i="12"/>
  <c r="G73" i="12"/>
  <c r="G78" i="12"/>
  <c r="G81" i="12"/>
  <c r="G72" i="12"/>
  <c r="G69" i="12"/>
  <c r="G84" i="12"/>
  <c r="L124" i="12"/>
  <c r="L127" i="12"/>
  <c r="L130" i="12"/>
  <c r="G48" i="12"/>
  <c r="G75" i="12"/>
  <c r="G46" i="12"/>
  <c r="G55" i="12"/>
  <c r="G43" i="12"/>
  <c r="G77" i="12"/>
  <c r="L142" i="12"/>
  <c r="Q136" i="12"/>
  <c r="L134" i="12"/>
  <c r="L133" i="12"/>
  <c r="G83" i="12"/>
  <c r="L131" i="12"/>
  <c r="L135" i="12"/>
  <c r="Q137" i="12"/>
  <c r="L129" i="12"/>
  <c r="L141" i="12"/>
  <c r="L139" i="12"/>
  <c r="Q131" i="12"/>
  <c r="Q135" i="12"/>
  <c r="L125" i="12"/>
  <c r="G94" i="12"/>
  <c r="Q134" i="12"/>
  <c r="G104" i="12"/>
  <c r="AA123" i="12"/>
  <c r="G101" i="12"/>
  <c r="Q125" i="12"/>
  <c r="Q123" i="12"/>
  <c r="G105" i="12"/>
  <c r="Q129" i="12"/>
  <c r="G106" i="12"/>
  <c r="Q139" i="12"/>
  <c r="U144" i="12"/>
  <c r="V123" i="12" s="1"/>
  <c r="T103" i="7"/>
  <c r="E184" i="10" s="1"/>
  <c r="T87" i="7"/>
  <c r="E164" i="10" s="1"/>
  <c r="T98" i="7"/>
  <c r="E179" i="10" s="1"/>
  <c r="T101" i="7"/>
  <c r="E182" i="10" s="1"/>
  <c r="T52" i="7"/>
  <c r="N277" i="6"/>
  <c r="O277" i="6" s="1"/>
  <c r="E328" i="11" s="1"/>
  <c r="L137" i="12"/>
  <c r="W130" i="12"/>
  <c r="K14" i="13" s="1"/>
  <c r="J49" i="7"/>
  <c r="L49" i="7" s="1"/>
  <c r="D122" i="10" s="1"/>
  <c r="L122" i="10" s="1"/>
  <c r="J22" i="7"/>
  <c r="L22" i="7" s="1"/>
  <c r="D93" i="10" s="1"/>
  <c r="J19" i="7"/>
  <c r="L19" i="7" s="1"/>
  <c r="D90" i="10" s="1"/>
  <c r="L90" i="10" s="1"/>
  <c r="J11" i="7"/>
  <c r="L11" i="7" s="1"/>
  <c r="D82" i="10" s="1"/>
  <c r="L82" i="10" s="1"/>
  <c r="J64" i="7"/>
  <c r="L64" i="7" s="1"/>
  <c r="D139" i="10" s="1"/>
  <c r="L139" i="10" s="1"/>
  <c r="J56" i="7"/>
  <c r="L56" i="7" s="1"/>
  <c r="D131" i="10" s="1"/>
  <c r="L131" i="10" s="1"/>
  <c r="J48" i="7"/>
  <c r="L48" i="7" s="1"/>
  <c r="D121" i="10" s="1"/>
  <c r="L121" i="10" s="1"/>
  <c r="J83" i="7"/>
  <c r="L83" i="7" s="1"/>
  <c r="D160" i="10" s="1"/>
  <c r="L160" i="10" s="1"/>
  <c r="K101" i="7"/>
  <c r="J103" i="7"/>
  <c r="L103" i="7" s="1"/>
  <c r="D184" i="10" s="1"/>
  <c r="G113" i="12"/>
  <c r="Q132" i="12"/>
  <c r="G96" i="12"/>
  <c r="M26" i="15"/>
  <c r="M25" i="15"/>
  <c r="Q138" i="12"/>
  <c r="N73" i="6"/>
  <c r="O73" i="6" s="1"/>
  <c r="J57" i="7"/>
  <c r="L57" i="7" s="1"/>
  <c r="D132" i="10" s="1"/>
  <c r="L132" i="10" s="1"/>
  <c r="J13" i="7"/>
  <c r="L13" i="7" s="1"/>
  <c r="D84" i="10" s="1"/>
  <c r="L84" i="10" s="1"/>
  <c r="J39" i="7"/>
  <c r="L39" i="7" s="1"/>
  <c r="D112" i="10" s="1"/>
  <c r="L112" i="10" s="1"/>
  <c r="J24" i="7"/>
  <c r="L24" i="7" s="1"/>
  <c r="D95" i="10" s="1"/>
  <c r="L95" i="10" s="1"/>
  <c r="J14" i="7"/>
  <c r="L14" i="7" s="1"/>
  <c r="D85" i="10" s="1"/>
  <c r="L85" i="10" s="1"/>
  <c r="J65" i="7"/>
  <c r="L65" i="7" s="1"/>
  <c r="D140" i="10" s="1"/>
  <c r="L140" i="10" s="1"/>
  <c r="J59" i="7"/>
  <c r="J60" i="7"/>
  <c r="L60" i="7" s="1"/>
  <c r="D135" i="10" s="1"/>
  <c r="L135" i="10" s="1"/>
  <c r="J84" i="7"/>
  <c r="L84" i="7" s="1"/>
  <c r="D161" i="10" s="1"/>
  <c r="L161" i="10" s="1"/>
  <c r="J67" i="7"/>
  <c r="L67" i="7" s="1"/>
  <c r="D142" i="10" s="1"/>
  <c r="L142" i="10" s="1"/>
  <c r="G103" i="12"/>
  <c r="N243" i="6"/>
  <c r="O243" i="6" s="1"/>
  <c r="G102" i="12"/>
  <c r="L16" i="7"/>
  <c r="D87" i="10" s="1"/>
  <c r="L87" i="10" s="1"/>
  <c r="J16" i="7"/>
  <c r="J35" i="7"/>
  <c r="L35" i="7" s="1"/>
  <c r="D108" i="10" s="1"/>
  <c r="L108" i="10" s="1"/>
  <c r="J45" i="7"/>
  <c r="L45" i="7" s="1"/>
  <c r="D118" i="10" s="1"/>
  <c r="L118" i="10" s="1"/>
  <c r="J33" i="7"/>
  <c r="L33" i="7" s="1"/>
  <c r="D106" i="10" s="1"/>
  <c r="L106" i="10" s="1"/>
  <c r="J25" i="7"/>
  <c r="L25" i="7" s="1"/>
  <c r="D96" i="10" s="1"/>
  <c r="L96" i="10" s="1"/>
  <c r="J96" i="7"/>
  <c r="L96" i="7" s="1"/>
  <c r="D177" i="10" s="1"/>
  <c r="L177" i="10" s="1"/>
  <c r="J82" i="7"/>
  <c r="L82" i="7" s="1"/>
  <c r="D159" i="10" s="1"/>
  <c r="J68" i="7"/>
  <c r="L68" i="7" s="1"/>
  <c r="D143" i="10" s="1"/>
  <c r="L143" i="10" s="1"/>
  <c r="J97" i="7"/>
  <c r="L97" i="7" s="1"/>
  <c r="D178" i="10" s="1"/>
  <c r="L178" i="10" s="1"/>
  <c r="L79" i="7"/>
  <c r="D156" i="10" s="1"/>
  <c r="L156" i="10" s="1"/>
  <c r="J79" i="7"/>
  <c r="Q141" i="12"/>
  <c r="J42" i="7"/>
  <c r="L42" i="7" s="1"/>
  <c r="D115" i="10" s="1"/>
  <c r="L115" i="10" s="1"/>
  <c r="J21" i="7"/>
  <c r="L21" i="7" s="1"/>
  <c r="D92" i="10" s="1"/>
  <c r="L92" i="10" s="1"/>
  <c r="J74" i="7"/>
  <c r="J61" i="7" s="1"/>
  <c r="H61" i="7"/>
  <c r="J34" i="7"/>
  <c r="L34" i="7" s="1"/>
  <c r="D107" i="10" s="1"/>
  <c r="L107" i="10" s="1"/>
  <c r="J26" i="7"/>
  <c r="L26" i="7" s="1"/>
  <c r="D97" i="10" s="1"/>
  <c r="L97" i="10" s="1"/>
  <c r="J51" i="7"/>
  <c r="J38" i="7" s="1"/>
  <c r="H38" i="7"/>
  <c r="J93" i="7"/>
  <c r="L93" i="7" s="1"/>
  <c r="D175" i="10" s="1"/>
  <c r="L175" i="10" s="1"/>
  <c r="J94" i="7"/>
  <c r="L94" i="7" s="1"/>
  <c r="D176" i="10" s="1"/>
  <c r="L176" i="10" s="1"/>
  <c r="J98" i="7"/>
  <c r="G112" i="12"/>
  <c r="W142" i="12"/>
  <c r="K26" i="13" s="1"/>
  <c r="T28" i="7"/>
  <c r="Q133" i="12"/>
  <c r="L136" i="12"/>
  <c r="G100" i="12"/>
  <c r="L132" i="12"/>
  <c r="S61" i="7"/>
  <c r="T75" i="7"/>
  <c r="G110" i="12"/>
  <c r="Q130" i="12"/>
  <c r="Q124" i="12"/>
  <c r="J17" i="7"/>
  <c r="L17" i="7" s="1"/>
  <c r="D88" i="10" s="1"/>
  <c r="L88" i="10" s="1"/>
  <c r="H15" i="7"/>
  <c r="J28" i="7"/>
  <c r="J15" i="7" s="1"/>
  <c r="J23" i="7"/>
  <c r="L23" i="7" s="1"/>
  <c r="D94" i="10" s="1"/>
  <c r="J87" i="7"/>
  <c r="L87" i="7" s="1"/>
  <c r="D164" i="10" s="1"/>
  <c r="J43" i="7"/>
  <c r="L43" i="7" s="1"/>
  <c r="D116" i="10" s="1"/>
  <c r="L116" i="10" s="1"/>
  <c r="J52" i="7"/>
  <c r="K38" i="7" s="1"/>
  <c r="I38" i="7"/>
  <c r="J70" i="7"/>
  <c r="L70" i="7" s="1"/>
  <c r="D145" i="10" s="1"/>
  <c r="L145" i="10" s="1"/>
  <c r="J95" i="7"/>
  <c r="L95" i="7" s="1"/>
  <c r="J101" i="7"/>
  <c r="J88" i="7"/>
  <c r="L88" i="7" s="1"/>
  <c r="D165" i="10" s="1"/>
  <c r="L165" i="10" s="1"/>
  <c r="G98" i="12"/>
  <c r="N168" i="6"/>
  <c r="O168" i="6" s="1"/>
  <c r="Q142" i="12"/>
  <c r="G109" i="12"/>
  <c r="L123" i="12"/>
  <c r="L37" i="7"/>
  <c r="D110" i="10" s="1"/>
  <c r="L110" i="10" s="1"/>
  <c r="J37" i="7"/>
  <c r="L44" i="7"/>
  <c r="D117" i="10" s="1"/>
  <c r="L117" i="10" s="1"/>
  <c r="J44" i="7"/>
  <c r="J36" i="7"/>
  <c r="L36" i="7" s="1"/>
  <c r="D109" i="10" s="1"/>
  <c r="L109" i="10" s="1"/>
  <c r="J46" i="7"/>
  <c r="L46" i="7" s="1"/>
  <c r="D119" i="10" s="1"/>
  <c r="L119" i="10" s="1"/>
  <c r="K99" i="7"/>
  <c r="J72" i="7"/>
  <c r="L72" i="7" s="1"/>
  <c r="D147" i="10" s="1"/>
  <c r="L147" i="10" s="1"/>
  <c r="J20" i="7"/>
  <c r="L20" i="7" s="1"/>
  <c r="D91" i="10" s="1"/>
  <c r="L91" i="10" s="1"/>
  <c r="J58" i="7"/>
  <c r="L58" i="7"/>
  <c r="D133" i="10" s="1"/>
  <c r="L133" i="10" s="1"/>
  <c r="J85" i="7"/>
  <c r="L85" i="7" s="1"/>
  <c r="D162" i="10" s="1"/>
  <c r="L162" i="10" s="1"/>
  <c r="J81" i="7"/>
  <c r="L81" i="7" s="1"/>
  <c r="D158" i="10" s="1"/>
  <c r="L158" i="10" s="1"/>
  <c r="Q127" i="12"/>
  <c r="G108" i="12"/>
  <c r="K59" i="7"/>
  <c r="J10" i="7"/>
  <c r="L10" i="7" s="1"/>
  <c r="D81" i="10" s="1"/>
  <c r="L81" i="10" s="1"/>
  <c r="J47" i="7"/>
  <c r="L47" i="7" s="1"/>
  <c r="D120" i="10" s="1"/>
  <c r="L120" i="10" s="1"/>
  <c r="J71" i="7"/>
  <c r="L71" i="7" s="1"/>
  <c r="D146" i="10" s="1"/>
  <c r="L146" i="10" s="1"/>
  <c r="J62" i="7"/>
  <c r="L62" i="7" s="1"/>
  <c r="D137" i="10" s="1"/>
  <c r="L137" i="10" s="1"/>
  <c r="J80" i="7"/>
  <c r="L80" i="7" s="1"/>
  <c r="D157" i="10" s="1"/>
  <c r="L157" i="10" s="1"/>
  <c r="L29" i="7"/>
  <c r="J29" i="7"/>
  <c r="K15" i="7" s="1"/>
  <c r="I15" i="7"/>
  <c r="J66" i="7"/>
  <c r="L66" i="7" s="1"/>
  <c r="D141" i="10" s="1"/>
  <c r="L141" i="10" s="1"/>
  <c r="K98" i="7"/>
  <c r="J89" i="7"/>
  <c r="L89" i="7" s="1"/>
  <c r="D166" i="10" s="1"/>
  <c r="L166" i="10" s="1"/>
  <c r="T51" i="7"/>
  <c r="W133" i="12"/>
  <c r="K17" i="13" s="1"/>
  <c r="U145" i="12"/>
  <c r="W141" i="12"/>
  <c r="K25" i="13" s="1"/>
  <c r="T74" i="7"/>
  <c r="E324" i="11"/>
  <c r="D324" i="11" s="1"/>
  <c r="E320" i="11"/>
  <c r="D320" i="11" s="1"/>
  <c r="E327" i="11"/>
  <c r="D327" i="11" s="1"/>
  <c r="E323" i="11"/>
  <c r="D323" i="11" s="1"/>
  <c r="E319" i="11"/>
  <c r="D319" i="11" s="1"/>
  <c r="E322" i="11"/>
  <c r="D322" i="11" s="1"/>
  <c r="E321" i="11"/>
  <c r="D321" i="11" s="1"/>
  <c r="E318" i="11"/>
  <c r="D318" i="11" s="1"/>
  <c r="E326" i="11"/>
  <c r="D326" i="11" s="1"/>
  <c r="E325" i="11"/>
  <c r="D325" i="11" s="1"/>
  <c r="G107" i="12"/>
  <c r="J86" i="7"/>
  <c r="L86" i="7" s="1"/>
  <c r="D163" i="10" s="1"/>
  <c r="L163" i="10" s="1"/>
  <c r="J18" i="7"/>
  <c r="L18" i="7" s="1"/>
  <c r="D89" i="10" s="1"/>
  <c r="L89" i="10" s="1"/>
  <c r="J12" i="7"/>
  <c r="L12" i="7" s="1"/>
  <c r="D83" i="10" s="1"/>
  <c r="L83" i="10" s="1"/>
  <c r="J69" i="7"/>
  <c r="L69" i="7" s="1"/>
  <c r="D144" i="10" s="1"/>
  <c r="L144" i="10" s="1"/>
  <c r="J102" i="7"/>
  <c r="L102" i="7"/>
  <c r="D183" i="10" s="1"/>
  <c r="L183" i="10" s="1"/>
  <c r="L63" i="7"/>
  <c r="D138" i="10" s="1"/>
  <c r="L138" i="10" s="1"/>
  <c r="J63" i="7"/>
  <c r="J41" i="7"/>
  <c r="L41" i="7" s="1"/>
  <c r="D114" i="10" s="1"/>
  <c r="L114" i="10" s="1"/>
  <c r="J40" i="7"/>
  <c r="L40" i="7" s="1"/>
  <c r="D113" i="10" s="1"/>
  <c r="L113" i="10" s="1"/>
  <c r="J75" i="7"/>
  <c r="K61" i="7" s="1"/>
  <c r="I61" i="7"/>
  <c r="J99" i="7"/>
  <c r="J100" i="7"/>
  <c r="L100" i="7" s="1"/>
  <c r="D181" i="10" s="1"/>
  <c r="L181" i="10" s="1"/>
  <c r="L159" i="10" l="1"/>
  <c r="T38" i="7"/>
  <c r="E111" i="10" s="1"/>
  <c r="T61" i="7"/>
  <c r="E136" i="10" s="1"/>
  <c r="L184" i="10"/>
  <c r="L164" i="10"/>
  <c r="T15" i="7"/>
  <c r="E86" i="10" s="1"/>
  <c r="L51" i="7"/>
  <c r="L75" i="7"/>
  <c r="V129" i="12"/>
  <c r="G123" i="12"/>
  <c r="G130" i="12"/>
  <c r="G139" i="12"/>
  <c r="G125" i="12"/>
  <c r="G133" i="12"/>
  <c r="F14" i="12"/>
  <c r="F13" i="12"/>
  <c r="F25" i="12"/>
  <c r="F15" i="12"/>
  <c r="F11" i="12"/>
  <c r="F16" i="12"/>
  <c r="F26" i="12"/>
  <c r="F17" i="12"/>
  <c r="F8" i="12"/>
  <c r="F18" i="12"/>
  <c r="F19" i="12"/>
  <c r="F20" i="12"/>
  <c r="F9" i="12"/>
  <c r="F21" i="12"/>
  <c r="F22" i="12"/>
  <c r="F23" i="12"/>
  <c r="G138" i="12"/>
  <c r="G142" i="12"/>
  <c r="G131" i="12"/>
  <c r="G141" i="12"/>
  <c r="G132" i="12"/>
  <c r="G129" i="12"/>
  <c r="G134" i="12"/>
  <c r="G135" i="12"/>
  <c r="G136" i="12"/>
  <c r="G124" i="12"/>
  <c r="G137" i="12"/>
  <c r="L28" i="7"/>
  <c r="L99" i="7"/>
  <c r="D180" i="10" s="1"/>
  <c r="L180" i="10" s="1"/>
  <c r="L101" i="7"/>
  <c r="D182" i="10" s="1"/>
  <c r="L182" i="10" s="1"/>
  <c r="L52" i="7"/>
  <c r="V127" i="12"/>
  <c r="V124" i="12"/>
  <c r="V141" i="12"/>
  <c r="V130" i="12"/>
  <c r="V131" i="12"/>
  <c r="V133" i="12"/>
  <c r="L59" i="7"/>
  <c r="D134" i="10" s="1"/>
  <c r="L134" i="10" s="1"/>
  <c r="L98" i="7"/>
  <c r="D179" i="10" s="1"/>
  <c r="L179" i="10" s="1"/>
  <c r="K16" i="15"/>
  <c r="J16" i="15"/>
  <c r="I16" i="15"/>
  <c r="D16" i="15"/>
  <c r="E16" i="15" s="1"/>
  <c r="L16" i="15" s="1"/>
  <c r="D22" i="15"/>
  <c r="E22" i="15" s="1"/>
  <c r="L22" i="15" s="1"/>
  <c r="J22" i="15"/>
  <c r="I22" i="15"/>
  <c r="K22" i="15"/>
  <c r="K13" i="15"/>
  <c r="J13" i="15"/>
  <c r="I13" i="15"/>
  <c r="D13" i="15"/>
  <c r="E13" i="15" s="1"/>
  <c r="L13" i="15" s="1"/>
  <c r="D20" i="15"/>
  <c r="E20" i="15" s="1"/>
  <c r="L20" i="15" s="1"/>
  <c r="K20" i="15"/>
  <c r="J20" i="15"/>
  <c r="I20" i="15"/>
  <c r="K14" i="15"/>
  <c r="J14" i="15"/>
  <c r="I14" i="15"/>
  <c r="D14" i="15"/>
  <c r="E14" i="15" s="1"/>
  <c r="L14" i="15" s="1"/>
  <c r="K15" i="15"/>
  <c r="J15" i="15"/>
  <c r="I15" i="15"/>
  <c r="D15" i="15"/>
  <c r="E15" i="15" s="1"/>
  <c r="L15" i="15" s="1"/>
  <c r="V132" i="12"/>
  <c r="K17" i="15"/>
  <c r="J17" i="15"/>
  <c r="I17" i="15"/>
  <c r="D17" i="15"/>
  <c r="E17" i="15" s="1"/>
  <c r="L17" i="15" s="1"/>
  <c r="L74" i="7"/>
  <c r="K11" i="15"/>
  <c r="J11" i="15"/>
  <c r="I11" i="15"/>
  <c r="E11" i="15"/>
  <c r="K10" i="15"/>
  <c r="J10" i="15"/>
  <c r="I10" i="15"/>
  <c r="D10" i="15"/>
  <c r="E10" i="15" s="1"/>
  <c r="L10" i="15" s="1"/>
  <c r="K18" i="15"/>
  <c r="J18" i="15"/>
  <c r="I18" i="15"/>
  <c r="D18" i="15"/>
  <c r="E18" i="15" s="1"/>
  <c r="L18" i="15" s="1"/>
  <c r="K7" i="15"/>
  <c r="J7" i="15"/>
  <c r="I7" i="15"/>
  <c r="D7" i="15"/>
  <c r="E7" i="15" s="1"/>
  <c r="L7" i="15" s="1"/>
  <c r="K12" i="15"/>
  <c r="J12" i="15"/>
  <c r="I12" i="15"/>
  <c r="D12" i="15"/>
  <c r="E12" i="15" s="1"/>
  <c r="L12" i="15" s="1"/>
  <c r="D21" i="15"/>
  <c r="E21" i="15" s="1"/>
  <c r="L21" i="15" s="1"/>
  <c r="K21" i="15"/>
  <c r="I21" i="15"/>
  <c r="J21" i="15"/>
  <c r="D23" i="15"/>
  <c r="E23" i="15" s="1"/>
  <c r="L23" i="15" s="1"/>
  <c r="I23" i="15"/>
  <c r="K23" i="15"/>
  <c r="J23" i="15"/>
  <c r="K8" i="15"/>
  <c r="J8" i="15"/>
  <c r="I8" i="15"/>
  <c r="D8" i="15"/>
  <c r="E8" i="15" s="1"/>
  <c r="L8" i="15" s="1"/>
  <c r="V142" i="12"/>
  <c r="V134" i="12"/>
  <c r="D19" i="15"/>
  <c r="E19" i="15" s="1"/>
  <c r="L19" i="15" s="1"/>
  <c r="K19" i="15"/>
  <c r="J19" i="15"/>
  <c r="I19" i="15"/>
  <c r="K9" i="15"/>
  <c r="J9" i="15"/>
  <c r="I9" i="15"/>
  <c r="D9" i="15"/>
  <c r="E9" i="15" s="1"/>
  <c r="C15" i="13" l="1"/>
  <c r="C7" i="13"/>
  <c r="L61" i="7"/>
  <c r="D136" i="10" s="1"/>
  <c r="L136" i="10" s="1"/>
  <c r="L38" i="7"/>
  <c r="D111" i="10" s="1"/>
  <c r="L111" i="10" s="1"/>
  <c r="L15" i="7"/>
  <c r="D86" i="10" s="1"/>
  <c r="L86" i="10" s="1"/>
  <c r="C26" i="13"/>
  <c r="C17" i="13"/>
  <c r="C25" i="13"/>
  <c r="C16" i="13"/>
  <c r="C23" i="13"/>
  <c r="C22" i="13"/>
  <c r="C14" i="13"/>
  <c r="C21" i="13"/>
  <c r="C13" i="13"/>
  <c r="C8" i="13"/>
  <c r="C20" i="13"/>
  <c r="C11" i="13"/>
  <c r="C19" i="13"/>
  <c r="C9" i="13"/>
  <c r="C18" i="13"/>
</calcChain>
</file>

<file path=xl/sharedStrings.xml><?xml version="1.0" encoding="utf-8"?>
<sst xmlns="http://schemas.openxmlformats.org/spreadsheetml/2006/main" count="4584" uniqueCount="591">
  <si>
    <t>Cover</t>
  </si>
  <si>
    <t>Model name:</t>
  </si>
  <si>
    <t>Service Delivery Report Analysis Model</t>
  </si>
  <si>
    <t>Version number:</t>
  </si>
  <si>
    <t>Filename:</t>
  </si>
  <si>
    <t>Date:</t>
  </si>
  <si>
    <t>Author:</t>
  </si>
  <si>
    <t>Ofwat</t>
  </si>
  <si>
    <t>Summary of model:</t>
  </si>
  <si>
    <t>This model contains all of the data and analyses used in the publication of Ofwat's 2019 Service Delivery Report.
The purpose of this model is to assess industry performance against performance commitments and to analyse long term trends in key performance measures.
The model is broadly split into: wholesale total expenditure (totex), residential retail costs, and outcomes measures. Each of these has seperate input and calculation sheets used to produce the tables and charts used in the Service Delivery Report.</t>
  </si>
  <si>
    <t>Version control:</t>
  </si>
  <si>
    <t>Version No.</t>
  </si>
  <si>
    <t>Date created</t>
  </si>
  <si>
    <t>Description of changes</t>
  </si>
  <si>
    <t>Model created</t>
  </si>
  <si>
    <t>Key data sources:</t>
  </si>
  <si>
    <t>• Company Annual Performance Report Tables</t>
  </si>
  <si>
    <t>• Company Business Plans</t>
  </si>
  <si>
    <t>• Retail Reconciliation Models</t>
  </si>
  <si>
    <t>• Discover Water - Loss of Supply:</t>
  </si>
  <si>
    <t>English</t>
  </si>
  <si>
    <t>Cymraeg</t>
  </si>
  <si>
    <t>• Drinking Water Inspectorate (DWI) - Annual Reports: Company statistics and company performance data:</t>
  </si>
  <si>
    <t>Link</t>
  </si>
  <si>
    <t>• Environment Agency - Environmental Performance Assessments:</t>
  </si>
  <si>
    <t>• Natural Resources Wales (Cyfoeth Naturiol Cymru) - Annual Performance Reports:</t>
  </si>
  <si>
    <t>End of sheet</t>
  </si>
  <si>
    <t>Map &amp; Key</t>
  </si>
  <si>
    <t>Model map</t>
  </si>
  <si>
    <t>Sheet tabs</t>
  </si>
  <si>
    <t>Dark blue</t>
  </si>
  <si>
    <t>Documentation sheets</t>
  </si>
  <si>
    <t>Light yellow</t>
  </si>
  <si>
    <t>Input sheets</t>
  </si>
  <si>
    <t>No color (default tab color)</t>
  </si>
  <si>
    <t>Calculation sheets</t>
  </si>
  <si>
    <t>Pale blue</t>
  </si>
  <si>
    <t>Output sheets</t>
  </si>
  <si>
    <t>Cells - input and calculation tabs</t>
  </si>
  <si>
    <t>Black text, no border</t>
  </si>
  <si>
    <t>Label / text</t>
  </si>
  <si>
    <t>Grey italics, no border</t>
  </si>
  <si>
    <t>Source information</t>
  </si>
  <si>
    <t>Blue text, italic, underlined</t>
  </si>
  <si>
    <t>Hyperlink</t>
  </si>
  <si>
    <t>Dark blue, bold font</t>
  </si>
  <si>
    <t>Section divider</t>
  </si>
  <si>
    <t>Pale blue, bold font</t>
  </si>
  <si>
    <t>Sub-section divider</t>
  </si>
  <si>
    <t>Grey, bold font</t>
  </si>
  <si>
    <t>End of sheet indicator</t>
  </si>
  <si>
    <t>Light yellow, grey border</t>
  </si>
  <si>
    <t>Input cell</t>
  </si>
  <si>
    <t>Light grey, grey border</t>
  </si>
  <si>
    <t>Intentionally blank cell</t>
  </si>
  <si>
    <t>Grey border, blue text</t>
  </si>
  <si>
    <t>Link or lookup from another sheet</t>
  </si>
  <si>
    <t>Grey border, green text</t>
  </si>
  <si>
    <t>Link or lookup from within sheet</t>
  </si>
  <si>
    <t>Grey border, black text</t>
  </si>
  <si>
    <t>Calculation cell</t>
  </si>
  <si>
    <t>Grey border, pink text</t>
  </si>
  <si>
    <t>Calculation exported to another sheet</t>
  </si>
  <si>
    <t>Cells - output tabs</t>
  </si>
  <si>
    <t>Quartiles</t>
  </si>
  <si>
    <t>Performance commitments</t>
  </si>
  <si>
    <t>Top 25%</t>
  </si>
  <si>
    <t>Targets met</t>
  </si>
  <si>
    <t>Middle 50%</t>
  </si>
  <si>
    <t>Targets failed</t>
  </si>
  <si>
    <t>Bottom 25%</t>
  </si>
  <si>
    <t>Targets met &amp; failed</t>
  </si>
  <si>
    <t>Arrows</t>
  </si>
  <si>
    <t>Stable performance</t>
  </si>
  <si>
    <t>Improved performance</t>
  </si>
  <si>
    <t>Deteriorated performance</t>
  </si>
  <si>
    <t>Abbreviations - companies</t>
  </si>
  <si>
    <t>Acronym</t>
  </si>
  <si>
    <t>Company Name</t>
  </si>
  <si>
    <t>ANH</t>
  </si>
  <si>
    <t>Anglian Water</t>
  </si>
  <si>
    <t>WSH</t>
  </si>
  <si>
    <t>Dŵr Cymru</t>
  </si>
  <si>
    <t>(Welsh Water)</t>
  </si>
  <si>
    <t>HDD</t>
  </si>
  <si>
    <t>Hafren Dyfrdwy</t>
  </si>
  <si>
    <t>NES</t>
  </si>
  <si>
    <t>Northumbrian Water</t>
  </si>
  <si>
    <t>SVE</t>
  </si>
  <si>
    <t>Severn Trent Water</t>
  </si>
  <si>
    <t>SWB</t>
  </si>
  <si>
    <t>South West Water</t>
  </si>
  <si>
    <t>(incl. Bournemouth)</t>
  </si>
  <si>
    <t>SRN</t>
  </si>
  <si>
    <t>Southern Water</t>
  </si>
  <si>
    <t>TMS</t>
  </si>
  <si>
    <t>Thames Water</t>
  </si>
  <si>
    <t>UU</t>
  </si>
  <si>
    <t>United Utilities</t>
  </si>
  <si>
    <t>WSX</t>
  </si>
  <si>
    <t>Wessex Water</t>
  </si>
  <si>
    <t>YKY</t>
  </si>
  <si>
    <t>Yorkshire Water</t>
  </si>
  <si>
    <t>AFW</t>
  </si>
  <si>
    <t>Affinity Water</t>
  </si>
  <si>
    <t>BRL</t>
  </si>
  <si>
    <t>Bristol Water</t>
  </si>
  <si>
    <t>PRT</t>
  </si>
  <si>
    <t>Portsmouth Water</t>
  </si>
  <si>
    <t>SES</t>
  </si>
  <si>
    <t>SES Water</t>
  </si>
  <si>
    <t>SEW</t>
  </si>
  <si>
    <t>South East Water</t>
  </si>
  <si>
    <t>SSC</t>
  </si>
  <si>
    <t>South Staffs Water</t>
  </si>
  <si>
    <t>SBW</t>
  </si>
  <si>
    <t>Bournemouth Water</t>
  </si>
  <si>
    <t>SWT</t>
  </si>
  <si>
    <t>(excl. Bournemouth)</t>
  </si>
  <si>
    <t>SVT</t>
  </si>
  <si>
    <t>(pre 2018 merger)</t>
  </si>
  <si>
    <t>DVW</t>
  </si>
  <si>
    <t>Dee Valley Water</t>
  </si>
  <si>
    <t>Abbreviations - units</t>
  </si>
  <si>
    <t>Unit</t>
  </si>
  <si>
    <t>Description</t>
  </si>
  <si>
    <t>£m</t>
  </si>
  <si>
    <t>Million pounds sterling</t>
  </si>
  <si>
    <t>000s</t>
  </si>
  <si>
    <t>Thousands</t>
  </si>
  <si>
    <t>£</t>
  </si>
  <si>
    <t>Pounds sterling</t>
  </si>
  <si>
    <t>%</t>
  </si>
  <si>
    <t>Percent</t>
  </si>
  <si>
    <t>Ml/d</t>
  </si>
  <si>
    <t>Megalitres per day (million litres per day)</t>
  </si>
  <si>
    <t>Km</t>
  </si>
  <si>
    <t>Kilometres</t>
  </si>
  <si>
    <t>mins/prop</t>
  </si>
  <si>
    <t>Minutes per property</t>
  </si>
  <si>
    <t>No.</t>
  </si>
  <si>
    <t>Number</t>
  </si>
  <si>
    <t>Score</t>
  </si>
  <si>
    <t>Score out of 100</t>
  </si>
  <si>
    <t>m3/km/d</t>
  </si>
  <si>
    <t>Metres cubed per kilometre per day</t>
  </si>
  <si>
    <t>mil mins</t>
  </si>
  <si>
    <t>Million property minutes</t>
  </si>
  <si>
    <t>Global inputs</t>
  </si>
  <si>
    <t>Latest year:</t>
  </si>
  <si>
    <t>2018-19</t>
  </si>
  <si>
    <t>Previous year:</t>
  </si>
  <si>
    <t>Overall assessment of efficiency and effectiveness of service delivery</t>
  </si>
  <si>
    <t>Total expenditure</t>
  </si>
  <si>
    <t>Outcomes</t>
  </si>
  <si>
    <t>Wholesale</t>
  </si>
  <si>
    <t>Residential retail</t>
  </si>
  <si>
    <t>Customer service</t>
  </si>
  <si>
    <t>Meeting performance commitments</t>
  </si>
  <si>
    <t>Earning financial incentives</t>
  </si>
  <si>
    <t>Leakage</t>
  </si>
  <si>
    <t>Supply interruptions</t>
  </si>
  <si>
    <t>Water quality contacts</t>
  </si>
  <si>
    <t>Internal sewer flooding</t>
  </si>
  <si>
    <t>Pollution incidents</t>
  </si>
  <si>
    <t>Better performance</t>
  </si>
  <si>
    <t>Marginal – Better/Average</t>
  </si>
  <si>
    <t>Average performance</t>
  </si>
  <si>
    <t>Poorer performance</t>
  </si>
  <si>
    <t>Timeline label</t>
  </si>
  <si>
    <t>Units</t>
  </si>
  <si>
    <t>2015-16</t>
  </si>
  <si>
    <t>2016-17</t>
  </si>
  <si>
    <t>2017-18</t>
  </si>
  <si>
    <t>2019-20</t>
  </si>
  <si>
    <t>Lookup reference</t>
  </si>
  <si>
    <t>Year by year actuals</t>
  </si>
  <si>
    <t>Water actuals</t>
  </si>
  <si>
    <t>CRW013</t>
  </si>
  <si>
    <t>Wastewater actuals</t>
  </si>
  <si>
    <t>CRS013</t>
  </si>
  <si>
    <t>Tideway actuals</t>
  </si>
  <si>
    <t>CRS013TTT</t>
  </si>
  <si>
    <t>Cumulative actuals</t>
  </si>
  <si>
    <t>Water cumulative actuals</t>
  </si>
  <si>
    <t>CRW013CUM</t>
  </si>
  <si>
    <t>Wastewater cumulative actuals</t>
  </si>
  <si>
    <t>CRS013CUM</t>
  </si>
  <si>
    <t>Tideway cumulative actuals</t>
  </si>
  <si>
    <t>CRS013TTTCUM</t>
  </si>
  <si>
    <t>Year by year allowed</t>
  </si>
  <si>
    <t>Water allowed</t>
  </si>
  <si>
    <t>CRW014</t>
  </si>
  <si>
    <t>Wastewater allowed</t>
  </si>
  <si>
    <t>CRS014</t>
  </si>
  <si>
    <t>Tideway allowed</t>
  </si>
  <si>
    <t>CRS014TTT</t>
  </si>
  <si>
    <t>Cumulative allowed</t>
  </si>
  <si>
    <t>Water cumulative allowed</t>
  </si>
  <si>
    <t>CRW014CUM</t>
  </si>
  <si>
    <t>Wastewater cumulative allowed</t>
  </si>
  <si>
    <t>CRS014CUM</t>
  </si>
  <si>
    <t>Tideway cumulative allowed</t>
  </si>
  <si>
    <t>CRS014TTTCUM</t>
  </si>
  <si>
    <t>Check</t>
  </si>
  <si>
    <t>Item code</t>
  </si>
  <si>
    <t>Customer numbers</t>
  </si>
  <si>
    <t>Households connected for water only - unmetered</t>
  </si>
  <si>
    <t>R3017</t>
  </si>
  <si>
    <t>DVW for 2015-18; retail reconciliation model for 2018-19</t>
  </si>
  <si>
    <t>SVT for 2015-18; retail reconciliation model for 2018-19</t>
  </si>
  <si>
    <t>SWT + SBW</t>
  </si>
  <si>
    <t>Households connected for sewerage only - unmetered</t>
  </si>
  <si>
    <t>R3019</t>
  </si>
  <si>
    <t>Households connected for water and sewerage - unmetered</t>
  </si>
  <si>
    <t>R3021</t>
  </si>
  <si>
    <t>Households connected for water only - metered</t>
  </si>
  <si>
    <t>R3018</t>
  </si>
  <si>
    <t>Households connected for sewerage only - metered</t>
  </si>
  <si>
    <t>R3020</t>
  </si>
  <si>
    <t>Households connected for water and sewerage - metered</t>
  </si>
  <si>
    <t>R3022</t>
  </si>
  <si>
    <t>Allowed revenues per type</t>
  </si>
  <si>
    <t>Allowed retail service revenue per unmeasured water customer</t>
  </si>
  <si>
    <t>C00739_A001</t>
  </si>
  <si>
    <t>DVW for 2015-18; licence amendment for 2018-19</t>
  </si>
  <si>
    <t>SVT for 2015-18; licence amendment for 2018-19</t>
  </si>
  <si>
    <t>Combination of SWT and SBW</t>
  </si>
  <si>
    <t>Allowed retail service revenue per unmeasured sewerage customer</t>
  </si>
  <si>
    <t>C00740_A001</t>
  </si>
  <si>
    <t>Allowed retail service revenue per unmeasured dual service customer</t>
  </si>
  <si>
    <t>C00741_A001</t>
  </si>
  <si>
    <t>Allowed retail service revenue per measured water customer</t>
  </si>
  <si>
    <t>C00736_A001</t>
  </si>
  <si>
    <t>Allowed retail service revenue per measured sewerage customer</t>
  </si>
  <si>
    <t>C00737_A001</t>
  </si>
  <si>
    <t>Allowed retail service revenue per measured dual service customer</t>
  </si>
  <si>
    <t>C00738_A001</t>
  </si>
  <si>
    <t>Total allowed revenue</t>
  </si>
  <si>
    <t>Allowed retail revenues</t>
  </si>
  <si>
    <t>C_ES_000010_A001</t>
  </si>
  <si>
    <t>Uses DVW values to calculate the margin adjuster</t>
  </si>
  <si>
    <t>Uses SVT values to calculate the margin adjuster</t>
  </si>
  <si>
    <t>Retail allowed expenditure before margin</t>
  </si>
  <si>
    <t>C00090_R005</t>
  </si>
  <si>
    <t>Allowance for depreciation of pre-2015 assets</t>
  </si>
  <si>
    <t>R3002</t>
  </si>
  <si>
    <t>Total operating costs (Retail household - accounting separation)</t>
  </si>
  <si>
    <t>BM9029</t>
  </si>
  <si>
    <t>DVW for 2015-18; BM9029 for 2018-19</t>
  </si>
  <si>
    <t>SVT for 2015-18; BM9029 for 2018-19</t>
  </si>
  <si>
    <t>2012-13</t>
  </si>
  <si>
    <t>2013-14</t>
  </si>
  <si>
    <t>2014-15</t>
  </si>
  <si>
    <t>Leakage (Megalitres per day)</t>
  </si>
  <si>
    <t>Table 4P.77 - Total leakage (Ml/d); BON: BN2345</t>
  </si>
  <si>
    <t>2012-15: apportionment based on 2015-19 values; 2015-18: Business plans; 2018-19: Table 4P.77</t>
  </si>
  <si>
    <t>Industry</t>
  </si>
  <si>
    <t>Kilometres of water main</t>
  </si>
  <si>
    <t>Table 4P.61 - Total length of potable mains as at 31 March (km); BON: BN1100</t>
  </si>
  <si>
    <t>2012-15: apportionment based on 2015-19 values; 2015-18: Business plans; 2018-19: Table 4P.61</t>
  </si>
  <si>
    <t>Water supply interruptions</t>
  </si>
  <si>
    <t>Supply iterruptions (minutes per property)</t>
  </si>
  <si>
    <t>Pre-AMP6 source unless specified below:</t>
  </si>
  <si>
    <t>2015-19: APRs - W-A2: Water supply interruptions</t>
  </si>
  <si>
    <t>2015-19: APRs - A3: Reliability of supply - minutes lost per property per year</t>
  </si>
  <si>
    <t>2015-18: DVW APRs - B1; 2018-19: HDD APR - Combination of W-B4 and B1</t>
  </si>
  <si>
    <t>2015-19: APRs - W-C1: Interruptions to water supply for more than 3 hours (average time per property per year)</t>
  </si>
  <si>
    <t>2015-18: SVT APRs - W-B4; 2018-19: SVE APR - Combination of W-B4 and B1</t>
  </si>
  <si>
    <t>2015-19: APRs - W-A5: Duration of interruptions in supply &amp; B3: Decreasing average interruptions &gt;3 hours</t>
  </si>
  <si>
    <t>2015-17: APRs - 4: Interruptions to supply; 2017-19: Ofwat query SRN-FD-SD-001 Dated 18/09/19</t>
  </si>
  <si>
    <t>All as submitted to Discover Water: CCWater metric which is interruptions per property for 3 hours or longer</t>
  </si>
  <si>
    <t>2012-15</t>
  </si>
  <si>
    <t>2015-19: APRs - B1: Average minutes supply lost per property (a year)</t>
  </si>
  <si>
    <t>2015-19: APRs - D3: Water supply interruptions (&gt; 3 hours including planned, unplanned and third party interruptions)</t>
  </si>
  <si>
    <t>2015-19: APRs - WB2: Water supply interruptions</t>
  </si>
  <si>
    <t>2015-19: Discover Water - Interruptions per property longer than 3 hours</t>
  </si>
  <si>
    <t>2015-19: APRs - C1: Interruptions to supply</t>
  </si>
  <si>
    <t>2015-19: APRs - G2: Average time lost per property (measured in minutes, per property served)</t>
  </si>
  <si>
    <t>APRs - 2.1: Interruptions to supply (combined company)</t>
  </si>
  <si>
    <t>2015-19: APRs - A3: Supply interruptions &gt;3 hours</t>
  </si>
  <si>
    <t>Industry (weighted average)</t>
  </si>
  <si>
    <t>Connected properties for water services (000s)</t>
  </si>
  <si>
    <t>Table 4Q.8 Total connected properties at year end; BON: 2221 &amp; 2161</t>
  </si>
  <si>
    <t>2015-18: DVW; 2018-19: HDD</t>
  </si>
  <si>
    <t>2015-18: SVT; 2018-19: SVE</t>
  </si>
  <si>
    <t>Water quality contacts (Rate per 1,000 population)</t>
  </si>
  <si>
    <t>DWI - Acceptability of water to consumers - Rate per 1,000 population:</t>
  </si>
  <si>
    <t>2012-14</t>
  </si>
  <si>
    <t>2014-16</t>
  </si>
  <si>
    <t>2016-19</t>
  </si>
  <si>
    <t>(includes Hartlepool)</t>
  </si>
  <si>
    <t>2016-18</t>
  </si>
  <si>
    <t>(DVW prior to 2018-19)</t>
  </si>
  <si>
    <t>2016-19 (NNE)</t>
  </si>
  <si>
    <t>2016-19 (ESK)</t>
  </si>
  <si>
    <t>(Combination of Northumbrian and Essex &amp; Suffolk)</t>
  </si>
  <si>
    <t>(SVT prior to 2018-19)</t>
  </si>
  <si>
    <t>2016-19 (SWT)</t>
  </si>
  <si>
    <t>2016-19 (SBW)</t>
  </si>
  <si>
    <t>(Combination of South West and Bournemouth)</t>
  </si>
  <si>
    <t>2016-19 (SST)</t>
  </si>
  <si>
    <t>2016-19 (CAM)</t>
  </si>
  <si>
    <t>(Combination of South Staffs and Cambridge)</t>
  </si>
  <si>
    <t>Water quality contacts (total)</t>
  </si>
  <si>
    <t>DWI - Acceptability of water to consumers - Total number:</t>
  </si>
  <si>
    <t>Internal sewer flooding incidents</t>
  </si>
  <si>
    <t>APRs - S-A2: Properties flooded internally from sewers - three-year average (reduction)</t>
  </si>
  <si>
    <t>APRs - D3: Internal sewer flooding - properties flooded in the year</t>
  </si>
  <si>
    <t>APRs - S-A1: Number of internal sewer flooding incidents</t>
  </si>
  <si>
    <t>APRs - S-B2: Properties flooded internally + S-B5: Transferred drains and sewers - internal sewer flooding</t>
  </si>
  <si>
    <t>APRs - S-A1: Internal sewer flooding incidents</t>
  </si>
  <si>
    <t>APRs - 2: Internal flooding incidents</t>
  </si>
  <si>
    <t>2014/15: investigation concluded later in 2016 and presented to Ofwat at a meeting on 1 August 2016; 2015/16: restated in the AR17 commentary file; APRs - SB4: Number of internal flooding incidents, excluding those due to overloaded sewers (SFOC)</t>
  </si>
  <si>
    <t>APRs: Table 3B - S-B2: Sewer flooding index, Properties flooded due to other causes + Properties flooded due to hydraulic overload</t>
  </si>
  <si>
    <t>APRs - C1: Internal flooding incidents</t>
  </si>
  <si>
    <t>APRs - SA1: Internal sewer flooding incidents</t>
  </si>
  <si>
    <t>Properties connected to wastewater services (000s)</t>
  </si>
  <si>
    <t>Table 4U.10 Total number of properties (000s); BON: BN1178</t>
  </si>
  <si>
    <t>Pollution incidents per 10,000 km of sewer</t>
  </si>
  <si>
    <t>Environment Agency -  Environmental Performance Assessment</t>
  </si>
  <si>
    <t>Natural Resources Wales (Cyfoeth Naturiol Cymru) - Annual Performance Report for Dŵr Cymru (Welsh Water)</t>
  </si>
  <si>
    <t>-</t>
  </si>
  <si>
    <t>Total number of incidents (not including adopted assets)</t>
  </si>
  <si>
    <t>Natural Resources Wales (Cyfoeth Naturiol Cymru) - Annual Performance Report for Hafren Dyfrdwy</t>
  </si>
  <si>
    <t>SIM score</t>
  </si>
  <si>
    <t>Table 3D.8 Total annual SIM score (out of 100)</t>
  </si>
  <si>
    <t>Industry average</t>
  </si>
  <si>
    <t>Performance commitments met</t>
  </si>
  <si>
    <t>Number of performance commitments</t>
  </si>
  <si>
    <t>APRs - Table 3A - Count of 'Yes' and 'No'</t>
  </si>
  <si>
    <t>Number of performance commitments achieved</t>
  </si>
  <si>
    <t>APRs - Table 3A - Count of 'Yes'</t>
  </si>
  <si>
    <t>Operational performance - ODI out / (under) performance</t>
  </si>
  <si>
    <t>Incentive payments - Leakage</t>
  </si>
  <si>
    <t>APRs - Table 3A: outperformance payment or underperformance payment - in-period ODIs &amp; ODIs payable at the end of AMP6</t>
  </si>
  <si>
    <t>Incentive payments - Supply interruptions</t>
  </si>
  <si>
    <t>Incentive payments - Internal sewer flooding</t>
  </si>
  <si>
    <t>Incentive payments - Pollution incidents</t>
  </si>
  <si>
    <t>Incentive payments - Others</t>
  </si>
  <si>
    <t>Notional Regulatory Equity</t>
  </si>
  <si>
    <t>Source:</t>
  </si>
  <si>
    <t>As stated in APRs</t>
  </si>
  <si>
    <t>On same basis</t>
  </si>
  <si>
    <t>Company</t>
  </si>
  <si>
    <t>Performance commitment</t>
  </si>
  <si>
    <t>Leakage (performance commitment)</t>
  </si>
  <si>
    <t>Megalitres / day</t>
  </si>
  <si>
    <t>W-A1: Leakage</t>
  </si>
  <si>
    <t>W-D4: Leakage - three-year average</t>
  </si>
  <si>
    <t>F1: Leakage</t>
  </si>
  <si>
    <t>W-C4: Leakage (Ml/d) Northumbrian area + W-C5: Leakage (Ml/d) Essex &amp; Suffolk area</t>
  </si>
  <si>
    <t>B1: Leakage</t>
  </si>
  <si>
    <t>B1: Reduce leakage (to less than or equal to 20.00 Ml/d by 2020)</t>
  </si>
  <si>
    <t>E1: Level of leakage measured in megalitres per day (including customer supply pipe leakage)</t>
  </si>
  <si>
    <t>C2: Leakage (actual reported leakage per Ml/d per year)</t>
  </si>
  <si>
    <t>3: Leakage (including customer supply-pipe leakage) - five-year average target</t>
  </si>
  <si>
    <t>4.1: Leakage (South Staffordshire operating region) + 4.2: Leakage (Cambridge operating region)</t>
  </si>
  <si>
    <t>W-B3: Leakage levels (megalitres a day, Ml/d)</t>
  </si>
  <si>
    <t>WC2: Leakage</t>
  </si>
  <si>
    <t>Ml/d annual average</t>
  </si>
  <si>
    <t>B4: Total leakage at or below target</t>
  </si>
  <si>
    <t>Ml/d variance from target</t>
  </si>
  <si>
    <t>F2: Leakage</t>
  </si>
  <si>
    <t>F1: Volume of water leaked</t>
  </si>
  <si>
    <t>WB1: Leakage</t>
  </si>
  <si>
    <t>B2: Sustainable economic level of leakage + W-B2: Leakage levels</t>
  </si>
  <si>
    <t>W-B2: Leakage levels + B2: Sustainable economic level of leakage</t>
  </si>
  <si>
    <t>Leakage (actual performance)</t>
  </si>
  <si>
    <t>Supply interruptions (performance commitment)</t>
  </si>
  <si>
    <t>Mins / property</t>
  </si>
  <si>
    <t>W-A2: Water supply interruptions</t>
  </si>
  <si>
    <t>Minutes / property / year</t>
  </si>
  <si>
    <t>A1: Unplanned customer minutes lost</t>
  </si>
  <si>
    <t>W-C1: Interruptions to water supply for more than 3 hours (average time per property per year)</t>
  </si>
  <si>
    <t>Mins:secs per property per year</t>
  </si>
  <si>
    <t>C1: Interruptions to supply</t>
  </si>
  <si>
    <t>B3: Decreasing average interruptions &gt;3 hours</t>
  </si>
  <si>
    <t>A3: Supply interruptions &gt;3 hours</t>
  </si>
  <si>
    <t>Hours / property / year</t>
  </si>
  <si>
    <t>G2: Average time lost per property (measured in minutes, per property served)</t>
  </si>
  <si>
    <t>4: Interruptions to supply</t>
  </si>
  <si>
    <t>2.1: Interruptions to supply (combined company)</t>
  </si>
  <si>
    <t>W-A5: Duration of interruptions in supply (hours/property)</t>
  </si>
  <si>
    <t>WB5: Average hours lost supply per property served, due to interruptions &gt; 4 hours</t>
  </si>
  <si>
    <t>Hours lost supply per property served</t>
  </si>
  <si>
    <t>B1: Average minutes supply lost per property (a year)</t>
  </si>
  <si>
    <t>Mins:secs supply lost per property per year</t>
  </si>
  <si>
    <t>A3: Reliability of supply - minutes lost per property per year</t>
  </si>
  <si>
    <t>Minutes of supply interruption per property per year</t>
  </si>
  <si>
    <t>D3: Water supply interruptions (&gt; 3 hours including planned, unplanned and third party interruptions)</t>
  </si>
  <si>
    <t>WB2: Water supply interruptions</t>
  </si>
  <si>
    <t>Minutes lost per property per year</t>
  </si>
  <si>
    <t>B1: Average duration of interruptions - 3 hours or longer (planned and unplanned interruptions)</t>
  </si>
  <si>
    <t>W-B4: Number of minutes customers go without supply each year (interruptions to supply &gt; 3 hours)</t>
  </si>
  <si>
    <t>Supply interruptions (actual performance)</t>
  </si>
  <si>
    <t>Water quality contacts (performance commitment)</t>
  </si>
  <si>
    <t>per 1,000 population</t>
  </si>
  <si>
    <t>W-B2: Customer contacts for discolouration</t>
  </si>
  <si>
    <t>No. per 1,000 population</t>
  </si>
  <si>
    <t>W-A4: Water quality contacts</t>
  </si>
  <si>
    <t>E1: Negative water quality contacts</t>
  </si>
  <si>
    <t>No. of contacts per year</t>
  </si>
  <si>
    <t>W-B1: Satisfaction with taste and odour of tap water</t>
  </si>
  <si>
    <t>No. of complaints per year</t>
  </si>
  <si>
    <t>W-B3: Discoloured water complaints (3-year average)</t>
  </si>
  <si>
    <t>A3: Water quality contacts</t>
  </si>
  <si>
    <t>No. contacts per 1,000 population served</t>
  </si>
  <si>
    <t>A1: Customer contacts: taste and appearance (water quality contacts)</t>
  </si>
  <si>
    <t>A6: Taste, odour and discolouration (number of contacts received)</t>
  </si>
  <si>
    <t>N1: Discolouration contacts</t>
  </si>
  <si>
    <t>5a: Drinking water quality - discolouration contacts</t>
  </si>
  <si>
    <t>1.2: Acceptability of water to customers (combined company)</t>
  </si>
  <si>
    <t>No. of contacts per 1,000 population</t>
  </si>
  <si>
    <t>W-A2: Taste, smell and colour contacts</t>
  </si>
  <si>
    <t>A3: Water Quality Service Index</t>
  </si>
  <si>
    <t>Unwanted customer contacts for water quality (nr per year)</t>
  </si>
  <si>
    <t>A2: Customer acceptability (drinking water) - contacts per 1,000 population</t>
  </si>
  <si>
    <t>G1: Customer contacts about drinking water quality</t>
  </si>
  <si>
    <t>No. contacts in the year about drinking water quality</t>
  </si>
  <si>
    <t>WA3: Drinking water contacts</t>
  </si>
  <si>
    <t>No. of contacts</t>
  </si>
  <si>
    <t>A1: Discoloured water contacts</t>
  </si>
  <si>
    <t>W-A1: Number of complaints about drinking water quality</t>
  </si>
  <si>
    <t>No. of water quality complaints</t>
  </si>
  <si>
    <t>Water quality contacts (actual performance)</t>
  </si>
  <si>
    <t>Internal sewer flooding (performance commitment)</t>
  </si>
  <si>
    <t>S-A2: Properties flooded internally from sewers - three-year average (reduction)</t>
  </si>
  <si>
    <t>No. of properties flooded internally (reduction)</t>
  </si>
  <si>
    <t>S-B2: Properties flooded internally</t>
  </si>
  <si>
    <t>No. of properties flooded internally per year</t>
  </si>
  <si>
    <t>S-B5: Transferred drains and sewers - internal sewer flooding</t>
  </si>
  <si>
    <t>No. of properties per year</t>
  </si>
  <si>
    <t>2: Internal flooding incidents</t>
  </si>
  <si>
    <t>No. of internal sewer flooding incidents</t>
  </si>
  <si>
    <t>S-A1: Internal sewer flooding incidents</t>
  </si>
  <si>
    <t>SB4: Number of internal flooding incidents, excluding those due to overloaded sewers (SFOC)</t>
  </si>
  <si>
    <t>No. of internal sewer flooding (other causes) incidents</t>
  </si>
  <si>
    <t>S-B2: Sewer flooding index</t>
  </si>
  <si>
    <t>Properties flooded due to other causes</t>
  </si>
  <si>
    <t>Properties flooded due to hydraulic overload</t>
  </si>
  <si>
    <t>D3: Internal sewer flooding - properties flooded in the year</t>
  </si>
  <si>
    <t>No. of properties subjected to internal sewer flooding</t>
  </si>
  <si>
    <t>C1: Internal flooding incidents</t>
  </si>
  <si>
    <t>No. of internal sewer flooding incidents / 10,000 properties</t>
  </si>
  <si>
    <t>SA1: Internal sewer flooding incidents</t>
  </si>
  <si>
    <t>S-A1: Number of internal sewer flooding incidents</t>
  </si>
  <si>
    <t>Internal sewer flooding (actual performance)</t>
  </si>
  <si>
    <t>Pollution incidents (performance commitment)</t>
  </si>
  <si>
    <t>S-C3: Pollution incidents (category 3)</t>
  </si>
  <si>
    <t>No. of pollution incidents (cat 3)</t>
  </si>
  <si>
    <t>S-C2: Pollution incidents - category 3 (3-year average)</t>
  </si>
  <si>
    <t>E5: Number of severe pollution incidents (category 3 or worse, as reported by the Environment Agency)</t>
  </si>
  <si>
    <t>No. of pollution incidents (cats 1, 2 and 3)</t>
  </si>
  <si>
    <t>1a: Category 3 pollution incidents (including transferred assets and excluding private pumping stations)</t>
  </si>
  <si>
    <t>11: Serious pollution incidents (category 1 and 2 pollution incidents, as reported by the EA on MD109)</t>
  </si>
  <si>
    <t>No. of pollution incidents (cats 1 and 2)</t>
  </si>
  <si>
    <t>S-C5: Pollution incidents (category 3 and 4)</t>
  </si>
  <si>
    <t>No. of pollution incidents (cats 3 and 4)</t>
  </si>
  <si>
    <t>S-C4: Pollution incidents (category 1 and 2)</t>
  </si>
  <si>
    <t>SC2: Total category 1-3 pollution incidents from sewage related premises</t>
  </si>
  <si>
    <t>S-D4b: Wastewater category 3 pollution incidents</t>
  </si>
  <si>
    <t>S-D4a: Wastewater serious (category 1 and 2) pollution incidents</t>
  </si>
  <si>
    <t>B3: Preventing pollution - number of category 3 pollution incidents</t>
  </si>
  <si>
    <t>SA3b: Pollution incidents - category 3</t>
  </si>
  <si>
    <t>SA3a: Pollution incidents - category 1 and 2</t>
  </si>
  <si>
    <t>S-C2: The number of category 3 pollution incidents</t>
  </si>
  <si>
    <t>S-C6: Serious pollution incidents</t>
  </si>
  <si>
    <t>Pollution incidents (actual performance)</t>
  </si>
  <si>
    <t>Year by year wholesale totex outperformance</t>
  </si>
  <si>
    <t>Total wholesale actuals</t>
  </si>
  <si>
    <t>Total wholesale allowed</t>
  </si>
  <si>
    <t>Total wholesale outperformance</t>
  </si>
  <si>
    <t>Total wholesale outperformance (%)</t>
  </si>
  <si>
    <t>Cumulative wholesale totex outperformance</t>
  </si>
  <si>
    <t>Allowed revenue calculations</t>
  </si>
  <si>
    <t>Outturn allowed retail service revenue for unmeasured water customer</t>
  </si>
  <si>
    <t>Outturn allowed retail service revenue for unmeasured sewerage customer</t>
  </si>
  <si>
    <t>Outturn allowed retail service revenue for unmeasured dual service customer</t>
  </si>
  <si>
    <t>Outturn allowed retail service revenue for measured water customer</t>
  </si>
  <si>
    <t>Outturn allowed retail service revenue for measured sewerage customer</t>
  </si>
  <si>
    <t>Outturn allowed retail service revenue for measured dual service customer</t>
  </si>
  <si>
    <t>Allowed revenue - total</t>
  </si>
  <si>
    <t>Cost out or under performance calculations</t>
  </si>
  <si>
    <t>Adjusted allowed revenue (implied cost allowance)</t>
  </si>
  <si>
    <t>Cost out or under performance</t>
  </si>
  <si>
    <t>Cumulative calculations</t>
  </si>
  <si>
    <t>Allowed cost</t>
  </si>
  <si>
    <t xml:space="preserve">Actual cost </t>
  </si>
  <si>
    <t>Out or under performance</t>
  </si>
  <si>
    <t>% Out or under performance</t>
  </si>
  <si>
    <t>Net Change</t>
  </si>
  <si>
    <t>Net change (from 2012-13)</t>
  </si>
  <si>
    <t>As % of industry total</t>
  </si>
  <si>
    <t>Leakage (cubic metres per km of water main per day)</t>
  </si>
  <si>
    <t>As %</t>
  </si>
  <si>
    <t>Property minutes (millions)</t>
  </si>
  <si>
    <t>Net change (from 2014-15)</t>
  </si>
  <si>
    <t>Internal sewer flooding incidents per 10,000 properties</t>
  </si>
  <si>
    <t>Net change (from 2015-16)</t>
  </si>
  <si>
    <t>Total incentive payments</t>
  </si>
  <si>
    <t>Operational performance - ODI out / (under) performance - Actual returns and notional regulatory equity</t>
  </si>
  <si>
    <t>Performance metrics as stated in Annual Performance Report Table 3A</t>
  </si>
  <si>
    <t>Performance metrics on equivalent basis</t>
  </si>
  <si>
    <t>No. of PCs</t>
  </si>
  <si>
    <t>Actual</t>
  </si>
  <si>
    <t>Target</t>
  </si>
  <si>
    <t>Pass/Fail</t>
  </si>
  <si>
    <t>Pass Rate</t>
  </si>
  <si>
    <t>PC1</t>
  </si>
  <si>
    <t>PC2</t>
  </si>
  <si>
    <t>Wholesale totex outperformance</t>
  </si>
  <si>
    <t>Residential retail totex outperformance</t>
  </si>
  <si>
    <t>Quartile</t>
  </si>
  <si>
    <t>Upper Quartile</t>
  </si>
  <si>
    <t>Lower Quartile</t>
  </si>
  <si>
    <t>SIM Score</t>
  </si>
  <si>
    <t>% change</t>
  </si>
  <si>
    <t>ODI out / (under) performance</t>
  </si>
  <si>
    <t>Wholesale totex</t>
  </si>
  <si>
    <t>Underspend and overspend: cumulative wholesale totex performance</t>
  </si>
  <si>
    <t>Cumulative actual wholesale totex (£m)</t>
  </si>
  <si>
    <t>Cumulative wholesale totex allowance (£m)</t>
  </si>
  <si>
    <t>Long-term trends in wholesale totex performance</t>
  </si>
  <si>
    <t>Annual outperformance as a % of annual allowed wholesale totex</t>
  </si>
  <si>
    <t>Cumulative outperformance as a % of cumulative allowed wholesale totex</t>
  </si>
  <si>
    <t xml:space="preserve">Residential retail totex </t>
  </si>
  <si>
    <t>Underspend and overspend: cumulative residential retail totex performance</t>
  </si>
  <si>
    <t>Cumulative actual residential retail totex (£m)</t>
  </si>
  <si>
    <t>Cumulative residential retail totex allowance (£m)</t>
  </si>
  <si>
    <t>Customer service - SIM</t>
  </si>
  <si>
    <t>Upper quartile</t>
  </si>
  <si>
    <t>Lower quartile</t>
  </si>
  <si>
    <t>Meeting performance commitment levels</t>
  </si>
  <si>
    <t>Earning financial incentives - ODI returns</t>
  </si>
  <si>
    <t>In 2018-19 &amp; compared to 2017-18</t>
  </si>
  <si>
    <t>2018-19 performance (ml/d)</t>
  </si>
  <si>
    <t>2018-19 target (ml/d)</t>
  </si>
  <si>
    <t>Total litres per km of main</t>
  </si>
  <si>
    <t>2018-19 performance (mins/ property)</t>
  </si>
  <si>
    <t>2018-19 target (mins/ property)</t>
  </si>
  <si>
    <t>2018-19 performance (rate per 1,000 population)</t>
  </si>
  <si>
    <t>2018-19 target (rate per 1,000 population)</t>
  </si>
  <si>
    <t>Rate per 1,000 population</t>
  </si>
  <si>
    <t>2018-19 performance (incidents)</t>
  </si>
  <si>
    <t>2018-19 target (incidents)</t>
  </si>
  <si>
    <t>Incidents per 10,000 properties</t>
  </si>
  <si>
    <t>Category 1-3 incidents per 10,000 km of sewer</t>
  </si>
  <si>
    <t>Rank</t>
  </si>
  <si>
    <t>Net change</t>
  </si>
  <si>
    <t>ODI returns</t>
  </si>
  <si>
    <t>Others</t>
  </si>
  <si>
    <t>Net payment</t>
  </si>
  <si>
    <t>Sector 2015-16</t>
  </si>
  <si>
    <t>Sector 2016-17</t>
  </si>
  <si>
    <t>Sector 2017-18</t>
  </si>
  <si>
    <t>Sector 2018-19</t>
  </si>
  <si>
    <t>ODI RoRE</t>
  </si>
  <si>
    <t>Total industry leakage (Megalitres per day 000s)</t>
  </si>
  <si>
    <t>Net change %</t>
  </si>
  <si>
    <t>Total industry supply interruption property minutes (millions)</t>
  </si>
  <si>
    <t>Total industry water quality contacts (thousands)</t>
  </si>
  <si>
    <t>Total number of sewer flooding incidents (000s)</t>
  </si>
  <si>
    <t>SVE + HDD</t>
  </si>
  <si>
    <t>Total number of category 1-3 pollution incidents (000s)</t>
  </si>
  <si>
    <t>▲</t>
  </si>
  <si>
    <t>▼</t>
  </si>
  <si>
    <t>◄►</t>
  </si>
  <si>
    <t>Performance</t>
  </si>
  <si>
    <t>Performance against targets</t>
  </si>
  <si>
    <t>Page 5</t>
  </si>
  <si>
    <t>Page 7</t>
  </si>
  <si>
    <t>Page 8</t>
  </si>
  <si>
    <t>Page 9</t>
  </si>
  <si>
    <t>Page 10</t>
  </si>
  <si>
    <t>Page 12</t>
  </si>
  <si>
    <t>Page 13</t>
  </si>
  <si>
    <t>Page 15</t>
  </si>
  <si>
    <t>Page 17</t>
  </si>
  <si>
    <t>Page 19</t>
  </si>
  <si>
    <t>Page 21</t>
  </si>
  <si>
    <t>Page 23</t>
  </si>
  <si>
    <t>Page 11</t>
  </si>
  <si>
    <t>Page 14</t>
  </si>
  <si>
    <t>Page 16</t>
  </si>
  <si>
    <t>Page 18</t>
  </si>
  <si>
    <t>Page 20</t>
  </si>
  <si>
    <t>Page 22</t>
  </si>
  <si>
    <t>Page 24</t>
  </si>
  <si>
    <t>Key</t>
  </si>
  <si>
    <t>Actual return as a % of notional regulated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</si>
</sst>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0.00;\-"/>
    <numFmt numFmtId="165" formatCode="#,##0;\-#,##0;\-"/>
    <numFmt numFmtId="166" formatCode="0.00%;\-0.00%;\-"/>
    <numFmt numFmtId="167" formatCode="#,##0.00_ ;\-#,##0.00\ "/>
    <numFmt numFmtId="168" formatCode="0%;\-0%;\-"/>
    <numFmt numFmtId="169" formatCode="0.0%"/>
    <numFmt numFmtId="170" formatCode="0.0%;\-0.0%;\-"/>
    <numFmt numFmtId="171" formatCode="#,##0.000000000000_ ;\-#,##0.000000000000\ "/>
    <numFmt numFmtId="172" formatCode="#,##0.0;\-#,##0.0;\-"/>
    <numFmt numFmtId="173" formatCode="dd\ mmm\ yyyy"/>
    <numFmt numFmtId="174" formatCode="0.0"/>
  </numFmts>
  <fonts count="58" x14ac:knownFonts="1">
    <font>
      <sz val="11"/>
      <color theme="1"/>
      <name val="Arial"/>
      <family val="2"/>
    </font>
    <font>
      <sz val="11"/>
      <color theme="1"/>
      <name val="Arial"/>
      <family val="2"/>
    </font>
    <font>
      <sz val="10"/>
      <color theme="1"/>
      <name val="Arial"/>
      <family val="2"/>
      <scheme val="minor"/>
    </font>
    <font>
      <b/>
      <sz val="10"/>
      <color theme="1"/>
      <name val="Arial"/>
      <family val="2"/>
      <scheme val="minor"/>
    </font>
    <font>
      <b/>
      <i/>
      <sz val="10"/>
      <color theme="1"/>
      <name val="Arial"/>
      <family val="2"/>
      <scheme val="minor"/>
    </font>
    <font>
      <b/>
      <sz val="10"/>
      <name val="Arial"/>
      <family val="2"/>
      <scheme val="minor"/>
    </font>
    <font>
      <b/>
      <i/>
      <sz val="10"/>
      <name val="Arial"/>
      <family val="2"/>
      <scheme val="minor"/>
    </font>
    <font>
      <i/>
      <sz val="10"/>
      <color theme="0" tint="-0.499984740745262"/>
      <name val="Arial"/>
      <family val="2"/>
      <scheme val="minor"/>
    </font>
    <font>
      <b/>
      <i/>
      <sz val="10"/>
      <color theme="0" tint="-0.499984740745262"/>
      <name val="Arial"/>
      <family val="2"/>
      <scheme val="minor"/>
    </font>
    <font>
      <sz val="10"/>
      <color theme="1"/>
      <name val="Arial"/>
      <family val="2"/>
    </font>
    <font>
      <sz val="10"/>
      <color theme="0"/>
      <name val="Franklin Gothic Demi"/>
      <family val="2"/>
      <scheme val="major"/>
    </font>
    <font>
      <i/>
      <sz val="10"/>
      <color theme="3"/>
      <name val="Arial"/>
      <family val="2"/>
      <scheme val="minor"/>
    </font>
    <font>
      <sz val="10"/>
      <color theme="3"/>
      <name val="Arial"/>
      <family val="2"/>
      <scheme val="minor"/>
    </font>
    <font>
      <i/>
      <sz val="10"/>
      <color theme="0"/>
      <name val="Franklin Gothic Demi"/>
      <family val="2"/>
      <scheme val="major"/>
    </font>
    <font>
      <i/>
      <sz val="10"/>
      <color theme="1"/>
      <name val="Arial"/>
      <family val="2"/>
    </font>
    <font>
      <b/>
      <sz val="10"/>
      <color theme="1"/>
      <name val="Arial"/>
      <family val="2"/>
    </font>
    <font>
      <b/>
      <i/>
      <sz val="10"/>
      <color theme="1"/>
      <name val="Arial"/>
      <family val="2"/>
    </font>
    <font>
      <i/>
      <sz val="10"/>
      <color theme="1"/>
      <name val="Arial"/>
      <family val="2"/>
      <scheme val="minor"/>
    </font>
    <font>
      <i/>
      <sz val="10"/>
      <color theme="3"/>
      <name val="Franklin Gothic Demi"/>
      <family val="2"/>
      <scheme val="major"/>
    </font>
    <font>
      <sz val="10"/>
      <color theme="3"/>
      <name val="Franklin Gothic Demi"/>
      <family val="2"/>
      <scheme val="major"/>
    </font>
    <font>
      <sz val="10"/>
      <color theme="1"/>
      <name val="Franklin Gothic Demi"/>
      <family val="2"/>
      <scheme val="major"/>
    </font>
    <font>
      <sz val="10"/>
      <name val="Franklin Gothic Demi"/>
      <family val="2"/>
      <scheme val="major"/>
    </font>
    <font>
      <sz val="10"/>
      <name val="Arial"/>
      <family val="2"/>
      <scheme val="minor"/>
    </font>
    <font>
      <i/>
      <sz val="10"/>
      <color theme="1"/>
      <name val="Franklin Gothic Demi"/>
      <family val="2"/>
      <scheme val="major"/>
    </font>
    <font>
      <sz val="10"/>
      <color theme="4"/>
      <name val="Arial"/>
      <family val="2"/>
    </font>
    <font>
      <sz val="10"/>
      <name val="Arial"/>
      <family val="2"/>
    </font>
    <font>
      <i/>
      <sz val="8"/>
      <color theme="1"/>
      <name val="Arial"/>
      <family val="2"/>
    </font>
    <font>
      <sz val="10"/>
      <color theme="7"/>
      <name val="Arial"/>
      <family val="2"/>
    </font>
    <font>
      <b/>
      <sz val="10"/>
      <color rgb="FFFFFFFF"/>
      <name val="Arial"/>
      <family val="2"/>
    </font>
    <font>
      <sz val="10"/>
      <color theme="3"/>
      <name val="Franklin Gothic Demi"/>
      <family val="2"/>
    </font>
    <font>
      <u/>
      <sz val="11"/>
      <color theme="10"/>
      <name val="Arial"/>
      <family val="2"/>
    </font>
    <font>
      <i/>
      <sz val="10"/>
      <color theme="0" tint="-0.499984740745262"/>
      <name val="Arial"/>
      <family val="2"/>
    </font>
    <font>
      <i/>
      <sz val="10"/>
      <color theme="0"/>
      <name val="Arial"/>
      <family val="2"/>
      <scheme val="minor"/>
    </font>
    <font>
      <sz val="10"/>
      <color theme="0"/>
      <name val="Arial"/>
      <family val="2"/>
      <scheme val="minor"/>
    </font>
    <font>
      <i/>
      <u/>
      <sz val="10"/>
      <color theme="3"/>
      <name val="Arial"/>
      <family val="2"/>
      <scheme val="minor"/>
    </font>
    <font>
      <i/>
      <sz val="10"/>
      <color theme="1" tint="0.499984740745262"/>
      <name val="Arial"/>
      <family val="2"/>
      <scheme val="minor"/>
    </font>
    <font>
      <i/>
      <u/>
      <sz val="10"/>
      <color theme="10"/>
      <name val="Arial"/>
      <family val="2"/>
      <scheme val="minor"/>
    </font>
    <font>
      <i/>
      <sz val="10"/>
      <color theme="9"/>
      <name val="Arial"/>
      <family val="2"/>
      <scheme val="minor"/>
    </font>
    <font>
      <i/>
      <sz val="10"/>
      <name val="Arial"/>
      <family val="2"/>
      <scheme val="minor"/>
    </font>
    <font>
      <b/>
      <sz val="10"/>
      <name val="Arial"/>
      <family val="2"/>
    </font>
    <font>
      <b/>
      <i/>
      <sz val="10"/>
      <name val="Arial"/>
      <family val="2"/>
    </font>
    <font>
      <i/>
      <sz val="10"/>
      <color theme="4" tint="0.79998168889431442"/>
      <name val="Arial"/>
      <family val="2"/>
      <scheme val="minor"/>
    </font>
    <font>
      <sz val="10"/>
      <color theme="0"/>
      <name val="Arial"/>
      <family val="2"/>
    </font>
    <font>
      <sz val="11"/>
      <color theme="1"/>
      <name val="Franklin Gothic Demi"/>
      <family val="2"/>
      <scheme val="major"/>
    </font>
    <font>
      <sz val="10"/>
      <color theme="8"/>
      <name val="Arial"/>
      <family val="2"/>
    </font>
    <font>
      <i/>
      <u/>
      <sz val="10"/>
      <color theme="4"/>
      <name val="Arial"/>
      <family val="2"/>
    </font>
    <font>
      <sz val="12"/>
      <color theme="0"/>
      <name val="Franklin Gothic Demi"/>
      <family val="2"/>
    </font>
    <font>
      <sz val="22"/>
      <color theme="0"/>
      <name val="Franklin Gothic Demi"/>
      <family val="2"/>
    </font>
    <font>
      <i/>
      <sz val="12"/>
      <color rgb="FF000000"/>
      <name val="Franklin Gothic Demi"/>
      <family val="2"/>
    </font>
    <font>
      <sz val="10"/>
      <color theme="0"/>
      <name val="Franklin Gothic Demi"/>
      <family val="2"/>
    </font>
    <font>
      <i/>
      <u/>
      <sz val="10"/>
      <color theme="10"/>
      <name val="Arial"/>
      <family val="2"/>
    </font>
    <font>
      <sz val="12"/>
      <color rgb="FFFF0000"/>
      <name val="Franklin Gothic Demi"/>
      <family val="2"/>
    </font>
    <font>
      <b/>
      <sz val="10"/>
      <color theme="0"/>
      <name val="Arial"/>
      <family val="2"/>
      <scheme val="minor"/>
    </font>
    <font>
      <sz val="11"/>
      <color theme="0"/>
      <name val="Franklin Gothic Demi"/>
      <family val="2"/>
      <scheme val="major"/>
    </font>
    <font>
      <sz val="10"/>
      <color theme="3"/>
      <name val="Arial"/>
      <family val="2"/>
    </font>
    <font>
      <sz val="11"/>
      <color theme="2"/>
      <name val="Franklin Gothic Demi"/>
      <family val="2"/>
      <scheme val="major"/>
    </font>
    <font>
      <sz val="10"/>
      <color theme="3" tint="-0.249977111117893"/>
      <name val="Arial"/>
      <family val="2"/>
    </font>
    <font>
      <sz val="10"/>
      <color theme="3" tint="-0.249977111117893"/>
      <name val="Franklin Gothic Demi"/>
      <family val="2"/>
      <scheme val="major"/>
    </font>
  </fonts>
  <fills count="19">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2F2F2"/>
        <bgColor indexed="64"/>
      </patternFill>
    </fill>
    <fill>
      <patternFill patternType="solid">
        <fgColor theme="2" tint="-4.9989318521683403E-2"/>
        <bgColor indexed="64"/>
      </patternFill>
    </fill>
    <fill>
      <patternFill patternType="solid">
        <fgColor rgb="FFCBD6EB"/>
        <bgColor indexed="64"/>
      </patternFill>
    </fill>
    <fill>
      <patternFill patternType="solid">
        <fgColor rgb="FFE7ECF5"/>
        <bgColor indexed="64"/>
      </patternFill>
    </fill>
    <fill>
      <patternFill patternType="solid">
        <fgColor rgb="FFB0D1FF"/>
        <bgColor indexed="64"/>
      </patternFill>
    </fill>
    <fill>
      <patternFill patternType="solid">
        <fgColor theme="6"/>
        <bgColor indexed="64"/>
      </patternFill>
    </fill>
    <fill>
      <patternFill patternType="solid">
        <fgColor theme="7"/>
        <bgColor indexed="64"/>
      </patternFill>
    </fill>
    <fill>
      <patternFill patternType="solid">
        <fgColor theme="3"/>
        <bgColor auto="1"/>
      </patternFill>
    </fill>
    <fill>
      <patternFill patternType="solid">
        <fgColor rgb="FFB9C884"/>
        <bgColor indexed="64"/>
      </patternFill>
    </fill>
    <fill>
      <patternFill patternType="solid">
        <fgColor theme="8"/>
        <bgColor indexed="64"/>
      </patternFill>
    </fill>
    <fill>
      <patternFill patternType="solid">
        <fgColor rgb="FFC1DAF0"/>
        <bgColor indexed="64"/>
      </patternFill>
    </fill>
    <fill>
      <gradientFill degree="45">
        <stop position="0">
          <color theme="3"/>
        </stop>
        <stop position="1">
          <color theme="8"/>
        </stop>
      </gradientFill>
    </fill>
  </fills>
  <borders count="35">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tint="-0.14999847407452621"/>
      </right>
      <top style="thin">
        <color theme="0" tint="-0.14996795556505021"/>
      </top>
      <bottom/>
      <diagonal/>
    </border>
    <border>
      <left/>
      <right style="thin">
        <color theme="0" tint="-0.14999847407452621"/>
      </right>
      <top/>
      <bottom/>
      <diagonal/>
    </border>
    <border>
      <left/>
      <right style="thin">
        <color theme="0" tint="-0.14999847407452621"/>
      </right>
      <top/>
      <bottom style="thin">
        <color theme="0" tint="-0.14999847407452621"/>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bottom style="thin">
        <color indexed="64"/>
      </bottom>
      <diagonal/>
    </border>
    <border>
      <left/>
      <right/>
      <top/>
      <bottom style="thick">
        <color theme="0"/>
      </bottom>
      <diagonal/>
    </border>
    <border>
      <left/>
      <right/>
      <top style="thin">
        <color theme="0" tint="-0.14999847407452621"/>
      </top>
      <bottom style="thin">
        <color theme="0" tint="-0.14999847407452621"/>
      </bottom>
      <diagonal/>
    </border>
    <border>
      <left style="thin">
        <color theme="0"/>
      </left>
      <right style="thin">
        <color theme="0"/>
      </right>
      <top style="thin">
        <color theme="0"/>
      </top>
      <bottom style="thick">
        <color theme="0"/>
      </bottom>
      <diagonal/>
    </border>
    <border>
      <left style="thin">
        <color theme="0"/>
      </left>
      <right style="thin">
        <color theme="0"/>
      </right>
      <top/>
      <bottom style="thin">
        <color theme="0"/>
      </bottom>
      <diagonal/>
    </border>
    <border>
      <left style="thin">
        <color theme="0"/>
      </left>
      <right/>
      <top style="thin">
        <color theme="0"/>
      </top>
      <bottom style="thick">
        <color theme="0"/>
      </bottom>
      <diagonal/>
    </border>
    <border>
      <left style="thin">
        <color theme="0"/>
      </left>
      <right/>
      <top/>
      <bottom style="thin">
        <color theme="0"/>
      </bottom>
      <diagonal/>
    </border>
    <border>
      <left/>
      <right style="thin">
        <color theme="0"/>
      </right>
      <top style="thin">
        <color theme="0"/>
      </top>
      <bottom style="thick">
        <color theme="0"/>
      </bottom>
      <diagonal/>
    </border>
    <border>
      <left/>
      <right style="thin">
        <color theme="0"/>
      </right>
      <top/>
      <bottom style="thin">
        <color theme="0"/>
      </bottom>
      <diagonal/>
    </border>
    <border>
      <left style="thick">
        <color theme="0"/>
      </left>
      <right style="thin">
        <color theme="0"/>
      </right>
      <top style="thin">
        <color theme="0"/>
      </top>
      <bottom style="thick">
        <color theme="0"/>
      </bottom>
      <diagonal/>
    </border>
    <border>
      <left style="thin">
        <color theme="0"/>
      </left>
      <right style="thick">
        <color theme="0"/>
      </right>
      <top style="thin">
        <color theme="0"/>
      </top>
      <bottom style="thick">
        <color theme="0"/>
      </bottom>
      <diagonal/>
    </border>
    <border>
      <left style="thick">
        <color theme="0"/>
      </left>
      <right style="thin">
        <color theme="0"/>
      </right>
      <top/>
      <bottom style="thin">
        <color theme="0"/>
      </bottom>
      <diagonal/>
    </border>
    <border>
      <left style="thin">
        <color theme="0"/>
      </left>
      <right style="thick">
        <color theme="0"/>
      </right>
      <top/>
      <bottom style="thin">
        <color theme="0"/>
      </bottom>
      <diagonal/>
    </border>
    <border>
      <left style="thick">
        <color theme="0"/>
      </left>
      <right style="thin">
        <color theme="0"/>
      </right>
      <top style="thin">
        <color theme="0"/>
      </top>
      <bottom style="thin">
        <color theme="0"/>
      </bottom>
      <diagonal/>
    </border>
    <border>
      <left style="thin">
        <color theme="0"/>
      </left>
      <right style="thick">
        <color theme="0"/>
      </right>
      <top style="thin">
        <color theme="0"/>
      </top>
      <bottom style="thin">
        <color theme="0"/>
      </bottom>
      <diagonal/>
    </border>
  </borders>
  <cellStyleXfs count="3">
    <xf numFmtId="0" fontId="0" fillId="0" borderId="0"/>
    <xf numFmtId="9" fontId="1" fillId="0" borderId="0" applyFont="0" applyFill="0" applyBorder="0" applyAlignment="0" applyProtection="0"/>
    <xf numFmtId="0" fontId="30" fillId="0" borderId="0" applyNumberFormat="0" applyFill="0" applyBorder="0" applyAlignment="0" applyProtection="0"/>
  </cellStyleXfs>
  <cellXfs count="381">
    <xf numFmtId="0" fontId="0" fillId="0" borderId="0" xfId="0"/>
    <xf numFmtId="0" fontId="2" fillId="0" borderId="0" xfId="0" applyFont="1"/>
    <xf numFmtId="0" fontId="3" fillId="0" borderId="0" xfId="0" applyFont="1"/>
    <xf numFmtId="0" fontId="4" fillId="0" borderId="0" xfId="0" applyFont="1"/>
    <xf numFmtId="0" fontId="5" fillId="0" borderId="0" xfId="0" applyFont="1" applyAlignment="1">
      <alignment horizontal="right"/>
    </xf>
    <xf numFmtId="0" fontId="6" fillId="0" borderId="0" xfId="0" applyFont="1"/>
    <xf numFmtId="0" fontId="7" fillId="0" borderId="0" xfId="0" applyFont="1"/>
    <xf numFmtId="0" fontId="8" fillId="0" borderId="0" xfId="0" applyFont="1"/>
    <xf numFmtId="0" fontId="9" fillId="0" borderId="0" xfId="0" applyFont="1"/>
    <xf numFmtId="0" fontId="10" fillId="2" borderId="0" xfId="0" applyFont="1" applyFill="1"/>
    <xf numFmtId="0" fontId="13" fillId="2" borderId="0" xfId="0" applyFont="1" applyFill="1"/>
    <xf numFmtId="0" fontId="14" fillId="0" borderId="0" xfId="0" applyFont="1"/>
    <xf numFmtId="164" fontId="9" fillId="4" borderId="1" xfId="0" applyNumberFormat="1" applyFont="1" applyFill="1" applyBorder="1"/>
    <xf numFmtId="0" fontId="15" fillId="0" borderId="0" xfId="0" applyFont="1"/>
    <xf numFmtId="0" fontId="16" fillId="0" borderId="0" xfId="0" applyFont="1"/>
    <xf numFmtId="164" fontId="9" fillId="0" borderId="1" xfId="0" applyNumberFormat="1" applyFont="1" applyFill="1" applyBorder="1"/>
    <xf numFmtId="165" fontId="9" fillId="4" borderId="1" xfId="0" applyNumberFormat="1" applyFont="1" applyFill="1" applyBorder="1"/>
    <xf numFmtId="165" fontId="9" fillId="0" borderId="1" xfId="0" applyNumberFormat="1" applyFont="1" applyFill="1" applyBorder="1"/>
    <xf numFmtId="0" fontId="17" fillId="0" borderId="0" xfId="0" applyFont="1"/>
    <xf numFmtId="165" fontId="9" fillId="5" borderId="1" xfId="0" applyNumberFormat="1" applyFont="1" applyFill="1" applyBorder="1"/>
    <xf numFmtId="0" fontId="15" fillId="6" borderId="0" xfId="0" applyFont="1" applyFill="1"/>
    <xf numFmtId="0" fontId="9" fillId="0" borderId="0" xfId="0" applyFont="1" applyAlignment="1"/>
    <xf numFmtId="0" fontId="3" fillId="0" borderId="0" xfId="0" applyFont="1" applyAlignment="1"/>
    <xf numFmtId="0" fontId="4" fillId="0" borderId="0" xfId="0" applyFont="1" applyAlignment="1"/>
    <xf numFmtId="0" fontId="2" fillId="0" borderId="0" xfId="0" applyFont="1" applyAlignment="1"/>
    <xf numFmtId="0" fontId="6" fillId="0" borderId="0" xfId="0" applyFont="1" applyAlignment="1"/>
    <xf numFmtId="0" fontId="7" fillId="0" borderId="0" xfId="0" applyFont="1" applyAlignment="1"/>
    <xf numFmtId="0" fontId="14" fillId="0" borderId="0" xfId="0" applyFont="1" applyAlignment="1">
      <alignment horizontal="right"/>
    </xf>
    <xf numFmtId="0" fontId="8" fillId="0" borderId="0" xfId="0" applyFont="1" applyAlignment="1"/>
    <xf numFmtId="0" fontId="7" fillId="0" borderId="0" xfId="0" applyFont="1" applyFill="1" applyAlignment="1"/>
    <xf numFmtId="0" fontId="14" fillId="0" borderId="0" xfId="0" applyFont="1" applyAlignment="1"/>
    <xf numFmtId="164" fontId="9" fillId="5" borderId="1" xfId="0" applyNumberFormat="1" applyFont="1" applyFill="1" applyBorder="1"/>
    <xf numFmtId="0" fontId="18" fillId="3" borderId="0" xfId="0" applyFont="1" applyFill="1"/>
    <xf numFmtId="0" fontId="19" fillId="3" borderId="0" xfId="0" applyFont="1" applyFill="1"/>
    <xf numFmtId="0" fontId="20" fillId="0" borderId="0" xfId="0" applyFont="1"/>
    <xf numFmtId="0" fontId="21" fillId="3" borderId="0" xfId="0" applyFont="1" applyFill="1"/>
    <xf numFmtId="0" fontId="20" fillId="3" borderId="0" xfId="0" applyFont="1" applyFill="1" applyAlignment="1"/>
    <xf numFmtId="0" fontId="23" fillId="3" borderId="0" xfId="0" applyFont="1" applyFill="1" applyAlignment="1"/>
    <xf numFmtId="0" fontId="5" fillId="6" borderId="0" xfId="0" applyFont="1" applyFill="1" applyAlignment="1"/>
    <xf numFmtId="0" fontId="22" fillId="6" borderId="0" xfId="0" applyFont="1" applyFill="1" applyAlignment="1"/>
    <xf numFmtId="0" fontId="11" fillId="6" borderId="0" xfId="0" applyFont="1" applyFill="1" applyAlignment="1"/>
    <xf numFmtId="0" fontId="12" fillId="6" borderId="0" xfId="0" applyFont="1" applyFill="1" applyAlignment="1"/>
    <xf numFmtId="0" fontId="20" fillId="3" borderId="0" xfId="0" applyFont="1" applyFill="1"/>
    <xf numFmtId="0" fontId="23" fillId="3" borderId="0" xfId="0" applyFont="1" applyFill="1"/>
    <xf numFmtId="0" fontId="9" fillId="0" borderId="0" xfId="0" applyFont="1" applyAlignment="1">
      <alignment horizontal="left" indent="1"/>
    </xf>
    <xf numFmtId="0" fontId="5" fillId="6" borderId="0" xfId="0" applyFont="1" applyFill="1"/>
    <xf numFmtId="0" fontId="22" fillId="6" borderId="0" xfId="0" applyFont="1" applyFill="1"/>
    <xf numFmtId="0" fontId="11" fillId="6" borderId="0" xfId="0" applyFont="1" applyFill="1"/>
    <xf numFmtId="0" fontId="12" fillId="6" borderId="0" xfId="0" applyFont="1" applyFill="1"/>
    <xf numFmtId="9" fontId="9" fillId="0" borderId="0" xfId="1" applyFont="1"/>
    <xf numFmtId="164" fontId="24" fillId="0" borderId="1" xfId="0" applyNumberFormat="1" applyFont="1" applyFill="1" applyBorder="1"/>
    <xf numFmtId="0" fontId="9" fillId="0" borderId="0" xfId="0" applyFont="1" applyAlignment="1">
      <alignment horizontal="right"/>
    </xf>
    <xf numFmtId="167" fontId="9" fillId="0" borderId="0" xfId="0" applyNumberFormat="1" applyFont="1"/>
    <xf numFmtId="0" fontId="9" fillId="0" borderId="0" xfId="0" applyFont="1" applyAlignment="1">
      <alignment vertical="top"/>
    </xf>
    <xf numFmtId="0" fontId="14" fillId="0" borderId="0" xfId="0" applyFont="1" applyAlignment="1">
      <alignment vertical="top"/>
    </xf>
    <xf numFmtId="0" fontId="2" fillId="0" borderId="0" xfId="0" applyFont="1" applyBorder="1" applyAlignment="1">
      <alignment horizontal="right" vertical="top" wrapText="1"/>
    </xf>
    <xf numFmtId="0" fontId="9" fillId="0" borderId="0" xfId="0" applyFont="1" applyAlignment="1">
      <alignment horizontal="right" vertical="center"/>
    </xf>
    <xf numFmtId="165" fontId="24" fillId="0" borderId="1" xfId="0" applyNumberFormat="1" applyFont="1" applyFill="1" applyBorder="1"/>
    <xf numFmtId="164" fontId="25" fillId="0" borderId="1" xfId="0" applyNumberFormat="1" applyFont="1" applyFill="1" applyBorder="1"/>
    <xf numFmtId="165" fontId="9" fillId="0" borderId="0" xfId="0" applyNumberFormat="1" applyFont="1"/>
    <xf numFmtId="0" fontId="10" fillId="2" borderId="0" xfId="0" applyFont="1" applyFill="1" applyAlignment="1">
      <alignment horizontal="right"/>
    </xf>
    <xf numFmtId="0" fontId="18" fillId="3" borderId="0" xfId="0" applyFont="1" applyFill="1" applyAlignment="1">
      <alignment horizontal="right"/>
    </xf>
    <xf numFmtId="166" fontId="9" fillId="0" borderId="1" xfId="0" applyNumberFormat="1" applyFont="1" applyFill="1" applyBorder="1" applyAlignment="1">
      <alignment horizontal="right"/>
    </xf>
    <xf numFmtId="0" fontId="19" fillId="3" borderId="0" xfId="0" applyFont="1" applyFill="1" applyAlignment="1">
      <alignment horizontal="right"/>
    </xf>
    <xf numFmtId="0" fontId="13" fillId="2" borderId="0" xfId="0" applyFont="1" applyFill="1" applyAlignment="1">
      <alignment horizontal="right"/>
    </xf>
    <xf numFmtId="168" fontId="9" fillId="0" borderId="1" xfId="0" applyNumberFormat="1" applyFont="1" applyFill="1" applyBorder="1"/>
    <xf numFmtId="2" fontId="9" fillId="0" borderId="0" xfId="0" applyNumberFormat="1" applyFont="1"/>
    <xf numFmtId="2" fontId="9" fillId="4" borderId="1" xfId="0" applyNumberFormat="1" applyFont="1" applyFill="1" applyBorder="1"/>
    <xf numFmtId="2" fontId="9" fillId="4" borderId="2" xfId="0" applyNumberFormat="1" applyFont="1" applyFill="1" applyBorder="1"/>
    <xf numFmtId="2" fontId="9" fillId="4" borderId="3" xfId="0" applyNumberFormat="1" applyFont="1" applyFill="1" applyBorder="1"/>
    <xf numFmtId="0" fontId="15" fillId="0" borderId="0" xfId="0" applyFont="1" applyAlignment="1">
      <alignment horizontal="right"/>
    </xf>
    <xf numFmtId="20" fontId="9" fillId="4" borderId="1" xfId="0" applyNumberFormat="1" applyFont="1" applyFill="1" applyBorder="1"/>
    <xf numFmtId="0" fontId="9" fillId="4" borderId="2" xfId="0" applyFont="1" applyFill="1" applyBorder="1"/>
    <xf numFmtId="0" fontId="9" fillId="4" borderId="1" xfId="0" applyFont="1" applyFill="1" applyBorder="1"/>
    <xf numFmtId="4" fontId="9" fillId="4" borderId="1" xfId="0" applyNumberFormat="1" applyFont="1" applyFill="1" applyBorder="1"/>
    <xf numFmtId="4" fontId="9" fillId="0" borderId="0" xfId="0" applyNumberFormat="1" applyFont="1"/>
    <xf numFmtId="3" fontId="9" fillId="4" borderId="1" xfId="0" applyNumberFormat="1" applyFont="1" applyFill="1" applyBorder="1"/>
    <xf numFmtId="3" fontId="9" fillId="0" borderId="0" xfId="0" applyNumberFormat="1" applyFont="1"/>
    <xf numFmtId="0" fontId="9" fillId="4" borderId="3" xfId="0" applyFont="1" applyFill="1" applyBorder="1"/>
    <xf numFmtId="0" fontId="16" fillId="6" borderId="0" xfId="0" applyFont="1" applyFill="1"/>
    <xf numFmtId="0" fontId="26" fillId="0" borderId="0" xfId="0" applyFont="1" applyAlignment="1">
      <alignment vertical="center"/>
    </xf>
    <xf numFmtId="0" fontId="9" fillId="0" borderId="0" xfId="0" applyFont="1" applyAlignment="1">
      <alignment horizontal="center"/>
    </xf>
    <xf numFmtId="164" fontId="9" fillId="0" borderId="1" xfId="0" applyNumberFormat="1" applyFont="1" applyFill="1" applyBorder="1" applyAlignment="1">
      <alignment horizontal="right"/>
    </xf>
    <xf numFmtId="9" fontId="9" fillId="0" borderId="1" xfId="1" applyFont="1" applyFill="1" applyBorder="1" applyAlignment="1">
      <alignment horizontal="right"/>
    </xf>
    <xf numFmtId="0" fontId="9" fillId="0" borderId="0" xfId="0" applyFont="1" applyAlignment="1">
      <alignment vertical="center"/>
    </xf>
    <xf numFmtId="0" fontId="9" fillId="0" borderId="0" xfId="0" applyFont="1" applyAlignment="1">
      <alignment horizontal="center" vertical="center"/>
    </xf>
    <xf numFmtId="0" fontId="9" fillId="4" borderId="1" xfId="0" applyFont="1" applyFill="1" applyBorder="1" applyAlignment="1">
      <alignment horizontal="center"/>
    </xf>
    <xf numFmtId="4" fontId="25" fillId="0" borderId="5" xfId="0" applyNumberFormat="1" applyFont="1" applyFill="1" applyBorder="1" applyAlignment="1">
      <alignment horizontal="center"/>
    </xf>
    <xf numFmtId="0" fontId="9" fillId="0" borderId="0" xfId="0" applyFont="1" applyFill="1"/>
    <xf numFmtId="0" fontId="15" fillId="0" borderId="0" xfId="0" applyFont="1" applyFill="1" applyAlignment="1">
      <alignment horizontal="right"/>
    </xf>
    <xf numFmtId="0" fontId="27" fillId="0" borderId="1" xfId="0" applyFont="1" applyFill="1" applyBorder="1" applyAlignment="1">
      <alignment horizontal="center"/>
    </xf>
    <xf numFmtId="164" fontId="27" fillId="0" borderId="1" xfId="0" applyNumberFormat="1" applyFont="1" applyFill="1" applyBorder="1" applyAlignment="1">
      <alignment horizontal="right"/>
    </xf>
    <xf numFmtId="164" fontId="27" fillId="0" borderId="0" xfId="0" applyNumberFormat="1" applyFont="1"/>
    <xf numFmtId="165" fontId="9" fillId="0" borderId="1" xfId="0" applyNumberFormat="1" applyFont="1" applyFill="1" applyBorder="1" applyAlignment="1">
      <alignment horizontal="right"/>
    </xf>
    <xf numFmtId="2" fontId="9" fillId="7" borderId="1" xfId="0" applyNumberFormat="1" applyFont="1" applyFill="1" applyBorder="1" applyAlignment="1">
      <alignment horizontal="right"/>
    </xf>
    <xf numFmtId="2" fontId="9" fillId="5" borderId="1" xfId="0" applyNumberFormat="1" applyFont="1" applyFill="1" applyBorder="1" applyAlignment="1">
      <alignment horizontal="right"/>
    </xf>
    <xf numFmtId="0" fontId="9" fillId="0" borderId="0" xfId="0" applyFont="1" applyFill="1" applyAlignment="1">
      <alignment horizontal="right"/>
    </xf>
    <xf numFmtId="0" fontId="25" fillId="0" borderId="1" xfId="0" applyFont="1" applyFill="1" applyBorder="1" applyAlignment="1">
      <alignment horizontal="center"/>
    </xf>
    <xf numFmtId="9" fontId="24" fillId="0" borderId="1" xfId="0" applyNumberFormat="1" applyFont="1" applyBorder="1" applyAlignment="1">
      <alignment horizontal="right" vertical="center"/>
    </xf>
    <xf numFmtId="164" fontId="24" fillId="0" borderId="1" xfId="0" applyNumberFormat="1" applyFont="1" applyFill="1" applyBorder="1" applyAlignment="1">
      <alignment horizontal="right" vertical="center"/>
    </xf>
    <xf numFmtId="169" fontId="9" fillId="0" borderId="1" xfId="1" applyNumberFormat="1" applyFont="1" applyBorder="1"/>
    <xf numFmtId="3" fontId="24" fillId="0" borderId="1" xfId="0" applyNumberFormat="1" applyFont="1" applyBorder="1"/>
    <xf numFmtId="169" fontId="24" fillId="0" borderId="1" xfId="1" applyNumberFormat="1" applyFont="1" applyBorder="1"/>
    <xf numFmtId="169" fontId="9" fillId="0" borderId="1" xfId="1" applyNumberFormat="1" applyFont="1" applyFill="1" applyBorder="1"/>
    <xf numFmtId="164" fontId="9" fillId="0" borderId="0" xfId="0" applyNumberFormat="1" applyFont="1" applyAlignment="1">
      <alignment horizontal="right"/>
    </xf>
    <xf numFmtId="164" fontId="10" fillId="2" borderId="0" xfId="0" applyNumberFormat="1" applyFont="1" applyFill="1" applyAlignment="1">
      <alignment horizontal="right"/>
    </xf>
    <xf numFmtId="164" fontId="9" fillId="4" borderId="1" xfId="0" applyNumberFormat="1" applyFont="1" applyFill="1" applyBorder="1" applyAlignment="1">
      <alignment horizontal="right"/>
    </xf>
    <xf numFmtId="4" fontId="9" fillId="4" borderId="1" xfId="0" applyNumberFormat="1" applyFont="1" applyFill="1" applyBorder="1" applyAlignment="1">
      <alignment horizontal="right"/>
    </xf>
    <xf numFmtId="3" fontId="9" fillId="4" borderId="1" xfId="0" applyNumberFormat="1" applyFont="1" applyFill="1" applyBorder="1" applyAlignment="1">
      <alignment horizontal="right"/>
    </xf>
    <xf numFmtId="165" fontId="9" fillId="4" borderId="1" xfId="0" applyNumberFormat="1" applyFont="1" applyFill="1" applyBorder="1" applyAlignment="1">
      <alignment horizontal="right"/>
    </xf>
    <xf numFmtId="165" fontId="9" fillId="0" borderId="0" xfId="0" applyNumberFormat="1" applyFont="1" applyAlignment="1">
      <alignment horizontal="right"/>
    </xf>
    <xf numFmtId="2" fontId="9" fillId="0" borderId="1" xfId="0" applyNumberFormat="1" applyFont="1" applyBorder="1"/>
    <xf numFmtId="2" fontId="24" fillId="0" borderId="1" xfId="0" applyNumberFormat="1" applyFont="1" applyBorder="1"/>
    <xf numFmtId="3" fontId="25" fillId="0" borderId="1" xfId="0" applyNumberFormat="1" applyFont="1" applyBorder="1"/>
    <xf numFmtId="164" fontId="24" fillId="0" borderId="1" xfId="0" applyNumberFormat="1" applyFont="1" applyFill="1" applyBorder="1" applyAlignment="1">
      <alignment horizontal="right"/>
    </xf>
    <xf numFmtId="165" fontId="24" fillId="0" borderId="1" xfId="0" applyNumberFormat="1" applyFont="1" applyFill="1" applyBorder="1" applyAlignment="1">
      <alignment horizontal="right"/>
    </xf>
    <xf numFmtId="165" fontId="25" fillId="0" borderId="1" xfId="0" applyNumberFormat="1" applyFont="1" applyFill="1" applyBorder="1"/>
    <xf numFmtId="164" fontId="25" fillId="0" borderId="0" xfId="0" applyNumberFormat="1" applyFont="1" applyFill="1" applyBorder="1"/>
    <xf numFmtId="166" fontId="25" fillId="0" borderId="1" xfId="1" applyNumberFormat="1" applyFont="1" applyFill="1" applyBorder="1"/>
    <xf numFmtId="165" fontId="25" fillId="0" borderId="1" xfId="0" applyNumberFormat="1" applyFont="1" applyFill="1" applyBorder="1" applyAlignment="1">
      <alignment horizontal="right"/>
    </xf>
    <xf numFmtId="166" fontId="24" fillId="0" borderId="1" xfId="0" applyNumberFormat="1" applyFont="1" applyFill="1" applyBorder="1"/>
    <xf numFmtId="168" fontId="24" fillId="0" borderId="1" xfId="0" applyNumberFormat="1" applyFont="1" applyFill="1" applyBorder="1"/>
    <xf numFmtId="0" fontId="9" fillId="0" borderId="6" xfId="0" applyNumberFormat="1" applyFont="1" applyFill="1" applyBorder="1" applyAlignment="1">
      <alignment horizontal="center" vertical="center"/>
    </xf>
    <xf numFmtId="0" fontId="9" fillId="0" borderId="6" xfId="0" applyFont="1" applyBorder="1" applyAlignment="1">
      <alignment horizontal="center" vertical="center"/>
    </xf>
    <xf numFmtId="2" fontId="24" fillId="0" borderId="1" xfId="0" applyNumberFormat="1" applyFont="1" applyFill="1" applyBorder="1"/>
    <xf numFmtId="0" fontId="9" fillId="4" borderId="1" xfId="0" applyFont="1" applyFill="1" applyBorder="1" applyAlignment="1">
      <alignment horizontal="center" vertical="center"/>
    </xf>
    <xf numFmtId="166" fontId="25" fillId="0" borderId="1" xfId="1" applyNumberFormat="1" applyFont="1" applyFill="1" applyBorder="1" applyAlignment="1">
      <alignment horizontal="right" vertical="center"/>
    </xf>
    <xf numFmtId="165" fontId="9" fillId="9" borderId="6" xfId="0" applyNumberFormat="1" applyFont="1" applyFill="1" applyBorder="1" applyAlignment="1">
      <alignment horizontal="center" vertical="center"/>
    </xf>
    <xf numFmtId="165" fontId="9" fillId="10" borderId="6" xfId="0" applyNumberFormat="1" applyFont="1" applyFill="1" applyBorder="1" applyAlignment="1">
      <alignment horizontal="center" vertical="center"/>
    </xf>
    <xf numFmtId="0" fontId="14" fillId="0" borderId="0" xfId="0" applyFont="1" applyFill="1"/>
    <xf numFmtId="165" fontId="9" fillId="7" borderId="1" xfId="0" applyNumberFormat="1" applyFont="1" applyFill="1" applyBorder="1"/>
    <xf numFmtId="0" fontId="17" fillId="0" borderId="0" xfId="0" applyFont="1" applyFill="1"/>
    <xf numFmtId="9" fontId="24" fillId="0" borderId="1" xfId="0" applyNumberFormat="1" applyFont="1" applyFill="1" applyBorder="1" applyAlignment="1">
      <alignment horizontal="right" vertical="center"/>
    </xf>
    <xf numFmtId="0" fontId="20" fillId="11" borderId="0" xfId="0" applyFont="1" applyFill="1" applyAlignment="1"/>
    <xf numFmtId="164" fontId="9" fillId="7" borderId="1" xfId="0" applyNumberFormat="1" applyFont="1" applyFill="1" applyBorder="1"/>
    <xf numFmtId="0" fontId="9" fillId="0" borderId="1" xfId="0" applyFont="1" applyBorder="1" applyAlignment="1">
      <alignment horizontal="center" vertical="center"/>
    </xf>
    <xf numFmtId="166" fontId="24" fillId="0" borderId="1" xfId="1" applyNumberFormat="1" applyFont="1" applyFill="1" applyBorder="1" applyAlignment="1">
      <alignment horizontal="right" vertical="center"/>
    </xf>
    <xf numFmtId="0" fontId="24" fillId="0" borderId="1" xfId="0" applyFont="1" applyBorder="1" applyAlignment="1">
      <alignment horizontal="center" vertical="center"/>
    </xf>
    <xf numFmtId="0" fontId="29" fillId="0" borderId="0" xfId="0" applyFont="1" applyAlignment="1">
      <alignment horizontal="left" vertical="center" readingOrder="1"/>
    </xf>
    <xf numFmtId="9" fontId="25" fillId="0" borderId="1" xfId="0" applyNumberFormat="1" applyFont="1" applyBorder="1" applyAlignment="1">
      <alignment horizontal="center" vertical="center"/>
    </xf>
    <xf numFmtId="9" fontId="9" fillId="0" borderId="6" xfId="1" applyFont="1" applyFill="1" applyBorder="1" applyAlignment="1">
      <alignment horizontal="center" vertical="center"/>
    </xf>
    <xf numFmtId="9" fontId="9" fillId="0" borderId="6" xfId="1" applyNumberFormat="1" applyFont="1" applyFill="1" applyBorder="1" applyAlignment="1">
      <alignment horizontal="center" vertical="center"/>
    </xf>
    <xf numFmtId="0" fontId="15" fillId="0" borderId="6" xfId="0" applyNumberFormat="1" applyFont="1" applyFill="1" applyBorder="1" applyAlignment="1">
      <alignment horizontal="center" vertical="center"/>
    </xf>
    <xf numFmtId="2" fontId="9" fillId="0" borderId="6" xfId="0" applyNumberFormat="1" applyFont="1" applyFill="1" applyBorder="1" applyAlignment="1">
      <alignment horizontal="center" vertical="center"/>
    </xf>
    <xf numFmtId="0" fontId="15" fillId="0" borderId="6" xfId="0" applyFont="1" applyFill="1" applyBorder="1" applyAlignment="1">
      <alignment horizontal="center" vertical="center"/>
    </xf>
    <xf numFmtId="1" fontId="9" fillId="0" borderId="6" xfId="0" applyNumberFormat="1" applyFont="1" applyFill="1" applyBorder="1" applyAlignment="1">
      <alignment horizontal="center" vertical="center"/>
    </xf>
    <xf numFmtId="10" fontId="9" fillId="0" borderId="6" xfId="1" applyNumberFormat="1" applyFont="1" applyFill="1" applyBorder="1" applyAlignment="1">
      <alignment horizontal="center" vertical="center"/>
    </xf>
    <xf numFmtId="10" fontId="25" fillId="0" borderId="1" xfId="0" applyNumberFormat="1" applyFont="1" applyBorder="1" applyAlignment="1">
      <alignment horizontal="center" vertical="center"/>
    </xf>
    <xf numFmtId="166" fontId="24" fillId="0" borderId="1" xfId="0" applyNumberFormat="1" applyFont="1" applyBorder="1" applyAlignment="1">
      <alignment horizontal="right" vertical="center"/>
    </xf>
    <xf numFmtId="10" fontId="25" fillId="0" borderId="1" xfId="1" applyNumberFormat="1" applyFont="1" applyFill="1" applyBorder="1" applyAlignment="1">
      <alignment horizontal="right" vertical="center"/>
    </xf>
    <xf numFmtId="164" fontId="25" fillId="5" borderId="1" xfId="1" applyNumberFormat="1" applyFont="1" applyFill="1" applyBorder="1"/>
    <xf numFmtId="164" fontId="25" fillId="4" borderId="1" xfId="1" applyNumberFormat="1" applyFont="1" applyFill="1" applyBorder="1"/>
    <xf numFmtId="165" fontId="25" fillId="5" borderId="1" xfId="1" applyNumberFormat="1" applyFont="1" applyFill="1" applyBorder="1"/>
    <xf numFmtId="165" fontId="25" fillId="4" borderId="1" xfId="1" applyNumberFormat="1" applyFont="1" applyFill="1" applyBorder="1"/>
    <xf numFmtId="164" fontId="9" fillId="0" borderId="0" xfId="0" applyNumberFormat="1" applyFont="1"/>
    <xf numFmtId="166" fontId="9" fillId="0" borderId="1" xfId="0" applyNumberFormat="1" applyFont="1" applyFill="1" applyBorder="1"/>
    <xf numFmtId="0" fontId="9" fillId="0" borderId="0" xfId="0" applyNumberFormat="1" applyFont="1" applyFill="1"/>
    <xf numFmtId="164" fontId="24" fillId="0" borderId="1" xfId="0" applyNumberFormat="1" applyFont="1" applyBorder="1"/>
    <xf numFmtId="2" fontId="9" fillId="0" borderId="1" xfId="0" applyNumberFormat="1" applyFont="1" applyFill="1" applyBorder="1"/>
    <xf numFmtId="10" fontId="9" fillId="0" borderId="1" xfId="1" applyNumberFormat="1" applyFont="1" applyBorder="1"/>
    <xf numFmtId="10" fontId="24" fillId="0" borderId="1" xfId="1" applyNumberFormat="1" applyFont="1" applyBorder="1"/>
    <xf numFmtId="0" fontId="3" fillId="0" borderId="0" xfId="0" applyFont="1" applyFill="1" applyAlignment="1"/>
    <xf numFmtId="0" fontId="4" fillId="0" borderId="0" xfId="0" applyFont="1" applyFill="1" applyAlignment="1"/>
    <xf numFmtId="0" fontId="5" fillId="0" borderId="0" xfId="0" applyFont="1" applyFill="1" applyAlignment="1">
      <alignment horizontal="right"/>
    </xf>
    <xf numFmtId="170" fontId="24" fillId="0" borderId="1" xfId="0" applyNumberFormat="1" applyFont="1" applyFill="1" applyBorder="1"/>
    <xf numFmtId="170" fontId="25" fillId="0" borderId="1" xfId="1" applyNumberFormat="1" applyFont="1" applyFill="1" applyBorder="1"/>
    <xf numFmtId="168" fontId="25" fillId="0" borderId="1" xfId="1" applyNumberFormat="1" applyFont="1" applyFill="1" applyBorder="1"/>
    <xf numFmtId="0" fontId="15" fillId="6" borderId="0" xfId="0" applyFont="1" applyFill="1" applyAlignment="1">
      <alignment horizontal="right"/>
    </xf>
    <xf numFmtId="0" fontId="31" fillId="0" borderId="0" xfId="0" applyFont="1"/>
    <xf numFmtId="0" fontId="9" fillId="0" borderId="0" xfId="0" applyFont="1" applyAlignment="1">
      <alignment horizontal="right" vertical="center" wrapText="1"/>
    </xf>
    <xf numFmtId="0" fontId="11" fillId="3" borderId="0" xfId="0" applyFont="1" applyFill="1"/>
    <xf numFmtId="0" fontId="32" fillId="2" borderId="0" xfId="0" applyFont="1" applyFill="1"/>
    <xf numFmtId="0" fontId="33" fillId="2" borderId="0" xfId="0" applyFont="1" applyFill="1"/>
    <xf numFmtId="0" fontId="12" fillId="3" borderId="0" xfId="0" applyFont="1" applyFill="1"/>
    <xf numFmtId="0" fontId="11" fillId="3" borderId="0" xfId="2" applyFont="1" applyFill="1" applyBorder="1" applyAlignment="1">
      <alignment vertical="center"/>
    </xf>
    <xf numFmtId="0" fontId="2" fillId="3" borderId="0" xfId="0" applyFont="1" applyFill="1"/>
    <xf numFmtId="0" fontId="34" fillId="3" borderId="0" xfId="2" applyFont="1" applyFill="1" applyBorder="1" applyAlignment="1">
      <alignment horizontal="right" vertical="center"/>
    </xf>
    <xf numFmtId="0" fontId="35" fillId="0" borderId="0" xfId="0" applyFont="1" applyBorder="1" applyAlignment="1">
      <alignment vertical="center"/>
    </xf>
    <xf numFmtId="0" fontId="36" fillId="0" borderId="0" xfId="2" applyFont="1"/>
    <xf numFmtId="0" fontId="36" fillId="0" borderId="0" xfId="2" applyFont="1" applyBorder="1" applyAlignment="1">
      <alignment vertical="center"/>
    </xf>
    <xf numFmtId="0" fontId="36" fillId="0" borderId="0" xfId="2" applyFont="1" applyAlignment="1">
      <alignment vertical="center"/>
    </xf>
    <xf numFmtId="0" fontId="37" fillId="2" borderId="0" xfId="0" applyFont="1" applyFill="1"/>
    <xf numFmtId="0" fontId="11" fillId="2" borderId="0" xfId="0" applyFont="1" applyFill="1"/>
    <xf numFmtId="0" fontId="34" fillId="3" borderId="0" xfId="2" applyFont="1" applyFill="1" applyAlignment="1">
      <alignment vertical="center"/>
    </xf>
    <xf numFmtId="0" fontId="11" fillId="3" borderId="0" xfId="0" applyFont="1" applyFill="1" applyAlignment="1"/>
    <xf numFmtId="0" fontId="11" fillId="0" borderId="0" xfId="0" applyFont="1"/>
    <xf numFmtId="0" fontId="38" fillId="0" borderId="0" xfId="0" applyFont="1"/>
    <xf numFmtId="0" fontId="39" fillId="6" borderId="0" xfId="0" applyFont="1" applyFill="1"/>
    <xf numFmtId="0" fontId="40" fillId="6" borderId="0" xfId="0" applyFont="1" applyFill="1"/>
    <xf numFmtId="0" fontId="6" fillId="6" borderId="0" xfId="0" applyFont="1" applyFill="1"/>
    <xf numFmtId="0" fontId="21" fillId="0" borderId="0" xfId="0" applyFont="1" applyFill="1"/>
    <xf numFmtId="0" fontId="19" fillId="0" borderId="0" xfId="0" applyFont="1" applyFill="1"/>
    <xf numFmtId="171" fontId="9" fillId="0" borderId="0" xfId="0" applyNumberFormat="1" applyFont="1"/>
    <xf numFmtId="172" fontId="24" fillId="0" borderId="1" xfId="0" applyNumberFormat="1" applyFont="1" applyFill="1" applyBorder="1"/>
    <xf numFmtId="172" fontId="9" fillId="0" borderId="0" xfId="0" applyNumberFormat="1" applyFont="1"/>
    <xf numFmtId="172" fontId="25" fillId="0" borderId="1" xfId="0" applyNumberFormat="1" applyFont="1" applyFill="1" applyBorder="1"/>
    <xf numFmtId="168" fontId="24" fillId="0" borderId="1" xfId="0" applyNumberFormat="1" applyFont="1" applyBorder="1" applyAlignment="1">
      <alignment horizontal="right" vertical="center"/>
    </xf>
    <xf numFmtId="168" fontId="24" fillId="0" borderId="1" xfId="0" applyNumberFormat="1" applyFont="1" applyFill="1" applyBorder="1" applyAlignment="1">
      <alignment horizontal="right" vertical="center"/>
    </xf>
    <xf numFmtId="172" fontId="24" fillId="0" borderId="1" xfId="0" applyNumberFormat="1" applyFont="1" applyBorder="1" applyAlignment="1">
      <alignment horizontal="right" vertical="center"/>
    </xf>
    <xf numFmtId="172" fontId="9" fillId="0" borderId="6" xfId="1" applyNumberFormat="1" applyFont="1" applyFill="1" applyBorder="1" applyAlignment="1">
      <alignment horizontal="center" vertical="center"/>
    </xf>
    <xf numFmtId="172" fontId="25" fillId="0" borderId="1" xfId="0" applyNumberFormat="1" applyFont="1" applyBorder="1" applyAlignment="1">
      <alignment horizontal="center" vertical="center"/>
    </xf>
    <xf numFmtId="172" fontId="24" fillId="0" borderId="1" xfId="0" applyNumberFormat="1" applyFont="1" applyFill="1" applyBorder="1" applyAlignment="1">
      <alignment horizontal="right" vertical="center"/>
    </xf>
    <xf numFmtId="0" fontId="9" fillId="0" borderId="1" xfId="0" applyFont="1" applyFill="1" applyBorder="1" applyAlignment="1">
      <alignment horizontal="center"/>
    </xf>
    <xf numFmtId="0" fontId="9" fillId="0" borderId="1" xfId="0" applyFont="1" applyBorder="1" applyAlignment="1">
      <alignment horizontal="center"/>
    </xf>
    <xf numFmtId="0" fontId="41" fillId="2" borderId="0" xfId="0" applyFont="1" applyFill="1"/>
    <xf numFmtId="168" fontId="25" fillId="0" borderId="1" xfId="0" applyNumberFormat="1" applyFont="1" applyFill="1" applyBorder="1"/>
    <xf numFmtId="166" fontId="24" fillId="0" borderId="1" xfId="1" applyNumberFormat="1" applyFont="1" applyBorder="1" applyAlignment="1">
      <alignment vertical="center"/>
    </xf>
    <xf numFmtId="0" fontId="9" fillId="0" borderId="1" xfId="0" applyNumberFormat="1" applyFont="1" applyFill="1" applyBorder="1" applyAlignment="1">
      <alignment horizontal="center"/>
    </xf>
    <xf numFmtId="0" fontId="24" fillId="0" borderId="1" xfId="0" applyFont="1" applyBorder="1" applyAlignment="1">
      <alignment horizontal="center"/>
    </xf>
    <xf numFmtId="0" fontId="9" fillId="0" borderId="11" xfId="0" applyFont="1" applyBorder="1" applyAlignment="1">
      <alignment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Fill="1" applyBorder="1" applyAlignment="1">
      <alignment horizontal="center" vertical="center"/>
    </xf>
    <xf numFmtId="166" fontId="24" fillId="0" borderId="2" xfId="0" applyNumberFormat="1" applyFont="1" applyBorder="1" applyAlignment="1">
      <alignment horizontal="right" vertical="center"/>
    </xf>
    <xf numFmtId="166" fontId="25" fillId="0" borderId="2" xfId="1" applyNumberFormat="1" applyFont="1" applyFill="1" applyBorder="1" applyAlignment="1">
      <alignment horizontal="right" vertical="center"/>
    </xf>
    <xf numFmtId="0" fontId="9" fillId="0" borderId="0" xfId="0" applyFont="1" applyBorder="1" applyAlignment="1">
      <alignment horizontal="center" vertical="center"/>
    </xf>
    <xf numFmtId="166" fontId="24" fillId="0" borderId="5" xfId="1" applyNumberFormat="1" applyFont="1" applyBorder="1" applyAlignment="1">
      <alignment vertical="center"/>
    </xf>
    <xf numFmtId="166" fontId="25" fillId="0" borderId="5" xfId="1" applyNumberFormat="1" applyFont="1" applyFill="1" applyBorder="1" applyAlignment="1">
      <alignment horizontal="right" vertical="center"/>
    </xf>
    <xf numFmtId="0" fontId="15" fillId="0" borderId="0" xfId="0" applyFont="1" applyAlignment="1">
      <alignment horizontal="center" wrapText="1"/>
    </xf>
    <xf numFmtId="0" fontId="9" fillId="12" borderId="9" xfId="0" applyFont="1" applyFill="1" applyBorder="1" applyAlignment="1">
      <alignment vertical="center"/>
    </xf>
    <xf numFmtId="0" fontId="9" fillId="13" borderId="9" xfId="0" applyFont="1" applyFill="1" applyBorder="1" applyAlignment="1">
      <alignment vertical="center"/>
    </xf>
    <xf numFmtId="0" fontId="9" fillId="0" borderId="8" xfId="0" applyFont="1" applyFill="1" applyBorder="1" applyAlignment="1">
      <alignment vertical="center"/>
    </xf>
    <xf numFmtId="0" fontId="9" fillId="0" borderId="7" xfId="0" applyFont="1" applyFill="1" applyBorder="1" applyAlignment="1">
      <alignment horizontal="left" vertical="center" indent="1"/>
    </xf>
    <xf numFmtId="0" fontId="9" fillId="0" borderId="0" xfId="0" applyFont="1" applyAlignment="1">
      <alignment horizontal="left" vertical="center" indent="1"/>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15" fillId="0" borderId="20" xfId="0" applyFont="1" applyFill="1" applyBorder="1" applyAlignment="1">
      <alignment horizontal="center" vertical="center"/>
    </xf>
    <xf numFmtId="0" fontId="15" fillId="0" borderId="20" xfId="0" applyFont="1" applyFill="1" applyBorder="1" applyAlignment="1">
      <alignment vertical="center"/>
    </xf>
    <xf numFmtId="0" fontId="9" fillId="0" borderId="20" xfId="0" applyFont="1" applyFill="1" applyBorder="1" applyAlignment="1">
      <alignment horizontal="center" vertical="center"/>
    </xf>
    <xf numFmtId="0" fontId="9" fillId="0" borderId="20" xfId="0" applyFont="1" applyFill="1" applyBorder="1" applyAlignment="1">
      <alignment vertical="center"/>
    </xf>
    <xf numFmtId="0" fontId="15" fillId="0" borderId="20" xfId="0" applyFont="1" applyFill="1" applyBorder="1" applyAlignment="1">
      <alignment horizontal="left" vertical="center"/>
    </xf>
    <xf numFmtId="174" fontId="9" fillId="0" borderId="1" xfId="0" applyNumberFormat="1" applyFont="1" applyBorder="1" applyAlignment="1">
      <alignment horizontal="center" vertical="center"/>
    </xf>
    <xf numFmtId="14" fontId="9" fillId="0" borderId="1" xfId="0" applyNumberFormat="1" applyFont="1" applyBorder="1" applyAlignment="1">
      <alignment horizontal="center" vertical="center"/>
    </xf>
    <xf numFmtId="0" fontId="9" fillId="0" borderId="0" xfId="0" applyFont="1" applyBorder="1" applyAlignment="1">
      <alignment vertical="center"/>
    </xf>
    <xf numFmtId="0" fontId="49" fillId="0" borderId="0" xfId="0" applyFont="1" applyFill="1" applyAlignment="1">
      <alignment vertical="center"/>
    </xf>
    <xf numFmtId="0" fontId="48" fillId="0" borderId="0" xfId="0" applyFont="1" applyFill="1" applyAlignment="1">
      <alignment vertical="center"/>
    </xf>
    <xf numFmtId="0" fontId="15" fillId="6" borderId="0" xfId="0" applyFont="1" applyFill="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50" fillId="0" borderId="0" xfId="2" applyFont="1" applyBorder="1" applyAlignment="1">
      <alignment vertical="center"/>
    </xf>
    <xf numFmtId="0" fontId="9" fillId="0" borderId="18" xfId="0" applyFont="1" applyBorder="1" applyAlignment="1">
      <alignment vertical="center"/>
    </xf>
    <xf numFmtId="0" fontId="50" fillId="0" borderId="18" xfId="2" applyFont="1" applyBorder="1" applyAlignment="1">
      <alignment vertical="center"/>
    </xf>
    <xf numFmtId="0" fontId="9" fillId="0" borderId="12" xfId="0" applyFont="1" applyBorder="1" applyAlignment="1">
      <alignment vertical="center"/>
    </xf>
    <xf numFmtId="0" fontId="25" fillId="0" borderId="13" xfId="0" applyFont="1" applyBorder="1" applyAlignment="1">
      <alignment horizontal="left" vertical="center" indent="1"/>
    </xf>
    <xf numFmtId="0" fontId="25" fillId="0" borderId="16" xfId="0" applyFont="1" applyBorder="1" applyAlignment="1">
      <alignment horizontal="left" vertical="center" indent="1"/>
    </xf>
    <xf numFmtId="0" fontId="25" fillId="0" borderId="17" xfId="0" applyFont="1" applyBorder="1" applyAlignment="1">
      <alignment horizontal="left" vertical="center" indent="1"/>
    </xf>
    <xf numFmtId="0" fontId="9" fillId="0" borderId="0" xfId="0" applyFont="1" applyAlignment="1">
      <alignment horizontal="left" vertical="center"/>
    </xf>
    <xf numFmtId="0" fontId="49" fillId="14" borderId="21" xfId="0" applyFont="1" applyFill="1" applyBorder="1" applyAlignment="1">
      <alignment vertical="center"/>
    </xf>
    <xf numFmtId="0" fontId="47" fillId="14" borderId="21" xfId="0" applyFont="1" applyFill="1" applyBorder="1" applyAlignment="1">
      <alignment vertical="center"/>
    </xf>
    <xf numFmtId="0" fontId="49" fillId="14" borderId="0" xfId="0" applyFont="1" applyFill="1" applyAlignment="1">
      <alignment vertical="center"/>
    </xf>
    <xf numFmtId="0" fontId="46" fillId="14" borderId="0" xfId="0" applyFont="1" applyFill="1" applyAlignment="1">
      <alignment vertical="center"/>
    </xf>
    <xf numFmtId="174" fontId="46" fillId="14" borderId="0" xfId="0" applyNumberFormat="1" applyFont="1" applyFill="1" applyAlignment="1">
      <alignment horizontal="left" vertical="center"/>
    </xf>
    <xf numFmtId="173" fontId="46" fillId="14" borderId="0" xfId="0" applyNumberFormat="1" applyFont="1" applyFill="1" applyAlignment="1">
      <alignment horizontal="left" vertical="center"/>
    </xf>
    <xf numFmtId="0" fontId="9" fillId="0" borderId="0" xfId="0" applyFont="1" applyAlignment="1">
      <alignment vertical="center"/>
    </xf>
    <xf numFmtId="0" fontId="50" fillId="0" borderId="0" xfId="2" applyFont="1"/>
    <xf numFmtId="0" fontId="51" fillId="2" borderId="0" xfId="0" applyFont="1" applyFill="1" applyAlignment="1">
      <alignment vertical="center"/>
    </xf>
    <xf numFmtId="0" fontId="53" fillId="2" borderId="0" xfId="0" applyFont="1" applyFill="1" applyAlignment="1">
      <alignment vertical="center"/>
    </xf>
    <xf numFmtId="0" fontId="42" fillId="2" borderId="0" xfId="0" applyFont="1" applyFill="1" applyAlignment="1">
      <alignment vertical="center"/>
    </xf>
    <xf numFmtId="0" fontId="9" fillId="0" borderId="9" xfId="0" applyNumberFormat="1" applyFont="1" applyFill="1" applyBorder="1" applyAlignment="1">
      <alignment horizontal="center" vertical="center"/>
    </xf>
    <xf numFmtId="0" fontId="9" fillId="0" borderId="9" xfId="0" applyFont="1" applyBorder="1" applyAlignment="1">
      <alignment horizontal="center" vertical="center"/>
    </xf>
    <xf numFmtId="0" fontId="9" fillId="0" borderId="33" xfId="0" applyNumberFormat="1" applyFont="1" applyFill="1" applyBorder="1" applyAlignment="1">
      <alignment horizontal="center" vertical="center"/>
    </xf>
    <xf numFmtId="0" fontId="9" fillId="0" borderId="34" xfId="0" applyNumberFormat="1" applyFont="1" applyFill="1" applyBorder="1" applyAlignment="1">
      <alignment horizontal="center" vertical="center"/>
    </xf>
    <xf numFmtId="0" fontId="9" fillId="0" borderId="33" xfId="0" applyFont="1" applyFill="1" applyBorder="1" applyAlignment="1">
      <alignment horizontal="center" vertical="center"/>
    </xf>
    <xf numFmtId="165" fontId="9" fillId="7" borderId="1" xfId="0" applyNumberFormat="1" applyFont="1" applyFill="1" applyBorder="1" applyAlignment="1">
      <alignment horizontal="right"/>
    </xf>
    <xf numFmtId="164" fontId="25" fillId="7" borderId="1" xfId="1" applyNumberFormat="1" applyFont="1" applyFill="1" applyBorder="1"/>
    <xf numFmtId="10" fontId="9" fillId="0" borderId="1" xfId="1" applyNumberFormat="1" applyFont="1" applyFill="1" applyBorder="1"/>
    <xf numFmtId="0" fontId="9" fillId="0" borderId="0" xfId="0" applyFont="1" applyAlignment="1">
      <alignment vertical="center"/>
    </xf>
    <xf numFmtId="0" fontId="34" fillId="3" borderId="0" xfId="2" applyFont="1" applyFill="1" applyBorder="1" applyAlignment="1">
      <alignment vertical="center"/>
    </xf>
    <xf numFmtId="0" fontId="15" fillId="0" borderId="0" xfId="0" applyFont="1" applyAlignment="1">
      <alignment horizontal="center"/>
    </xf>
    <xf numFmtId="166" fontId="24" fillId="0" borderId="5" xfId="1" applyNumberFormat="1" applyFont="1" applyFill="1" applyBorder="1" applyAlignment="1">
      <alignment vertical="center"/>
    </xf>
    <xf numFmtId="164" fontId="24" fillId="5" borderId="1" xfId="0" applyNumberFormat="1" applyFont="1" applyFill="1" applyBorder="1"/>
    <xf numFmtId="0" fontId="9" fillId="4" borderId="4" xfId="0" applyFont="1" applyFill="1" applyBorder="1" applyAlignment="1">
      <alignment horizontal="center" vertical="center"/>
    </xf>
    <xf numFmtId="165" fontId="44" fillId="0" borderId="1" xfId="0" applyNumberFormat="1" applyFont="1" applyFill="1" applyBorder="1"/>
    <xf numFmtId="164" fontId="44" fillId="0" borderId="1" xfId="0" applyNumberFormat="1" applyFont="1" applyFill="1" applyBorder="1" applyAlignment="1">
      <alignment horizontal="right"/>
    </xf>
    <xf numFmtId="165" fontId="44" fillId="0" borderId="1" xfId="0" applyNumberFormat="1" applyFont="1" applyFill="1" applyBorder="1" applyAlignment="1">
      <alignment horizontal="right"/>
    </xf>
    <xf numFmtId="0" fontId="24" fillId="0" borderId="1" xfId="0" applyFont="1" applyFill="1" applyBorder="1" applyAlignment="1">
      <alignment horizontal="center" vertical="center"/>
    </xf>
    <xf numFmtId="166" fontId="44" fillId="0" borderId="1" xfId="1" applyNumberFormat="1" applyFont="1" applyFill="1" applyBorder="1"/>
    <xf numFmtId="164" fontId="44" fillId="0" borderId="1" xfId="0" applyNumberFormat="1" applyFont="1" applyFill="1" applyBorder="1"/>
    <xf numFmtId="170" fontId="44" fillId="0" borderId="1" xfId="0" applyNumberFormat="1" applyFont="1" applyFill="1" applyBorder="1"/>
    <xf numFmtId="166" fontId="44" fillId="0" borderId="1" xfId="0" applyNumberFormat="1" applyFont="1" applyFill="1" applyBorder="1" applyAlignment="1">
      <alignment horizontal="right"/>
    </xf>
    <xf numFmtId="168" fontId="44" fillId="0" borderId="1" xfId="0" applyNumberFormat="1" applyFont="1" applyFill="1" applyBorder="1"/>
    <xf numFmtId="166" fontId="44" fillId="0" borderId="1" xfId="0" applyNumberFormat="1" applyFont="1" applyFill="1" applyBorder="1"/>
    <xf numFmtId="9" fontId="44" fillId="0" borderId="1" xfId="1" applyFont="1" applyFill="1" applyBorder="1" applyAlignment="1">
      <alignment horizontal="right"/>
    </xf>
    <xf numFmtId="9" fontId="44" fillId="0" borderId="1" xfId="1" applyNumberFormat="1" applyFont="1" applyFill="1" applyBorder="1" applyAlignment="1">
      <alignment horizontal="right"/>
    </xf>
    <xf numFmtId="1" fontId="44" fillId="0" borderId="1" xfId="0" applyNumberFormat="1" applyFont="1" applyFill="1" applyBorder="1" applyAlignment="1">
      <alignment horizontal="right"/>
    </xf>
    <xf numFmtId="0" fontId="44" fillId="0" borderId="0" xfId="0" applyFont="1"/>
    <xf numFmtId="166" fontId="44" fillId="0" borderId="1" xfId="1" applyNumberFormat="1" applyFont="1" applyFill="1" applyBorder="1" applyAlignment="1">
      <alignment horizontal="right"/>
    </xf>
    <xf numFmtId="1" fontId="24" fillId="0" borderId="1" xfId="0" applyNumberFormat="1" applyFont="1" applyFill="1" applyBorder="1" applyAlignment="1">
      <alignment horizontal="right"/>
    </xf>
    <xf numFmtId="0" fontId="55" fillId="2" borderId="25" xfId="0" applyFont="1" applyFill="1" applyBorder="1" applyAlignment="1">
      <alignment vertical="center"/>
    </xf>
    <xf numFmtId="0" fontId="9" fillId="0" borderId="9" xfId="0" applyFont="1" applyFill="1" applyBorder="1" applyAlignment="1">
      <alignment vertical="center"/>
    </xf>
    <xf numFmtId="0" fontId="57" fillId="0" borderId="7" xfId="0" applyFont="1" applyFill="1" applyBorder="1" applyAlignment="1">
      <alignment vertical="center"/>
    </xf>
    <xf numFmtId="0" fontId="9" fillId="0" borderId="6" xfId="0" applyFont="1" applyFill="1" applyBorder="1"/>
    <xf numFmtId="164" fontId="54" fillId="0" borderId="6" xfId="0" applyNumberFormat="1" applyFont="1" applyFill="1" applyBorder="1" applyAlignment="1">
      <alignment horizontal="center" vertical="center"/>
    </xf>
    <xf numFmtId="165" fontId="9" fillId="3" borderId="6" xfId="0" applyNumberFormat="1" applyFont="1" applyFill="1" applyBorder="1" applyAlignment="1">
      <alignment horizontal="center" vertical="center"/>
    </xf>
    <xf numFmtId="0" fontId="28" fillId="0" borderId="6" xfId="0" applyFont="1" applyFill="1" applyBorder="1" applyAlignment="1">
      <alignment horizontal="left" vertical="center" wrapText="1" readingOrder="1"/>
    </xf>
    <xf numFmtId="165" fontId="9" fillId="0" borderId="6" xfId="0" applyNumberFormat="1" applyFont="1" applyFill="1" applyBorder="1" applyAlignment="1">
      <alignment horizontal="center" vertical="center"/>
    </xf>
    <xf numFmtId="0" fontId="10" fillId="2" borderId="6" xfId="0" applyFont="1" applyFill="1" applyBorder="1" applyAlignment="1">
      <alignment horizontal="center" wrapText="1"/>
    </xf>
    <xf numFmtId="0" fontId="10" fillId="2" borderId="0" xfId="0" applyFont="1" applyFill="1" applyAlignment="1">
      <alignment vertical="center"/>
    </xf>
    <xf numFmtId="0" fontId="7" fillId="0" borderId="0" xfId="0" applyFont="1" applyFill="1"/>
    <xf numFmtId="0" fontId="7" fillId="0" borderId="0" xfId="0" applyFont="1" applyFill="1" applyAlignment="1">
      <alignment horizontal="right"/>
    </xf>
    <xf numFmtId="0" fontId="9" fillId="16" borderId="9" xfId="0" applyFont="1" applyFill="1" applyBorder="1" applyAlignment="1">
      <alignment vertical="center"/>
    </xf>
    <xf numFmtId="0" fontId="9" fillId="15" borderId="6" xfId="0" applyFont="1" applyFill="1" applyBorder="1" applyAlignment="1">
      <alignment vertical="center"/>
    </xf>
    <xf numFmtId="0" fontId="9" fillId="12" borderId="6" xfId="0" applyFont="1" applyFill="1" applyBorder="1" applyAlignment="1">
      <alignment vertical="center"/>
    </xf>
    <xf numFmtId="0" fontId="9" fillId="13" borderId="24" xfId="0" applyFont="1" applyFill="1" applyBorder="1" applyAlignment="1">
      <alignment vertical="center"/>
    </xf>
    <xf numFmtId="0" fontId="56" fillId="0" borderId="6" xfId="0" applyFont="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horizontal="left" vertical="center" wrapText="1" indent="1"/>
    </xf>
    <xf numFmtId="0" fontId="9" fillId="0" borderId="1" xfId="0" applyFont="1" applyBorder="1" applyAlignment="1">
      <alignment horizontal="left" vertical="center" indent="1"/>
    </xf>
    <xf numFmtId="0" fontId="9" fillId="0" borderId="22" xfId="0" applyFont="1" applyBorder="1" applyAlignment="1"/>
    <xf numFmtId="0" fontId="9" fillId="3" borderId="19" xfId="0" applyFont="1" applyFill="1" applyBorder="1" applyAlignment="1">
      <alignment vertical="center"/>
    </xf>
    <xf numFmtId="0" fontId="9" fillId="3" borderId="3" xfId="0" applyFont="1" applyFill="1" applyBorder="1" applyAlignment="1">
      <alignment vertical="center"/>
    </xf>
    <xf numFmtId="0" fontId="9" fillId="0" borderId="18" xfId="0" applyNumberFormat="1" applyFont="1" applyBorder="1" applyAlignment="1"/>
    <xf numFmtId="0" fontId="2" fillId="4" borderId="19" xfId="0" applyNumberFormat="1" applyFont="1" applyFill="1" applyBorder="1" applyAlignment="1">
      <alignment vertical="center"/>
    </xf>
    <xf numFmtId="0" fontId="2" fillId="4" borderId="3" xfId="0" applyNumberFormat="1" applyFont="1" applyFill="1" applyBorder="1" applyAlignment="1">
      <alignment vertical="center"/>
    </xf>
    <xf numFmtId="0" fontId="2" fillId="8" borderId="19" xfId="0" applyNumberFormat="1" applyFont="1" applyFill="1" applyBorder="1" applyAlignment="1">
      <alignment vertical="center"/>
    </xf>
    <xf numFmtId="0" fontId="2" fillId="8" borderId="3" xfId="0" applyNumberFormat="1" applyFont="1" applyFill="1" applyBorder="1" applyAlignment="1">
      <alignment vertical="center"/>
    </xf>
    <xf numFmtId="0" fontId="9" fillId="0" borderId="0" xfId="0" applyFont="1" applyAlignment="1">
      <alignment vertical="center"/>
    </xf>
    <xf numFmtId="0" fontId="7" fillId="0" borderId="0" xfId="0" applyFont="1" applyAlignment="1">
      <alignment vertical="center"/>
    </xf>
    <xf numFmtId="0" fontId="42" fillId="2" borderId="19" xfId="0" applyFont="1" applyFill="1" applyBorder="1" applyAlignment="1">
      <alignment vertical="center"/>
    </xf>
    <xf numFmtId="0" fontId="42" fillId="2" borderId="3" xfId="0" applyFont="1" applyFill="1" applyBorder="1" applyAlignment="1">
      <alignment vertical="center"/>
    </xf>
    <xf numFmtId="0" fontId="9" fillId="4" borderId="19" xfId="0" applyFont="1" applyFill="1" applyBorder="1" applyAlignment="1">
      <alignment vertical="center"/>
    </xf>
    <xf numFmtId="0" fontId="9" fillId="4" borderId="3" xfId="0" applyFont="1" applyFill="1" applyBorder="1" applyAlignment="1">
      <alignment vertical="center"/>
    </xf>
    <xf numFmtId="0" fontId="9" fillId="5" borderId="19" xfId="0" applyFont="1" applyFill="1" applyBorder="1" applyAlignment="1">
      <alignment vertical="center"/>
    </xf>
    <xf numFmtId="0" fontId="9" fillId="5" borderId="3" xfId="0" applyFont="1" applyFill="1" applyBorder="1" applyAlignment="1">
      <alignment vertical="center"/>
    </xf>
    <xf numFmtId="0" fontId="45" fillId="0" borderId="0" xfId="0" applyFont="1" applyAlignment="1">
      <alignment vertical="center"/>
    </xf>
    <xf numFmtId="0" fontId="10" fillId="2" borderId="0" xfId="0" applyNumberFormat="1" applyFont="1" applyFill="1" applyAlignment="1">
      <alignment vertical="center"/>
    </xf>
    <xf numFmtId="0" fontId="20" fillId="3" borderId="0" xfId="0" applyNumberFormat="1" applyFont="1" applyFill="1" applyAlignment="1">
      <alignment vertical="center"/>
    </xf>
    <xf numFmtId="0" fontId="5" fillId="6" borderId="0" xfId="0" applyFont="1" applyFill="1" applyAlignment="1">
      <alignment vertical="center"/>
    </xf>
    <xf numFmtId="0" fontId="44" fillId="0" borderId="19" xfId="0" applyNumberFormat="1" applyFont="1" applyBorder="1" applyAlignment="1">
      <alignment vertical="center"/>
    </xf>
    <xf numFmtId="0" fontId="44" fillId="0" borderId="3" xfId="0" applyNumberFormat="1" applyFont="1" applyBorder="1" applyAlignment="1">
      <alignment vertical="center"/>
    </xf>
    <xf numFmtId="0" fontId="24" fillId="0" borderId="19" xfId="0" applyNumberFormat="1" applyFont="1" applyBorder="1" applyAlignment="1">
      <alignment vertical="center"/>
    </xf>
    <xf numFmtId="0" fontId="24" fillId="0" borderId="3" xfId="0" applyNumberFormat="1" applyFont="1" applyBorder="1" applyAlignment="1">
      <alignment vertical="center"/>
    </xf>
    <xf numFmtId="0" fontId="27" fillId="0" borderId="19" xfId="0" applyNumberFormat="1" applyFont="1" applyBorder="1" applyAlignment="1">
      <alignment vertical="center"/>
    </xf>
    <xf numFmtId="0" fontId="27" fillId="0" borderId="3" xfId="0" applyNumberFormat="1" applyFont="1" applyBorder="1" applyAlignment="1">
      <alignment vertical="center"/>
    </xf>
    <xf numFmtId="0" fontId="25" fillId="0" borderId="19" xfId="0" applyNumberFormat="1" applyFont="1" applyBorder="1" applyAlignment="1">
      <alignment vertical="center"/>
    </xf>
    <xf numFmtId="0" fontId="25" fillId="0" borderId="3" xfId="0" applyNumberFormat="1" applyFont="1" applyBorder="1" applyAlignment="1">
      <alignment vertical="center"/>
    </xf>
    <xf numFmtId="0" fontId="55" fillId="2" borderId="27" xfId="0" applyFont="1" applyFill="1" applyBorder="1" applyAlignment="1">
      <alignment horizontal="center" vertical="center"/>
    </xf>
    <xf numFmtId="0" fontId="55" fillId="2" borderId="23" xfId="0" applyFont="1" applyFill="1" applyBorder="1" applyAlignment="1">
      <alignment horizontal="center" vertical="center"/>
    </xf>
    <xf numFmtId="0" fontId="55" fillId="2" borderId="29" xfId="0" applyFont="1" applyFill="1" applyBorder="1" applyAlignment="1">
      <alignment horizontal="center" vertical="center"/>
    </xf>
    <xf numFmtId="0" fontId="55" fillId="2" borderId="30" xfId="0" applyFont="1" applyFill="1" applyBorder="1" applyAlignment="1">
      <alignment horizontal="center" vertical="center"/>
    </xf>
    <xf numFmtId="0" fontId="55" fillId="2" borderId="25" xfId="0" applyFont="1" applyFill="1" applyBorder="1" applyAlignment="1">
      <alignment vertical="center"/>
    </xf>
    <xf numFmtId="0" fontId="55" fillId="2" borderId="27" xfId="0" applyFont="1" applyFill="1" applyBorder="1" applyAlignment="1">
      <alignment vertical="center"/>
    </xf>
    <xf numFmtId="0" fontId="34" fillId="3" borderId="0" xfId="2" applyFont="1" applyFill="1" applyBorder="1" applyAlignment="1">
      <alignment vertical="center"/>
    </xf>
    <xf numFmtId="0" fontId="11" fillId="3" borderId="0" xfId="0" applyFont="1" applyFill="1" applyAlignment="1">
      <alignment horizontal="center"/>
    </xf>
    <xf numFmtId="0" fontId="15" fillId="0" borderId="0" xfId="0" applyFont="1" applyAlignment="1">
      <alignment horizontal="center"/>
    </xf>
    <xf numFmtId="0" fontId="3" fillId="0" borderId="0" xfId="0" applyFont="1" applyAlignment="1">
      <alignment horizontal="center"/>
    </xf>
    <xf numFmtId="0" fontId="52" fillId="2" borderId="0" xfId="0" applyFont="1" applyFill="1" applyBorder="1" applyAlignment="1">
      <alignment horizontal="center" vertical="center"/>
    </xf>
    <xf numFmtId="0" fontId="10" fillId="2" borderId="6" xfId="0" applyFont="1" applyFill="1" applyBorder="1" applyAlignment="1">
      <alignment horizontal="center" vertical="top"/>
    </xf>
    <xf numFmtId="0" fontId="10" fillId="2" borderId="6" xfId="0" applyFont="1" applyFill="1" applyBorder="1" applyAlignment="1">
      <alignment horizontal="center"/>
    </xf>
    <xf numFmtId="0" fontId="9" fillId="17" borderId="5" xfId="0" applyFont="1" applyFill="1" applyBorder="1" applyAlignment="1">
      <alignment horizontal="center" vertical="center" wrapText="1"/>
    </xf>
    <xf numFmtId="0" fontId="9" fillId="17" borderId="6" xfId="0" applyFont="1" applyFill="1" applyBorder="1" applyAlignment="1">
      <alignment vertical="center"/>
    </xf>
    <xf numFmtId="0" fontId="57" fillId="17" borderId="6" xfId="0" applyFont="1" applyFill="1" applyBorder="1" applyAlignment="1">
      <alignment horizontal="center" vertical="center" wrapText="1" readingOrder="1"/>
    </xf>
    <xf numFmtId="0" fontId="57" fillId="17" borderId="6" xfId="0" applyFont="1" applyFill="1" applyBorder="1" applyAlignment="1">
      <alignment horizontal="center" vertical="center" wrapText="1" readingOrder="1"/>
    </xf>
    <xf numFmtId="165" fontId="9" fillId="17" borderId="6" xfId="0" applyNumberFormat="1" applyFont="1" applyFill="1" applyBorder="1" applyAlignment="1">
      <alignment horizontal="center" vertical="center"/>
    </xf>
    <xf numFmtId="0" fontId="9" fillId="17" borderId="1" xfId="0" applyFont="1" applyFill="1" applyBorder="1" applyAlignment="1">
      <alignment horizontal="center" vertical="center" wrapText="1"/>
    </xf>
    <xf numFmtId="0" fontId="57" fillId="17" borderId="7" xfId="0" applyFont="1" applyFill="1" applyBorder="1" applyAlignment="1">
      <alignment horizontal="center" vertical="center" wrapText="1" readingOrder="1"/>
    </xf>
    <xf numFmtId="0" fontId="57" fillId="17" borderId="9" xfId="0" applyFont="1" applyFill="1" applyBorder="1" applyAlignment="1">
      <alignment horizontal="center" vertical="center" wrapText="1" readingOrder="1"/>
    </xf>
    <xf numFmtId="0" fontId="9" fillId="17" borderId="4" xfId="0" applyFont="1" applyFill="1" applyBorder="1" applyAlignment="1">
      <alignment horizontal="center" vertical="center" wrapText="1"/>
    </xf>
    <xf numFmtId="164" fontId="54" fillId="17" borderId="6" xfId="0" applyNumberFormat="1" applyFont="1" applyFill="1" applyBorder="1" applyAlignment="1">
      <alignment horizontal="center" vertical="center"/>
    </xf>
    <xf numFmtId="164" fontId="9" fillId="17" borderId="6" xfId="0" applyNumberFormat="1" applyFont="1" applyFill="1" applyBorder="1" applyAlignment="1">
      <alignment horizontal="center" vertical="center"/>
    </xf>
    <xf numFmtId="0" fontId="9" fillId="17" borderId="1" xfId="0" applyFont="1" applyFill="1" applyBorder="1" applyAlignment="1">
      <alignment horizontal="center" vertical="center" wrapText="1"/>
    </xf>
    <xf numFmtId="0" fontId="9" fillId="17" borderId="1" xfId="0" applyFont="1" applyFill="1" applyBorder="1"/>
    <xf numFmtId="0" fontId="9" fillId="17" borderId="6" xfId="0" applyFont="1" applyFill="1" applyBorder="1" applyAlignment="1">
      <alignment horizontal="center" vertical="center" wrapText="1"/>
    </xf>
    <xf numFmtId="0" fontId="9" fillId="17" borderId="6" xfId="0" applyFont="1" applyFill="1" applyBorder="1" applyAlignment="1">
      <alignment horizontal="center"/>
    </xf>
    <xf numFmtId="0" fontId="9" fillId="17" borderId="6" xfId="0" applyFont="1" applyFill="1" applyBorder="1" applyAlignment="1">
      <alignment horizontal="center"/>
    </xf>
    <xf numFmtId="0" fontId="56" fillId="17" borderId="26" xfId="0" applyFont="1" applyFill="1" applyBorder="1" applyAlignment="1">
      <alignment vertical="center"/>
    </xf>
    <xf numFmtId="0" fontId="57" fillId="17" borderId="31" xfId="0" applyFont="1" applyFill="1" applyBorder="1" applyAlignment="1">
      <alignment horizontal="center" vertical="center" wrapText="1"/>
    </xf>
    <xf numFmtId="0" fontId="57" fillId="17" borderId="32" xfId="0" applyFont="1" applyFill="1" applyBorder="1" applyAlignment="1">
      <alignment horizontal="center" vertical="center" wrapText="1"/>
    </xf>
    <xf numFmtId="0" fontId="57" fillId="17" borderId="28" xfId="0" applyFont="1" applyFill="1" applyBorder="1" applyAlignment="1">
      <alignment horizontal="center" vertical="center" wrapText="1"/>
    </xf>
    <xf numFmtId="0" fontId="57" fillId="17" borderId="24" xfId="0" applyFont="1" applyFill="1" applyBorder="1" applyAlignment="1">
      <alignment horizontal="center" vertical="center" wrapText="1"/>
    </xf>
    <xf numFmtId="0" fontId="9" fillId="17" borderId="24" xfId="0" applyFont="1" applyFill="1" applyBorder="1" applyAlignment="1">
      <alignment vertical="center"/>
    </xf>
    <xf numFmtId="0" fontId="9" fillId="17" borderId="7" xfId="0" applyFont="1" applyFill="1" applyBorder="1" applyAlignment="1">
      <alignment vertical="center"/>
    </xf>
    <xf numFmtId="0" fontId="43" fillId="17" borderId="1" xfId="0" applyFont="1" applyFill="1" applyBorder="1" applyAlignment="1">
      <alignment horizontal="center" vertical="center"/>
    </xf>
    <xf numFmtId="0" fontId="43" fillId="17" borderId="1" xfId="0" applyFont="1" applyFill="1" applyBorder="1" applyAlignment="1">
      <alignment vertical="center"/>
    </xf>
    <xf numFmtId="0" fontId="57" fillId="17" borderId="6" xfId="0" applyFont="1" applyFill="1" applyBorder="1" applyAlignment="1">
      <alignment horizontal="center" vertical="center" wrapText="1"/>
    </xf>
    <xf numFmtId="0" fontId="9" fillId="2" borderId="9" xfId="0" applyFont="1" applyFill="1" applyBorder="1" applyAlignment="1">
      <alignment vertical="center"/>
    </xf>
    <xf numFmtId="0" fontId="9" fillId="18" borderId="9" xfId="0" applyFont="1" applyFill="1" applyBorder="1" applyAlignment="1">
      <alignment vertical="center"/>
    </xf>
    <xf numFmtId="0" fontId="9" fillId="15" borderId="9" xfId="0" applyFont="1" applyFill="1" applyBorder="1" applyAlignment="1">
      <alignment vertical="center"/>
    </xf>
    <xf numFmtId="0" fontId="9" fillId="0" borderId="8" xfId="0" applyFont="1" applyFill="1" applyBorder="1" applyAlignment="1">
      <alignment horizontal="left" vertical="center" indent="1"/>
    </xf>
    <xf numFmtId="0" fontId="15" fillId="0" borderId="0" xfId="0" applyFont="1" applyFill="1" applyBorder="1" applyAlignment="1">
      <alignment horizontal="center" vertical="center"/>
    </xf>
    <xf numFmtId="168" fontId="9" fillId="17" borderId="6" xfId="1" applyNumberFormat="1" applyFont="1" applyFill="1" applyBorder="1" applyAlignment="1">
      <alignment horizontal="center" vertical="center"/>
    </xf>
  </cellXfs>
  <cellStyles count="3">
    <cellStyle name="Hyperlink" xfId="2" builtinId="8"/>
    <cellStyle name="Normal" xfId="0" builtinId="0"/>
    <cellStyle name="Percent" xfId="1" builtinId="5"/>
  </cellStyles>
  <dxfs count="72">
    <dxf>
      <font>
        <b/>
        <i val="0"/>
        <color theme="0"/>
      </font>
      <fill>
        <gradientFill degree="45">
          <stop position="0">
            <color theme="3"/>
          </stop>
          <stop position="1">
            <color theme="8"/>
          </stop>
        </gradientFill>
      </fill>
    </dxf>
    <dxf>
      <font>
        <color theme="1"/>
      </font>
      <fill>
        <patternFill>
          <bgColor theme="0"/>
        </patternFill>
      </fill>
    </dxf>
    <dxf>
      <font>
        <b val="0"/>
        <i val="0"/>
        <color theme="3" tint="-0.24994659260841701"/>
      </font>
      <fill>
        <patternFill>
          <bgColor rgb="FFB9C884"/>
        </patternFill>
      </fill>
    </dxf>
    <dxf>
      <font>
        <color theme="3" tint="-0.24994659260841701"/>
      </font>
      <fill>
        <patternFill>
          <bgColor rgb="FFF4AA00"/>
        </patternFill>
      </fill>
    </dxf>
    <dxf>
      <font>
        <b val="0"/>
        <i val="0"/>
        <color theme="3" tint="-0.24994659260841701"/>
      </font>
      <fill>
        <patternFill>
          <bgColor theme="7"/>
        </patternFill>
      </fill>
    </dxf>
    <dxf>
      <font>
        <color theme="3" tint="-0.24994659260841701"/>
      </font>
      <fill>
        <patternFill>
          <bgColor rgb="FFB9C884"/>
        </patternFill>
      </fill>
    </dxf>
    <dxf>
      <font>
        <color theme="3" tint="-0.24994659260841701"/>
      </font>
      <fill>
        <patternFill>
          <bgColor rgb="FFF4AA00"/>
        </patternFill>
      </fill>
    </dxf>
    <dxf>
      <font>
        <color theme="3" tint="-0.24994659260841701"/>
      </font>
      <fill>
        <patternFill>
          <bgColor theme="7"/>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3" tint="-0.24994659260841701"/>
      </font>
      <fill>
        <patternFill>
          <bgColor rgb="FFB9C884"/>
        </patternFill>
      </fill>
    </dxf>
    <dxf>
      <font>
        <color theme="3" tint="-0.24994659260841701"/>
      </font>
      <fill>
        <patternFill>
          <bgColor rgb="FFF4AA00"/>
        </patternFill>
      </fill>
    </dxf>
    <dxf>
      <font>
        <color theme="3" tint="-0.24994659260841701"/>
      </font>
      <fill>
        <patternFill>
          <bgColor theme="7"/>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3" tint="-0.24994659260841701"/>
      </font>
      <fill>
        <patternFill>
          <bgColor rgb="FFB9C884"/>
        </patternFill>
      </fill>
    </dxf>
    <dxf>
      <font>
        <color theme="3" tint="-0.24994659260841701"/>
      </font>
      <fill>
        <patternFill>
          <bgColor rgb="FFF4AA00"/>
        </patternFill>
      </fill>
    </dxf>
    <dxf>
      <font>
        <color theme="3" tint="-0.24994659260841701"/>
      </font>
      <fill>
        <patternFill>
          <bgColor theme="7"/>
        </patternFill>
      </fill>
    </dxf>
    <dxf>
      <font>
        <color theme="3" tint="-0.24994659260841701"/>
      </font>
      <fill>
        <patternFill>
          <bgColor rgb="FFB9C884"/>
        </patternFill>
      </fill>
    </dxf>
    <dxf>
      <font>
        <color theme="3" tint="-0.24994659260841701"/>
      </font>
      <fill>
        <patternFill>
          <bgColor rgb="FFF4AA00"/>
        </patternFill>
      </fill>
    </dxf>
    <dxf>
      <font>
        <color theme="3" tint="-0.24994659260841701"/>
      </font>
      <fill>
        <patternFill>
          <bgColor theme="7"/>
        </patternFill>
      </fill>
    </dxf>
    <dxf>
      <font>
        <color theme="3" tint="-0.24994659260841701"/>
      </font>
      <fill>
        <patternFill>
          <bgColor rgb="FFB9C884"/>
        </patternFill>
      </fill>
    </dxf>
    <dxf>
      <font>
        <color theme="3" tint="-0.24994659260841701"/>
      </font>
      <fill>
        <patternFill>
          <bgColor rgb="FFF4AA00"/>
        </patternFill>
      </fill>
    </dxf>
    <dxf>
      <font>
        <color theme="3" tint="-0.24994659260841701"/>
      </font>
      <fill>
        <patternFill>
          <bgColor theme="7"/>
        </patternFill>
      </fill>
    </dxf>
    <dxf>
      <font>
        <color theme="3" tint="-0.24994659260841701"/>
      </font>
      <fill>
        <patternFill>
          <bgColor rgb="FFB9C884"/>
        </patternFill>
      </fill>
    </dxf>
    <dxf>
      <font>
        <color theme="3" tint="-0.24994659260841701"/>
      </font>
      <fill>
        <patternFill>
          <bgColor rgb="FFF4AA00"/>
        </patternFill>
      </fill>
    </dxf>
    <dxf>
      <font>
        <color theme="3" tint="-0.24994659260841701"/>
      </font>
      <fill>
        <patternFill>
          <bgColor theme="7"/>
        </patternFill>
      </fill>
    </dxf>
    <dxf>
      <font>
        <color theme="3" tint="-0.24994659260841701"/>
      </font>
      <fill>
        <patternFill>
          <bgColor rgb="FFB9C884"/>
        </patternFill>
      </fill>
    </dxf>
    <dxf>
      <font>
        <color theme="3" tint="-0.24994659260841701"/>
      </font>
      <fill>
        <patternFill>
          <bgColor rgb="FFF4AA00"/>
        </patternFill>
      </fill>
    </dxf>
    <dxf>
      <font>
        <color theme="3" tint="-0.24994659260841701"/>
      </font>
      <fill>
        <patternFill>
          <bgColor theme="7"/>
        </patternFill>
      </fill>
    </dxf>
    <dxf>
      <font>
        <b/>
        <i val="0"/>
        <color theme="0"/>
      </font>
      <fill>
        <patternFill>
          <bgColor theme="3"/>
        </patternFill>
      </fill>
    </dxf>
    <dxf>
      <font>
        <b/>
        <i val="0"/>
        <color theme="0"/>
      </font>
      <fill>
        <patternFill>
          <bgColor theme="8"/>
        </patternFill>
      </fill>
    </dxf>
    <dxf>
      <font>
        <b/>
        <i val="0"/>
        <color theme="3" tint="-0.24994659260841701"/>
      </font>
      <fill>
        <patternFill>
          <bgColor theme="7"/>
        </patternFill>
      </fill>
    </dxf>
    <dxf>
      <font>
        <b/>
        <i val="0"/>
        <color theme="3" tint="-0.24994659260841701"/>
      </font>
      <fill>
        <patternFill>
          <bgColor theme="6"/>
        </patternFill>
      </fill>
    </dxf>
    <dxf>
      <font>
        <b/>
        <i val="0"/>
        <color theme="3" tint="-0.24994659260841701"/>
      </font>
      <fill>
        <patternFill>
          <bgColor rgb="FFB9C884"/>
        </patternFill>
      </fill>
    </dxf>
    <dxf>
      <font>
        <b/>
        <i val="0"/>
        <color theme="3" tint="-0.24994659260841701"/>
      </font>
      <fill>
        <patternFill>
          <bgColor theme="7"/>
        </patternFill>
      </fill>
    </dxf>
    <dxf>
      <font>
        <b/>
        <i val="0"/>
        <color theme="3" tint="-0.24994659260841701"/>
      </font>
      <fill>
        <patternFill>
          <bgColor theme="6"/>
        </patternFill>
      </fill>
    </dxf>
    <dxf>
      <font>
        <b/>
        <i val="0"/>
        <color theme="3" tint="-0.24994659260841701"/>
      </font>
      <fill>
        <patternFill>
          <bgColor rgb="FFB9C884"/>
        </patternFill>
      </fill>
    </dxf>
    <dxf>
      <font>
        <b/>
        <i val="0"/>
        <color theme="3" tint="-0.24994659260841701"/>
      </font>
      <fill>
        <patternFill>
          <bgColor theme="7"/>
        </patternFill>
      </fill>
    </dxf>
    <dxf>
      <font>
        <b/>
        <i val="0"/>
        <color theme="3" tint="-0.24994659260841701"/>
      </font>
      <fill>
        <patternFill>
          <bgColor rgb="FFB9C884"/>
        </patternFill>
      </fill>
    </dxf>
    <dxf>
      <font>
        <b/>
        <i val="0"/>
        <color theme="3" tint="-0.24994659260841701"/>
      </font>
      <fill>
        <patternFill>
          <bgColor theme="6"/>
        </patternFill>
      </fill>
    </dxf>
    <dxf>
      <font>
        <b/>
        <i val="0"/>
        <color theme="3" tint="-0.24994659260841701"/>
      </font>
      <fill>
        <patternFill>
          <bgColor theme="7"/>
        </patternFill>
      </fill>
    </dxf>
    <dxf>
      <font>
        <b/>
        <i val="0"/>
        <color theme="3" tint="-0.24994659260841701"/>
      </font>
      <fill>
        <patternFill>
          <bgColor rgb="FFB9C884"/>
        </patternFill>
      </fill>
    </dxf>
    <dxf>
      <font>
        <b/>
        <i val="0"/>
        <color theme="3" tint="-0.24994659260841701"/>
      </font>
      <fill>
        <patternFill>
          <bgColor theme="6"/>
        </patternFill>
      </fill>
    </dxf>
    <dxf>
      <font>
        <b/>
        <i val="0"/>
        <color theme="3" tint="-0.24994659260841701"/>
      </font>
      <fill>
        <patternFill>
          <bgColor theme="7"/>
        </patternFill>
      </fill>
    </dxf>
    <dxf>
      <font>
        <b/>
        <i val="0"/>
        <color theme="3" tint="-0.24994659260841701"/>
      </font>
      <fill>
        <patternFill>
          <bgColor rgb="FFB9C884"/>
        </patternFill>
      </fill>
    </dxf>
    <dxf>
      <font>
        <b/>
        <i val="0"/>
        <color theme="3" tint="-0.24994659260841701"/>
      </font>
      <fill>
        <patternFill>
          <bgColor theme="6"/>
        </patternFill>
      </fill>
    </dxf>
    <dxf>
      <font>
        <b/>
        <i val="0"/>
        <color theme="3" tint="-0.24994659260841701"/>
      </font>
      <fill>
        <patternFill>
          <bgColor theme="7"/>
        </patternFill>
      </fill>
    </dxf>
    <dxf>
      <font>
        <b/>
        <i val="0"/>
        <color theme="3" tint="-0.24994659260841701"/>
      </font>
      <fill>
        <patternFill>
          <bgColor rgb="FFB9C884"/>
        </patternFill>
      </fill>
    </dxf>
    <dxf>
      <font>
        <b/>
        <i val="0"/>
        <color theme="3" tint="-0.24994659260841701"/>
      </font>
      <fill>
        <patternFill>
          <bgColor theme="6"/>
        </patternFill>
      </fill>
    </dxf>
    <dxf>
      <font>
        <b/>
        <i val="0"/>
        <color theme="3" tint="-0.24994659260841701"/>
      </font>
      <fill>
        <patternFill>
          <bgColor theme="7"/>
        </patternFill>
      </fill>
    </dxf>
    <dxf>
      <font>
        <b/>
        <i val="0"/>
        <color theme="3" tint="-0.24994659260841701"/>
      </font>
      <fill>
        <patternFill>
          <bgColor rgb="FFB9C884"/>
        </patternFill>
      </fill>
    </dxf>
    <dxf>
      <font>
        <b/>
        <i val="0"/>
        <color theme="3" tint="-0.24994659260841701"/>
      </font>
      <fill>
        <patternFill>
          <bgColor theme="6"/>
        </patternFill>
      </fill>
    </dxf>
    <dxf>
      <font>
        <b/>
        <i val="0"/>
        <color theme="3" tint="-0.24994659260841701"/>
      </font>
      <fill>
        <patternFill>
          <bgColor theme="7"/>
        </patternFill>
      </fill>
    </dxf>
    <dxf>
      <font>
        <b/>
        <i val="0"/>
        <color theme="3" tint="-0.24994659260841701"/>
      </font>
      <fill>
        <patternFill>
          <bgColor rgb="FFB9C884"/>
        </patternFill>
      </fill>
    </dxf>
    <dxf>
      <font>
        <b/>
        <i val="0"/>
        <color theme="3" tint="-0.24994659260841701"/>
      </font>
      <fill>
        <patternFill>
          <bgColor theme="6"/>
        </patternFill>
      </fill>
    </dxf>
    <dxf>
      <font>
        <b/>
        <i val="0"/>
        <color theme="3" tint="-0.24994659260841701"/>
      </font>
      <fill>
        <patternFill>
          <bgColor theme="7"/>
        </patternFill>
      </fill>
    </dxf>
    <dxf>
      <font>
        <b/>
        <i val="0"/>
        <color theme="3" tint="-0.24994659260841701"/>
      </font>
      <fill>
        <patternFill>
          <bgColor rgb="FFB9C884"/>
        </patternFill>
      </fill>
    </dxf>
    <dxf>
      <font>
        <b/>
        <i val="0"/>
        <color theme="3" tint="-0.24994659260841701"/>
      </font>
      <fill>
        <patternFill>
          <bgColor theme="6"/>
        </patternFill>
      </fill>
    </dxf>
    <dxf>
      <font>
        <b/>
        <i val="0"/>
        <color theme="3" tint="-0.24994659260841701"/>
      </font>
      <fill>
        <patternFill>
          <bgColor theme="7"/>
        </patternFill>
      </fill>
    </dxf>
    <dxf>
      <font>
        <b/>
        <i val="0"/>
        <color theme="3" tint="-0.24994659260841701"/>
      </font>
      <fill>
        <patternFill>
          <bgColor rgb="FFB9C884"/>
        </patternFill>
      </fill>
    </dxf>
    <dxf>
      <font>
        <b/>
        <i val="0"/>
        <color theme="3" tint="-0.24994659260841701"/>
      </font>
      <fill>
        <patternFill>
          <bgColor theme="6"/>
        </patternFill>
      </fill>
    </dxf>
    <dxf>
      <font>
        <b/>
        <i val="0"/>
        <color theme="3" tint="-0.24994659260841701"/>
      </font>
      <fill>
        <patternFill>
          <bgColor theme="7"/>
        </patternFill>
      </fill>
    </dxf>
    <dxf>
      <font>
        <b/>
        <i val="0"/>
        <color theme="3"/>
      </font>
      <fill>
        <patternFill>
          <bgColor rgb="FFB9C884"/>
        </patternFill>
      </fill>
    </dxf>
    <dxf>
      <font>
        <b/>
        <i val="0"/>
        <color theme="3" tint="-0.24994659260841701"/>
      </font>
      <fill>
        <patternFill>
          <bgColor theme="6"/>
        </patternFill>
      </fill>
    </dxf>
    <dxf>
      <font>
        <b/>
        <i val="0"/>
        <color theme="3" tint="-0.24994659260841701"/>
      </font>
      <fill>
        <patternFill>
          <bgColor theme="7"/>
        </patternFill>
      </fill>
    </dxf>
    <dxf>
      <font>
        <b/>
        <i val="0"/>
        <color theme="3" tint="-0.24994659260841701"/>
      </font>
      <fill>
        <patternFill>
          <bgColor rgb="FFB9C884"/>
        </patternFill>
      </fill>
    </dxf>
    <dxf>
      <font>
        <b/>
        <i val="0"/>
        <color theme="3" tint="-0.24994659260841701"/>
      </font>
      <fill>
        <patternFill>
          <bgColor theme="6"/>
        </patternFill>
      </fill>
    </dxf>
  </dxfs>
  <tableStyles count="0" defaultTableStyle="TableStyleMedium2" defaultPivotStyle="PivotStyleLight16"/>
  <colors>
    <mruColors>
      <color rgb="FFFCEABF"/>
      <color rgb="FFE0DCD8"/>
      <color rgb="FF95B040"/>
      <color rgb="FFE47FC1"/>
      <color rgb="FFBFDDF1"/>
      <color rgb="FF7FBBE4"/>
      <color rgb="FFFEA38C"/>
      <color rgb="FFF9D47F"/>
      <color rgb="FF409AD7"/>
      <color rgb="FF0034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OUTPUT│Totex!$E$32</c:f>
              <c:strCache>
                <c:ptCount val="1"/>
                <c:pt idx="0">
                  <c:v>2015-16</c:v>
                </c:pt>
              </c:strCache>
            </c:strRef>
          </c:tx>
          <c:spPr>
            <a:solidFill>
              <a:schemeClr val="accent2"/>
            </a:solidFill>
            <a:ln>
              <a:noFill/>
            </a:ln>
            <a:effectLst/>
          </c:spPr>
          <c:invertIfNegative val="0"/>
          <c:dPt>
            <c:idx val="17"/>
            <c:invertIfNegative val="0"/>
            <c:bubble3D val="0"/>
            <c:spPr>
              <a:solidFill>
                <a:srgbClr val="ADC0E2"/>
              </a:solidFill>
              <a:ln>
                <a:noFill/>
              </a:ln>
              <a:effectLst/>
            </c:spPr>
            <c:extLst xmlns:c16r2="http://schemas.microsoft.com/office/drawing/2015/06/chart">
              <c:ext xmlns:c16="http://schemas.microsoft.com/office/drawing/2014/chart" uri="{C3380CC4-5D6E-409C-BE32-E72D297353CC}">
                <c16:uniqueId val="{00000001-4BAE-48E1-BE7F-BDC5CB461E2F}"/>
              </c:ext>
            </c:extLst>
          </c:dPt>
          <c:cat>
            <c:strRef>
              <c:f>OUTPUT│Totex!$D$33:$D$50</c:f>
              <c:strCache>
                <c:ptCount val="18"/>
                <c:pt idx="0">
                  <c:v>SWB</c:v>
                </c:pt>
                <c:pt idx="1">
                  <c:v>WSX</c:v>
                </c:pt>
                <c:pt idx="2">
                  <c:v>ANH</c:v>
                </c:pt>
                <c:pt idx="3">
                  <c:v>SEW</c:v>
                </c:pt>
                <c:pt idx="4">
                  <c:v>UU</c:v>
                </c:pt>
                <c:pt idx="5">
                  <c:v>NES</c:v>
                </c:pt>
                <c:pt idx="6">
                  <c:v>SES</c:v>
                </c:pt>
                <c:pt idx="7">
                  <c:v>SVE</c:v>
                </c:pt>
                <c:pt idx="8">
                  <c:v>SSC</c:v>
                </c:pt>
                <c:pt idx="9">
                  <c:v>SRN</c:v>
                </c:pt>
                <c:pt idx="10">
                  <c:v>AFW</c:v>
                </c:pt>
                <c:pt idx="11">
                  <c:v>BRL</c:v>
                </c:pt>
                <c:pt idx="12">
                  <c:v>TMS</c:v>
                </c:pt>
                <c:pt idx="13">
                  <c:v>PRT</c:v>
                </c:pt>
                <c:pt idx="14">
                  <c:v>HDD</c:v>
                </c:pt>
                <c:pt idx="15">
                  <c:v>WSH</c:v>
                </c:pt>
                <c:pt idx="16">
                  <c:v>YKY</c:v>
                </c:pt>
                <c:pt idx="17">
                  <c:v>Industry</c:v>
                </c:pt>
              </c:strCache>
            </c:strRef>
          </c:cat>
          <c:val>
            <c:numRef>
              <c:f>OUTPUT│Totex!$E$33:$E$50</c:f>
              <c:numCache>
                <c:formatCode>0.00%;\-0.00%;\-</c:formatCode>
                <c:ptCount val="18"/>
                <c:pt idx="0">
                  <c:v>-0.2113607840967657</c:v>
                </c:pt>
                <c:pt idx="1">
                  <c:v>-9.5831869738750533E-2</c:v>
                </c:pt>
                <c:pt idx="2">
                  <c:v>-7.7840044930763852E-2</c:v>
                </c:pt>
                <c:pt idx="3">
                  <c:v>-3.1169709263015637E-2</c:v>
                </c:pt>
                <c:pt idx="4">
                  <c:v>0.15128554430412489</c:v>
                </c:pt>
                <c:pt idx="5">
                  <c:v>-0.11263159716663115</c:v>
                </c:pt>
                <c:pt idx="6">
                  <c:v>-5.6137961228808576E-2</c:v>
                </c:pt>
                <c:pt idx="7">
                  <c:v>-1.8955136998848199E-2</c:v>
                </c:pt>
                <c:pt idx="8">
                  <c:v>-5.4677817955678505E-2</c:v>
                </c:pt>
                <c:pt idx="9">
                  <c:v>-0.20534779090840971</c:v>
                </c:pt>
                <c:pt idx="10">
                  <c:v>-0.10541356492969364</c:v>
                </c:pt>
                <c:pt idx="11">
                  <c:v>-0.24834141150355812</c:v>
                </c:pt>
                <c:pt idx="12">
                  <c:v>3.7524214574987287E-2</c:v>
                </c:pt>
                <c:pt idx="13">
                  <c:v>-6.7885117493472494E-2</c:v>
                </c:pt>
                <c:pt idx="14">
                  <c:v>-0.24360924390363528</c:v>
                </c:pt>
                <c:pt idx="15">
                  <c:v>-0.18255046289270013</c:v>
                </c:pt>
                <c:pt idx="16">
                  <c:v>-0.21966610230647537</c:v>
                </c:pt>
                <c:pt idx="17">
                  <c:v>-5.6568920535306155E-2</c:v>
                </c:pt>
              </c:numCache>
            </c:numRef>
          </c:val>
          <c:extLst xmlns:c16r2="http://schemas.microsoft.com/office/drawing/2015/06/chart">
            <c:ext xmlns:c16="http://schemas.microsoft.com/office/drawing/2014/chart" uri="{C3380CC4-5D6E-409C-BE32-E72D297353CC}">
              <c16:uniqueId val="{00000002-4BAE-48E1-BE7F-BDC5CB461E2F}"/>
            </c:ext>
          </c:extLst>
        </c:ser>
        <c:ser>
          <c:idx val="1"/>
          <c:order val="1"/>
          <c:tx>
            <c:strRef>
              <c:f>OUTPUT│Totex!$F$32</c:f>
              <c:strCache>
                <c:ptCount val="1"/>
                <c:pt idx="0">
                  <c:v>2016-17</c:v>
                </c:pt>
              </c:strCache>
            </c:strRef>
          </c:tx>
          <c:spPr>
            <a:solidFill>
              <a:schemeClr val="accent3"/>
            </a:solidFill>
            <a:ln>
              <a:noFill/>
            </a:ln>
            <a:effectLst/>
          </c:spPr>
          <c:invertIfNegative val="0"/>
          <c:dPt>
            <c:idx val="17"/>
            <c:invertIfNegative val="0"/>
            <c:bubble3D val="0"/>
            <c:spPr>
              <a:solidFill>
                <a:srgbClr val="6995D2"/>
              </a:solidFill>
              <a:ln>
                <a:noFill/>
              </a:ln>
              <a:effectLst/>
            </c:spPr>
            <c:extLst xmlns:c16r2="http://schemas.microsoft.com/office/drawing/2015/06/chart">
              <c:ext xmlns:c16="http://schemas.microsoft.com/office/drawing/2014/chart" uri="{C3380CC4-5D6E-409C-BE32-E72D297353CC}">
                <c16:uniqueId val="{00000004-4BAE-48E1-BE7F-BDC5CB461E2F}"/>
              </c:ext>
            </c:extLst>
          </c:dPt>
          <c:cat>
            <c:strRef>
              <c:f>OUTPUT│Totex!$D$33:$D$50</c:f>
              <c:strCache>
                <c:ptCount val="18"/>
                <c:pt idx="0">
                  <c:v>SWB</c:v>
                </c:pt>
                <c:pt idx="1">
                  <c:v>WSX</c:v>
                </c:pt>
                <c:pt idx="2">
                  <c:v>ANH</c:v>
                </c:pt>
                <c:pt idx="3">
                  <c:v>SEW</c:v>
                </c:pt>
                <c:pt idx="4">
                  <c:v>UU</c:v>
                </c:pt>
                <c:pt idx="5">
                  <c:v>NES</c:v>
                </c:pt>
                <c:pt idx="6">
                  <c:v>SES</c:v>
                </c:pt>
                <c:pt idx="7">
                  <c:v>SVE</c:v>
                </c:pt>
                <c:pt idx="8">
                  <c:v>SSC</c:v>
                </c:pt>
                <c:pt idx="9">
                  <c:v>SRN</c:v>
                </c:pt>
                <c:pt idx="10">
                  <c:v>AFW</c:v>
                </c:pt>
                <c:pt idx="11">
                  <c:v>BRL</c:v>
                </c:pt>
                <c:pt idx="12">
                  <c:v>TMS</c:v>
                </c:pt>
                <c:pt idx="13">
                  <c:v>PRT</c:v>
                </c:pt>
                <c:pt idx="14">
                  <c:v>HDD</c:v>
                </c:pt>
                <c:pt idx="15">
                  <c:v>WSH</c:v>
                </c:pt>
                <c:pt idx="16">
                  <c:v>YKY</c:v>
                </c:pt>
                <c:pt idx="17">
                  <c:v>Industry</c:v>
                </c:pt>
              </c:strCache>
            </c:strRef>
          </c:cat>
          <c:val>
            <c:numRef>
              <c:f>OUTPUT│Totex!$F$33:$F$50</c:f>
              <c:numCache>
                <c:formatCode>0.00%;\-0.00%;\-</c:formatCode>
                <c:ptCount val="18"/>
                <c:pt idx="0">
                  <c:v>-0.16155276124487078</c:v>
                </c:pt>
                <c:pt idx="1">
                  <c:v>-0.13877901818531319</c:v>
                </c:pt>
                <c:pt idx="2">
                  <c:v>-0.21242976009938744</c:v>
                </c:pt>
                <c:pt idx="3">
                  <c:v>-8.2918537524053829E-2</c:v>
                </c:pt>
                <c:pt idx="4">
                  <c:v>0.11248771598634255</c:v>
                </c:pt>
                <c:pt idx="5">
                  <c:v>-0.17223270578253683</c:v>
                </c:pt>
                <c:pt idx="6">
                  <c:v>-5.5414672870405045E-2</c:v>
                </c:pt>
                <c:pt idx="7">
                  <c:v>-0.12113950703050938</c:v>
                </c:pt>
                <c:pt idx="8">
                  <c:v>-1.9333210940593575E-2</c:v>
                </c:pt>
                <c:pt idx="9">
                  <c:v>-0.17296218117853993</c:v>
                </c:pt>
                <c:pt idx="10">
                  <c:v>-1.836266884977494E-2</c:v>
                </c:pt>
                <c:pt idx="11">
                  <c:v>-0.10221453662266401</c:v>
                </c:pt>
                <c:pt idx="12">
                  <c:v>4.8280218787116955E-2</c:v>
                </c:pt>
                <c:pt idx="13">
                  <c:v>3.7988359530198379E-3</c:v>
                </c:pt>
                <c:pt idx="14">
                  <c:v>-0.21696969696969701</c:v>
                </c:pt>
                <c:pt idx="15">
                  <c:v>3.6159684793232172E-2</c:v>
                </c:pt>
                <c:pt idx="16">
                  <c:v>-3.3538888570938057E-2</c:v>
                </c:pt>
                <c:pt idx="17">
                  <c:v>-5.7643239902304549E-2</c:v>
                </c:pt>
              </c:numCache>
            </c:numRef>
          </c:val>
          <c:extLst xmlns:c16r2="http://schemas.microsoft.com/office/drawing/2015/06/chart">
            <c:ext xmlns:c16="http://schemas.microsoft.com/office/drawing/2014/chart" uri="{C3380CC4-5D6E-409C-BE32-E72D297353CC}">
              <c16:uniqueId val="{00000005-4BAE-48E1-BE7F-BDC5CB461E2F}"/>
            </c:ext>
          </c:extLst>
        </c:ser>
        <c:ser>
          <c:idx val="2"/>
          <c:order val="2"/>
          <c:tx>
            <c:strRef>
              <c:f>OUTPUT│Totex!$G$32</c:f>
              <c:strCache>
                <c:ptCount val="1"/>
                <c:pt idx="0">
                  <c:v>2017-18</c:v>
                </c:pt>
              </c:strCache>
            </c:strRef>
          </c:tx>
          <c:spPr>
            <a:solidFill>
              <a:schemeClr val="accent4"/>
            </a:solidFill>
            <a:ln>
              <a:noFill/>
            </a:ln>
            <a:effectLst/>
          </c:spPr>
          <c:invertIfNegative val="0"/>
          <c:dPt>
            <c:idx val="17"/>
            <c:invertIfNegative val="0"/>
            <c:bubble3D val="0"/>
            <c:spPr>
              <a:solidFill>
                <a:srgbClr val="0070BC"/>
              </a:solidFill>
              <a:ln>
                <a:noFill/>
              </a:ln>
              <a:effectLst/>
            </c:spPr>
            <c:extLst xmlns:c16r2="http://schemas.microsoft.com/office/drawing/2015/06/chart">
              <c:ext xmlns:c16="http://schemas.microsoft.com/office/drawing/2014/chart" uri="{C3380CC4-5D6E-409C-BE32-E72D297353CC}">
                <c16:uniqueId val="{00000007-4BAE-48E1-BE7F-BDC5CB461E2F}"/>
              </c:ext>
            </c:extLst>
          </c:dPt>
          <c:cat>
            <c:strRef>
              <c:f>OUTPUT│Totex!$D$33:$D$50</c:f>
              <c:strCache>
                <c:ptCount val="18"/>
                <c:pt idx="0">
                  <c:v>SWB</c:v>
                </c:pt>
                <c:pt idx="1">
                  <c:v>WSX</c:v>
                </c:pt>
                <c:pt idx="2">
                  <c:v>ANH</c:v>
                </c:pt>
                <c:pt idx="3">
                  <c:v>SEW</c:v>
                </c:pt>
                <c:pt idx="4">
                  <c:v>UU</c:v>
                </c:pt>
                <c:pt idx="5">
                  <c:v>NES</c:v>
                </c:pt>
                <c:pt idx="6">
                  <c:v>SES</c:v>
                </c:pt>
                <c:pt idx="7">
                  <c:v>SVE</c:v>
                </c:pt>
                <c:pt idx="8">
                  <c:v>SSC</c:v>
                </c:pt>
                <c:pt idx="9">
                  <c:v>SRN</c:v>
                </c:pt>
                <c:pt idx="10">
                  <c:v>AFW</c:v>
                </c:pt>
                <c:pt idx="11">
                  <c:v>BRL</c:v>
                </c:pt>
                <c:pt idx="12">
                  <c:v>TMS</c:v>
                </c:pt>
                <c:pt idx="13">
                  <c:v>PRT</c:v>
                </c:pt>
                <c:pt idx="14">
                  <c:v>HDD</c:v>
                </c:pt>
                <c:pt idx="15">
                  <c:v>WSH</c:v>
                </c:pt>
                <c:pt idx="16">
                  <c:v>YKY</c:v>
                </c:pt>
                <c:pt idx="17">
                  <c:v>Industry</c:v>
                </c:pt>
              </c:strCache>
            </c:strRef>
          </c:cat>
          <c:val>
            <c:numRef>
              <c:f>OUTPUT│Totex!$G$33:$G$50</c:f>
              <c:numCache>
                <c:formatCode>0.00%;\-0.00%;\-</c:formatCode>
                <c:ptCount val="18"/>
                <c:pt idx="0">
                  <c:v>-0.14481482651926714</c:v>
                </c:pt>
                <c:pt idx="1">
                  <c:v>-0.10006959837569869</c:v>
                </c:pt>
                <c:pt idx="2">
                  <c:v>-3.4477960561740517E-2</c:v>
                </c:pt>
                <c:pt idx="3">
                  <c:v>-0.103558912386707</c:v>
                </c:pt>
                <c:pt idx="4">
                  <c:v>3.6251120065206165E-2</c:v>
                </c:pt>
                <c:pt idx="5">
                  <c:v>-0.10166665653747892</c:v>
                </c:pt>
                <c:pt idx="6">
                  <c:v>-7.3691055546232551E-2</c:v>
                </c:pt>
                <c:pt idx="7">
                  <c:v>-8.5158993168023056E-2</c:v>
                </c:pt>
                <c:pt idx="8">
                  <c:v>5.304329052858224E-2</c:v>
                </c:pt>
                <c:pt idx="9">
                  <c:v>-1.5168770704628888E-2</c:v>
                </c:pt>
                <c:pt idx="10">
                  <c:v>5.3838907206782749E-2</c:v>
                </c:pt>
                <c:pt idx="11">
                  <c:v>8.8291517323775395E-2</c:v>
                </c:pt>
                <c:pt idx="12">
                  <c:v>4.0288951414285838E-2</c:v>
                </c:pt>
                <c:pt idx="13">
                  <c:v>-0.21918372955888413</c:v>
                </c:pt>
                <c:pt idx="14">
                  <c:v>0.14923972217007694</c:v>
                </c:pt>
                <c:pt idx="15">
                  <c:v>0.12268023729071623</c:v>
                </c:pt>
                <c:pt idx="16">
                  <c:v>4.012932330827073E-2</c:v>
                </c:pt>
                <c:pt idx="17">
                  <c:v>-1.0351129681314417E-2</c:v>
                </c:pt>
              </c:numCache>
            </c:numRef>
          </c:val>
          <c:extLst xmlns:c16r2="http://schemas.microsoft.com/office/drawing/2015/06/chart">
            <c:ext xmlns:c16="http://schemas.microsoft.com/office/drawing/2014/chart" uri="{C3380CC4-5D6E-409C-BE32-E72D297353CC}">
              <c16:uniqueId val="{00000008-4BAE-48E1-BE7F-BDC5CB461E2F}"/>
            </c:ext>
          </c:extLst>
        </c:ser>
        <c:ser>
          <c:idx val="3"/>
          <c:order val="3"/>
          <c:tx>
            <c:strRef>
              <c:f>OUTPUT│Totex!$H$32</c:f>
              <c:strCache>
                <c:ptCount val="1"/>
                <c:pt idx="0">
                  <c:v>2018-19</c:v>
                </c:pt>
              </c:strCache>
            </c:strRef>
          </c:tx>
          <c:spPr>
            <a:solidFill>
              <a:schemeClr val="accent5"/>
            </a:solidFill>
            <a:ln>
              <a:noFill/>
            </a:ln>
            <a:effectLst/>
          </c:spPr>
          <c:invertIfNegative val="0"/>
          <c:dPt>
            <c:idx val="17"/>
            <c:invertIfNegative val="0"/>
            <c:bubble3D val="0"/>
            <c:spPr>
              <a:solidFill>
                <a:srgbClr val="005D9D"/>
              </a:solidFill>
              <a:ln>
                <a:noFill/>
              </a:ln>
              <a:effectLst/>
            </c:spPr>
            <c:extLst xmlns:c16r2="http://schemas.microsoft.com/office/drawing/2015/06/chart">
              <c:ext xmlns:c16="http://schemas.microsoft.com/office/drawing/2014/chart" uri="{C3380CC4-5D6E-409C-BE32-E72D297353CC}">
                <c16:uniqueId val="{0000000A-4BAE-48E1-BE7F-BDC5CB461E2F}"/>
              </c:ext>
            </c:extLst>
          </c:dPt>
          <c:cat>
            <c:strRef>
              <c:f>OUTPUT│Totex!$D$33:$D$50</c:f>
              <c:strCache>
                <c:ptCount val="18"/>
                <c:pt idx="0">
                  <c:v>SWB</c:v>
                </c:pt>
                <c:pt idx="1">
                  <c:v>WSX</c:v>
                </c:pt>
                <c:pt idx="2">
                  <c:v>ANH</c:v>
                </c:pt>
                <c:pt idx="3">
                  <c:v>SEW</c:v>
                </c:pt>
                <c:pt idx="4">
                  <c:v>UU</c:v>
                </c:pt>
                <c:pt idx="5">
                  <c:v>NES</c:v>
                </c:pt>
                <c:pt idx="6">
                  <c:v>SES</c:v>
                </c:pt>
                <c:pt idx="7">
                  <c:v>SVE</c:v>
                </c:pt>
                <c:pt idx="8">
                  <c:v>SSC</c:v>
                </c:pt>
                <c:pt idx="9">
                  <c:v>SRN</c:v>
                </c:pt>
                <c:pt idx="10">
                  <c:v>AFW</c:v>
                </c:pt>
                <c:pt idx="11">
                  <c:v>BRL</c:v>
                </c:pt>
                <c:pt idx="12">
                  <c:v>TMS</c:v>
                </c:pt>
                <c:pt idx="13">
                  <c:v>PRT</c:v>
                </c:pt>
                <c:pt idx="14">
                  <c:v>HDD</c:v>
                </c:pt>
                <c:pt idx="15">
                  <c:v>WSH</c:v>
                </c:pt>
                <c:pt idx="16">
                  <c:v>YKY</c:v>
                </c:pt>
                <c:pt idx="17">
                  <c:v>Industry</c:v>
                </c:pt>
              </c:strCache>
            </c:strRef>
          </c:cat>
          <c:val>
            <c:numRef>
              <c:f>OUTPUT│Totex!$H$33:$H$50</c:f>
              <c:numCache>
                <c:formatCode>0.00%;\-0.00%;\-</c:formatCode>
                <c:ptCount val="18"/>
                <c:pt idx="0">
                  <c:v>-0.13426051625391688</c:v>
                </c:pt>
                <c:pt idx="1">
                  <c:v>-6.4392220499361053E-2</c:v>
                </c:pt>
                <c:pt idx="2">
                  <c:v>-4.0590903655263633E-2</c:v>
                </c:pt>
                <c:pt idx="3">
                  <c:v>-2.8968553459119462E-2</c:v>
                </c:pt>
                <c:pt idx="4">
                  <c:v>4.2303032958604216E-3</c:v>
                </c:pt>
                <c:pt idx="5">
                  <c:v>3.0680608188990773E-2</c:v>
                </c:pt>
                <c:pt idx="6">
                  <c:v>3.2978264325785232E-2</c:v>
                </c:pt>
                <c:pt idx="7">
                  <c:v>3.5010654104223216E-2</c:v>
                </c:pt>
                <c:pt idx="8">
                  <c:v>3.7050816580496887E-2</c:v>
                </c:pt>
                <c:pt idx="9">
                  <c:v>9.0945054351287136E-2</c:v>
                </c:pt>
                <c:pt idx="10">
                  <c:v>9.5982010045650393E-2</c:v>
                </c:pt>
                <c:pt idx="11">
                  <c:v>0.11811232167579615</c:v>
                </c:pt>
                <c:pt idx="12">
                  <c:v>0.13411826899486737</c:v>
                </c:pt>
                <c:pt idx="13">
                  <c:v>0.1378743608473339</c:v>
                </c:pt>
                <c:pt idx="14">
                  <c:v>0.20324427480916027</c:v>
                </c:pt>
                <c:pt idx="15">
                  <c:v>0.20561665396699691</c:v>
                </c:pt>
                <c:pt idx="16">
                  <c:v>0.2318758921192999</c:v>
                </c:pt>
                <c:pt idx="17">
                  <c:v>6.2157947679870269E-2</c:v>
                </c:pt>
              </c:numCache>
            </c:numRef>
          </c:val>
          <c:extLst xmlns:c16r2="http://schemas.microsoft.com/office/drawing/2015/06/chart">
            <c:ext xmlns:c16="http://schemas.microsoft.com/office/drawing/2014/chart" uri="{C3380CC4-5D6E-409C-BE32-E72D297353CC}">
              <c16:uniqueId val="{0000000B-4BAE-48E1-BE7F-BDC5CB461E2F}"/>
            </c:ext>
          </c:extLst>
        </c:ser>
        <c:dLbls>
          <c:showLegendKey val="0"/>
          <c:showVal val="0"/>
          <c:showCatName val="0"/>
          <c:showSerName val="0"/>
          <c:showPercent val="0"/>
          <c:showBubbleSize val="0"/>
        </c:dLbls>
        <c:gapWidth val="150"/>
        <c:overlap val="-27"/>
        <c:axId val="420315200"/>
        <c:axId val="420317160"/>
      </c:barChart>
      <c:catAx>
        <c:axId val="42031520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317160"/>
        <c:crosses val="autoZero"/>
        <c:auto val="1"/>
        <c:lblAlgn val="ctr"/>
        <c:lblOffset val="100"/>
        <c:noMultiLvlLbl val="0"/>
      </c:catAx>
      <c:valAx>
        <c:axId val="420317160"/>
        <c:scaling>
          <c:orientation val="minMax"/>
          <c:max val="0.25"/>
          <c:min val="-0.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315200"/>
        <c:crosses val="autoZero"/>
        <c:crossBetween val="between"/>
        <c:majorUnit val="5.000000000000001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'OUTPUT│Outcomes Trends'!$C$298</c:f>
              <c:strCache>
                <c:ptCount val="1"/>
                <c:pt idx="0">
                  <c:v>ANH</c:v>
                </c:pt>
              </c:strCache>
            </c:strRef>
          </c:tx>
          <c:spPr>
            <a:solidFill>
              <a:schemeClr val="tx2"/>
            </a:solidFill>
            <a:ln>
              <a:noFill/>
            </a:ln>
            <a:effectLst/>
          </c:spPr>
          <c:invertIfNegative val="0"/>
          <c:cat>
            <c:strRef>
              <c:f>'OUTPUT│Outcomes Trends'!$D$297:$J$297</c:f>
              <c:strCache>
                <c:ptCount val="7"/>
                <c:pt idx="0">
                  <c:v>2012-13</c:v>
                </c:pt>
                <c:pt idx="1">
                  <c:v>2013-14</c:v>
                </c:pt>
                <c:pt idx="2">
                  <c:v>2014-15</c:v>
                </c:pt>
                <c:pt idx="3">
                  <c:v>2015-16</c:v>
                </c:pt>
                <c:pt idx="4">
                  <c:v>2016-17</c:v>
                </c:pt>
                <c:pt idx="5">
                  <c:v>2017-18</c:v>
                </c:pt>
                <c:pt idx="6">
                  <c:v>2018-19</c:v>
                </c:pt>
              </c:strCache>
            </c:strRef>
          </c:cat>
          <c:val>
            <c:numRef>
              <c:f>'OUTPUT│Outcomes Trends'!$D$298:$J$298</c:f>
              <c:numCache>
                <c:formatCode>#,##0</c:formatCode>
                <c:ptCount val="7"/>
                <c:pt idx="0">
                  <c:v>446</c:v>
                </c:pt>
                <c:pt idx="1">
                  <c:v>392</c:v>
                </c:pt>
                <c:pt idx="2">
                  <c:v>392</c:v>
                </c:pt>
                <c:pt idx="3">
                  <c:v>151</c:v>
                </c:pt>
                <c:pt idx="4">
                  <c:v>220</c:v>
                </c:pt>
                <c:pt idx="5">
                  <c:v>224</c:v>
                </c:pt>
                <c:pt idx="6">
                  <c:v>189</c:v>
                </c:pt>
              </c:numCache>
            </c:numRef>
          </c:val>
          <c:extLst xmlns:c16r2="http://schemas.microsoft.com/office/drawing/2015/06/chart">
            <c:ext xmlns:c16="http://schemas.microsoft.com/office/drawing/2014/chart" uri="{C3380CC4-5D6E-409C-BE32-E72D297353CC}">
              <c16:uniqueId val="{00000000-3525-4E97-9332-0824EB5839B3}"/>
            </c:ext>
          </c:extLst>
        </c:ser>
        <c:ser>
          <c:idx val="1"/>
          <c:order val="1"/>
          <c:tx>
            <c:strRef>
              <c:f>'OUTPUT│Outcomes Trends'!$C$299</c:f>
              <c:strCache>
                <c:ptCount val="1"/>
                <c:pt idx="0">
                  <c:v>WSH</c:v>
                </c:pt>
              </c:strCache>
            </c:strRef>
          </c:tx>
          <c:spPr>
            <a:solidFill>
              <a:schemeClr val="accent1"/>
            </a:solidFill>
            <a:ln>
              <a:noFill/>
            </a:ln>
            <a:effectLst/>
          </c:spPr>
          <c:invertIfNegative val="0"/>
          <c:cat>
            <c:strRef>
              <c:f>'OUTPUT│Outcomes Trends'!$D$297:$J$297</c:f>
              <c:strCache>
                <c:ptCount val="7"/>
                <c:pt idx="0">
                  <c:v>2012-13</c:v>
                </c:pt>
                <c:pt idx="1">
                  <c:v>2013-14</c:v>
                </c:pt>
                <c:pt idx="2">
                  <c:v>2014-15</c:v>
                </c:pt>
                <c:pt idx="3">
                  <c:v>2015-16</c:v>
                </c:pt>
                <c:pt idx="4">
                  <c:v>2016-17</c:v>
                </c:pt>
                <c:pt idx="5">
                  <c:v>2017-18</c:v>
                </c:pt>
                <c:pt idx="6">
                  <c:v>2018-19</c:v>
                </c:pt>
              </c:strCache>
            </c:strRef>
          </c:cat>
          <c:val>
            <c:numRef>
              <c:f>'OUTPUT│Outcomes Trends'!$D$299:$J$299</c:f>
              <c:numCache>
                <c:formatCode>#,##0</c:formatCode>
                <c:ptCount val="7"/>
                <c:pt idx="0">
                  <c:v>193</c:v>
                </c:pt>
                <c:pt idx="1">
                  <c:v>120</c:v>
                </c:pt>
                <c:pt idx="2">
                  <c:v>104</c:v>
                </c:pt>
                <c:pt idx="3">
                  <c:v>107</c:v>
                </c:pt>
                <c:pt idx="4">
                  <c:v>105</c:v>
                </c:pt>
                <c:pt idx="5">
                  <c:v>101</c:v>
                </c:pt>
                <c:pt idx="6">
                  <c:v>98</c:v>
                </c:pt>
              </c:numCache>
            </c:numRef>
          </c:val>
          <c:extLst xmlns:c16r2="http://schemas.microsoft.com/office/drawing/2015/06/chart">
            <c:ext xmlns:c16="http://schemas.microsoft.com/office/drawing/2014/chart" uri="{C3380CC4-5D6E-409C-BE32-E72D297353CC}">
              <c16:uniqueId val="{00000001-3525-4E97-9332-0824EB5839B3}"/>
            </c:ext>
          </c:extLst>
        </c:ser>
        <c:ser>
          <c:idx val="2"/>
          <c:order val="2"/>
          <c:tx>
            <c:strRef>
              <c:f>'OUTPUT│Outcomes Trends'!$C$300</c:f>
              <c:strCache>
                <c:ptCount val="1"/>
                <c:pt idx="0">
                  <c:v>NES</c:v>
                </c:pt>
              </c:strCache>
            </c:strRef>
          </c:tx>
          <c:spPr>
            <a:solidFill>
              <a:srgbClr val="7FBBE4"/>
            </a:solidFill>
            <a:ln>
              <a:noFill/>
            </a:ln>
            <a:effectLst/>
          </c:spPr>
          <c:invertIfNegative val="0"/>
          <c:cat>
            <c:strRef>
              <c:f>'OUTPUT│Outcomes Trends'!$D$297:$J$297</c:f>
              <c:strCache>
                <c:ptCount val="7"/>
                <c:pt idx="0">
                  <c:v>2012-13</c:v>
                </c:pt>
                <c:pt idx="1">
                  <c:v>2013-14</c:v>
                </c:pt>
                <c:pt idx="2">
                  <c:v>2014-15</c:v>
                </c:pt>
                <c:pt idx="3">
                  <c:v>2015-16</c:v>
                </c:pt>
                <c:pt idx="4">
                  <c:v>2016-17</c:v>
                </c:pt>
                <c:pt idx="5">
                  <c:v>2017-18</c:v>
                </c:pt>
                <c:pt idx="6">
                  <c:v>2018-19</c:v>
                </c:pt>
              </c:strCache>
            </c:strRef>
          </c:cat>
          <c:val>
            <c:numRef>
              <c:f>'OUTPUT│Outcomes Trends'!$D$300:$J$300</c:f>
              <c:numCache>
                <c:formatCode>#,##0</c:formatCode>
                <c:ptCount val="7"/>
                <c:pt idx="0">
                  <c:v>192</c:v>
                </c:pt>
                <c:pt idx="1">
                  <c:v>127</c:v>
                </c:pt>
                <c:pt idx="2">
                  <c:v>87</c:v>
                </c:pt>
                <c:pt idx="3">
                  <c:v>156</c:v>
                </c:pt>
                <c:pt idx="4">
                  <c:v>110</c:v>
                </c:pt>
                <c:pt idx="5">
                  <c:v>50</c:v>
                </c:pt>
                <c:pt idx="6">
                  <c:v>37</c:v>
                </c:pt>
              </c:numCache>
            </c:numRef>
          </c:val>
          <c:extLst xmlns:c16r2="http://schemas.microsoft.com/office/drawing/2015/06/chart">
            <c:ext xmlns:c16="http://schemas.microsoft.com/office/drawing/2014/chart" uri="{C3380CC4-5D6E-409C-BE32-E72D297353CC}">
              <c16:uniqueId val="{00000002-3525-4E97-9332-0824EB5839B3}"/>
            </c:ext>
          </c:extLst>
        </c:ser>
        <c:ser>
          <c:idx val="3"/>
          <c:order val="3"/>
          <c:tx>
            <c:strRef>
              <c:f>'OUTPUT│Outcomes Trends'!$C$301</c:f>
              <c:strCache>
                <c:ptCount val="1"/>
                <c:pt idx="0">
                  <c:v>SVE + HDD</c:v>
                </c:pt>
              </c:strCache>
            </c:strRef>
          </c:tx>
          <c:spPr>
            <a:solidFill>
              <a:srgbClr val="BFDDF1"/>
            </a:solidFill>
            <a:ln>
              <a:noFill/>
            </a:ln>
            <a:effectLst/>
          </c:spPr>
          <c:invertIfNegative val="0"/>
          <c:cat>
            <c:strRef>
              <c:f>'OUTPUT│Outcomes Trends'!$D$297:$J$297</c:f>
              <c:strCache>
                <c:ptCount val="7"/>
                <c:pt idx="0">
                  <c:v>2012-13</c:v>
                </c:pt>
                <c:pt idx="1">
                  <c:v>2013-14</c:v>
                </c:pt>
                <c:pt idx="2">
                  <c:v>2014-15</c:v>
                </c:pt>
                <c:pt idx="3">
                  <c:v>2015-16</c:v>
                </c:pt>
                <c:pt idx="4">
                  <c:v>2016-17</c:v>
                </c:pt>
                <c:pt idx="5">
                  <c:v>2017-18</c:v>
                </c:pt>
                <c:pt idx="6">
                  <c:v>2018-19</c:v>
                </c:pt>
              </c:strCache>
            </c:strRef>
          </c:cat>
          <c:val>
            <c:numRef>
              <c:f>'OUTPUT│Outcomes Trends'!$D$301:$J$301</c:f>
              <c:numCache>
                <c:formatCode>#,##0</c:formatCode>
                <c:ptCount val="7"/>
                <c:pt idx="0">
                  <c:v>365</c:v>
                </c:pt>
                <c:pt idx="1">
                  <c:v>431</c:v>
                </c:pt>
                <c:pt idx="2">
                  <c:v>351</c:v>
                </c:pt>
                <c:pt idx="3">
                  <c:v>255</c:v>
                </c:pt>
                <c:pt idx="4">
                  <c:v>268</c:v>
                </c:pt>
                <c:pt idx="5">
                  <c:v>277</c:v>
                </c:pt>
                <c:pt idx="6">
                  <c:v>283</c:v>
                </c:pt>
              </c:numCache>
            </c:numRef>
          </c:val>
          <c:extLst xmlns:c16r2="http://schemas.microsoft.com/office/drawing/2015/06/chart">
            <c:ext xmlns:c16="http://schemas.microsoft.com/office/drawing/2014/chart" uri="{C3380CC4-5D6E-409C-BE32-E72D297353CC}">
              <c16:uniqueId val="{00000003-3525-4E97-9332-0824EB5839B3}"/>
            </c:ext>
          </c:extLst>
        </c:ser>
        <c:ser>
          <c:idx val="4"/>
          <c:order val="4"/>
          <c:tx>
            <c:strRef>
              <c:f>'OUTPUT│Outcomes Trends'!$C$302</c:f>
              <c:strCache>
                <c:ptCount val="1"/>
                <c:pt idx="0">
                  <c:v>SWB</c:v>
                </c:pt>
              </c:strCache>
            </c:strRef>
          </c:tx>
          <c:spPr>
            <a:solidFill>
              <a:schemeClr val="accent5"/>
            </a:solidFill>
            <a:ln>
              <a:noFill/>
            </a:ln>
            <a:effectLst/>
          </c:spPr>
          <c:invertIfNegative val="0"/>
          <c:cat>
            <c:strRef>
              <c:f>'OUTPUT│Outcomes Trends'!$D$297:$J$297</c:f>
              <c:strCache>
                <c:ptCount val="7"/>
                <c:pt idx="0">
                  <c:v>2012-13</c:v>
                </c:pt>
                <c:pt idx="1">
                  <c:v>2013-14</c:v>
                </c:pt>
                <c:pt idx="2">
                  <c:v>2014-15</c:v>
                </c:pt>
                <c:pt idx="3">
                  <c:v>2015-16</c:v>
                </c:pt>
                <c:pt idx="4">
                  <c:v>2016-17</c:v>
                </c:pt>
                <c:pt idx="5">
                  <c:v>2017-18</c:v>
                </c:pt>
                <c:pt idx="6">
                  <c:v>2018-19</c:v>
                </c:pt>
              </c:strCache>
            </c:strRef>
          </c:cat>
          <c:val>
            <c:numRef>
              <c:f>'OUTPUT│Outcomes Trends'!$D$302:$J$302</c:f>
              <c:numCache>
                <c:formatCode>#,##0</c:formatCode>
                <c:ptCount val="7"/>
                <c:pt idx="0">
                  <c:v>206</c:v>
                </c:pt>
                <c:pt idx="1">
                  <c:v>246</c:v>
                </c:pt>
                <c:pt idx="2">
                  <c:v>156</c:v>
                </c:pt>
                <c:pt idx="3">
                  <c:v>158</c:v>
                </c:pt>
                <c:pt idx="4">
                  <c:v>179</c:v>
                </c:pt>
                <c:pt idx="5">
                  <c:v>169</c:v>
                </c:pt>
                <c:pt idx="6">
                  <c:v>168</c:v>
                </c:pt>
              </c:numCache>
            </c:numRef>
          </c:val>
          <c:extLst xmlns:c16r2="http://schemas.microsoft.com/office/drawing/2015/06/chart">
            <c:ext xmlns:c16="http://schemas.microsoft.com/office/drawing/2014/chart" uri="{C3380CC4-5D6E-409C-BE32-E72D297353CC}">
              <c16:uniqueId val="{00000004-3525-4E97-9332-0824EB5839B3}"/>
            </c:ext>
          </c:extLst>
        </c:ser>
        <c:ser>
          <c:idx val="5"/>
          <c:order val="5"/>
          <c:tx>
            <c:strRef>
              <c:f>'OUTPUT│Outcomes Trends'!$C$303</c:f>
              <c:strCache>
                <c:ptCount val="1"/>
                <c:pt idx="0">
                  <c:v>SRN</c:v>
                </c:pt>
              </c:strCache>
            </c:strRef>
          </c:tx>
          <c:spPr>
            <a:solidFill>
              <a:srgbClr val="E47FC1"/>
            </a:solidFill>
            <a:ln>
              <a:noFill/>
            </a:ln>
            <a:effectLst/>
          </c:spPr>
          <c:invertIfNegative val="0"/>
          <c:cat>
            <c:strRef>
              <c:f>'OUTPUT│Outcomes Trends'!$D$297:$J$297</c:f>
              <c:strCache>
                <c:ptCount val="7"/>
                <c:pt idx="0">
                  <c:v>2012-13</c:v>
                </c:pt>
                <c:pt idx="1">
                  <c:v>2013-14</c:v>
                </c:pt>
                <c:pt idx="2">
                  <c:v>2014-15</c:v>
                </c:pt>
                <c:pt idx="3">
                  <c:v>2015-16</c:v>
                </c:pt>
                <c:pt idx="4">
                  <c:v>2016-17</c:v>
                </c:pt>
                <c:pt idx="5">
                  <c:v>2017-18</c:v>
                </c:pt>
                <c:pt idx="6">
                  <c:v>2018-19</c:v>
                </c:pt>
              </c:strCache>
            </c:strRef>
          </c:cat>
          <c:val>
            <c:numRef>
              <c:f>'OUTPUT│Outcomes Trends'!$D$303:$J$303</c:f>
              <c:numCache>
                <c:formatCode>#,##0</c:formatCode>
                <c:ptCount val="7"/>
                <c:pt idx="0">
                  <c:v>409</c:v>
                </c:pt>
                <c:pt idx="1">
                  <c:v>320</c:v>
                </c:pt>
                <c:pt idx="2">
                  <c:v>287</c:v>
                </c:pt>
                <c:pt idx="3">
                  <c:v>161</c:v>
                </c:pt>
                <c:pt idx="4">
                  <c:v>138</c:v>
                </c:pt>
                <c:pt idx="5">
                  <c:v>123</c:v>
                </c:pt>
                <c:pt idx="6">
                  <c:v>149</c:v>
                </c:pt>
              </c:numCache>
            </c:numRef>
          </c:val>
          <c:extLst xmlns:c16r2="http://schemas.microsoft.com/office/drawing/2015/06/chart">
            <c:ext xmlns:c16="http://schemas.microsoft.com/office/drawing/2014/chart" uri="{C3380CC4-5D6E-409C-BE32-E72D297353CC}">
              <c16:uniqueId val="{00000005-3525-4E97-9332-0824EB5839B3}"/>
            </c:ext>
          </c:extLst>
        </c:ser>
        <c:ser>
          <c:idx val="6"/>
          <c:order val="6"/>
          <c:tx>
            <c:strRef>
              <c:f>'OUTPUT│Outcomes Trends'!$C$304</c:f>
              <c:strCache>
                <c:ptCount val="1"/>
                <c:pt idx="0">
                  <c:v>TMS</c:v>
                </c:pt>
              </c:strCache>
            </c:strRef>
          </c:tx>
          <c:spPr>
            <a:solidFill>
              <a:schemeClr val="accent4"/>
            </a:solidFill>
            <a:ln>
              <a:noFill/>
            </a:ln>
            <a:effectLst/>
          </c:spPr>
          <c:invertIfNegative val="0"/>
          <c:cat>
            <c:strRef>
              <c:f>'OUTPUT│Outcomes Trends'!$D$297:$J$297</c:f>
              <c:strCache>
                <c:ptCount val="7"/>
                <c:pt idx="0">
                  <c:v>2012-13</c:v>
                </c:pt>
                <c:pt idx="1">
                  <c:v>2013-14</c:v>
                </c:pt>
                <c:pt idx="2">
                  <c:v>2014-15</c:v>
                </c:pt>
                <c:pt idx="3">
                  <c:v>2015-16</c:v>
                </c:pt>
                <c:pt idx="4">
                  <c:v>2016-17</c:v>
                </c:pt>
                <c:pt idx="5">
                  <c:v>2017-18</c:v>
                </c:pt>
                <c:pt idx="6">
                  <c:v>2018-19</c:v>
                </c:pt>
              </c:strCache>
            </c:strRef>
          </c:cat>
          <c:val>
            <c:numRef>
              <c:f>'OUTPUT│Outcomes Trends'!$D$304:$J$304</c:f>
              <c:numCache>
                <c:formatCode>#,##0</c:formatCode>
                <c:ptCount val="7"/>
                <c:pt idx="0">
                  <c:v>468</c:v>
                </c:pt>
                <c:pt idx="1">
                  <c:v>612</c:v>
                </c:pt>
                <c:pt idx="2">
                  <c:v>506</c:v>
                </c:pt>
                <c:pt idx="3">
                  <c:v>263</c:v>
                </c:pt>
                <c:pt idx="4">
                  <c:v>357</c:v>
                </c:pt>
                <c:pt idx="5">
                  <c:v>302</c:v>
                </c:pt>
                <c:pt idx="6">
                  <c:v>297</c:v>
                </c:pt>
              </c:numCache>
            </c:numRef>
          </c:val>
          <c:extLst xmlns:c16r2="http://schemas.microsoft.com/office/drawing/2015/06/chart">
            <c:ext xmlns:c16="http://schemas.microsoft.com/office/drawing/2014/chart" uri="{C3380CC4-5D6E-409C-BE32-E72D297353CC}">
              <c16:uniqueId val="{00000006-3525-4E97-9332-0824EB5839B3}"/>
            </c:ext>
          </c:extLst>
        </c:ser>
        <c:ser>
          <c:idx val="7"/>
          <c:order val="7"/>
          <c:tx>
            <c:strRef>
              <c:f>'OUTPUT│Outcomes Trends'!$C$305</c:f>
              <c:strCache>
                <c:ptCount val="1"/>
                <c:pt idx="0">
                  <c:v>UU</c:v>
                </c:pt>
              </c:strCache>
            </c:strRef>
          </c:tx>
          <c:spPr>
            <a:solidFill>
              <a:schemeClr val="accent3"/>
            </a:solidFill>
            <a:ln>
              <a:noFill/>
            </a:ln>
            <a:effectLst/>
          </c:spPr>
          <c:invertIfNegative val="0"/>
          <c:cat>
            <c:strRef>
              <c:f>'OUTPUT│Outcomes Trends'!$D$297:$J$297</c:f>
              <c:strCache>
                <c:ptCount val="7"/>
                <c:pt idx="0">
                  <c:v>2012-13</c:v>
                </c:pt>
                <c:pt idx="1">
                  <c:v>2013-14</c:v>
                </c:pt>
                <c:pt idx="2">
                  <c:v>2014-15</c:v>
                </c:pt>
                <c:pt idx="3">
                  <c:v>2015-16</c:v>
                </c:pt>
                <c:pt idx="4">
                  <c:v>2016-17</c:v>
                </c:pt>
                <c:pt idx="5">
                  <c:v>2017-18</c:v>
                </c:pt>
                <c:pt idx="6">
                  <c:v>2018-19</c:v>
                </c:pt>
              </c:strCache>
            </c:strRef>
          </c:cat>
          <c:val>
            <c:numRef>
              <c:f>'OUTPUT│Outcomes Trends'!$D$305:$J$305</c:f>
              <c:numCache>
                <c:formatCode>#,##0</c:formatCode>
                <c:ptCount val="7"/>
                <c:pt idx="0">
                  <c:v>324</c:v>
                </c:pt>
                <c:pt idx="1">
                  <c:v>208</c:v>
                </c:pt>
                <c:pt idx="2">
                  <c:v>214</c:v>
                </c:pt>
                <c:pt idx="3">
                  <c:v>175</c:v>
                </c:pt>
                <c:pt idx="4">
                  <c:v>171</c:v>
                </c:pt>
                <c:pt idx="5">
                  <c:v>166</c:v>
                </c:pt>
                <c:pt idx="6">
                  <c:v>179</c:v>
                </c:pt>
              </c:numCache>
            </c:numRef>
          </c:val>
          <c:extLst xmlns:c16r2="http://schemas.microsoft.com/office/drawing/2015/06/chart">
            <c:ext xmlns:c16="http://schemas.microsoft.com/office/drawing/2014/chart" uri="{C3380CC4-5D6E-409C-BE32-E72D297353CC}">
              <c16:uniqueId val="{00000007-3525-4E97-9332-0824EB5839B3}"/>
            </c:ext>
          </c:extLst>
        </c:ser>
        <c:ser>
          <c:idx val="8"/>
          <c:order val="8"/>
          <c:tx>
            <c:strRef>
              <c:f>'OUTPUT│Outcomes Trends'!$C$306</c:f>
              <c:strCache>
                <c:ptCount val="1"/>
                <c:pt idx="0">
                  <c:v>WSX</c:v>
                </c:pt>
              </c:strCache>
            </c:strRef>
          </c:tx>
          <c:spPr>
            <a:solidFill>
              <a:srgbClr val="FCEABF"/>
            </a:solidFill>
            <a:ln>
              <a:noFill/>
            </a:ln>
            <a:effectLst/>
          </c:spPr>
          <c:invertIfNegative val="0"/>
          <c:cat>
            <c:strRef>
              <c:f>'OUTPUT│Outcomes Trends'!$D$297:$J$297</c:f>
              <c:strCache>
                <c:ptCount val="7"/>
                <c:pt idx="0">
                  <c:v>2012-13</c:v>
                </c:pt>
                <c:pt idx="1">
                  <c:v>2013-14</c:v>
                </c:pt>
                <c:pt idx="2">
                  <c:v>2014-15</c:v>
                </c:pt>
                <c:pt idx="3">
                  <c:v>2015-16</c:v>
                </c:pt>
                <c:pt idx="4">
                  <c:v>2016-17</c:v>
                </c:pt>
                <c:pt idx="5">
                  <c:v>2017-18</c:v>
                </c:pt>
                <c:pt idx="6">
                  <c:v>2018-19</c:v>
                </c:pt>
              </c:strCache>
            </c:strRef>
          </c:cat>
          <c:val>
            <c:numRef>
              <c:f>'OUTPUT│Outcomes Trends'!$D$306:$J$306</c:f>
              <c:numCache>
                <c:formatCode>#,##0</c:formatCode>
                <c:ptCount val="7"/>
                <c:pt idx="0">
                  <c:v>61</c:v>
                </c:pt>
                <c:pt idx="1">
                  <c:v>83</c:v>
                </c:pt>
                <c:pt idx="2">
                  <c:v>75</c:v>
                </c:pt>
                <c:pt idx="3">
                  <c:v>83</c:v>
                </c:pt>
                <c:pt idx="4">
                  <c:v>74</c:v>
                </c:pt>
                <c:pt idx="5">
                  <c:v>79</c:v>
                </c:pt>
                <c:pt idx="6">
                  <c:v>82</c:v>
                </c:pt>
              </c:numCache>
            </c:numRef>
          </c:val>
          <c:extLst xmlns:c16r2="http://schemas.microsoft.com/office/drawing/2015/06/chart">
            <c:ext xmlns:c16="http://schemas.microsoft.com/office/drawing/2014/chart" uri="{C3380CC4-5D6E-409C-BE32-E72D297353CC}">
              <c16:uniqueId val="{00000008-3525-4E97-9332-0824EB5839B3}"/>
            </c:ext>
          </c:extLst>
        </c:ser>
        <c:ser>
          <c:idx val="9"/>
          <c:order val="9"/>
          <c:tx>
            <c:strRef>
              <c:f>'OUTPUT│Outcomes Trends'!$C$307</c:f>
              <c:strCache>
                <c:ptCount val="1"/>
                <c:pt idx="0">
                  <c:v>YKY</c:v>
                </c:pt>
              </c:strCache>
            </c:strRef>
          </c:tx>
          <c:spPr>
            <a:solidFill>
              <a:schemeClr val="accent2"/>
            </a:solidFill>
            <a:ln>
              <a:noFill/>
            </a:ln>
            <a:effectLst/>
          </c:spPr>
          <c:invertIfNegative val="0"/>
          <c:cat>
            <c:strRef>
              <c:f>'OUTPUT│Outcomes Trends'!$D$297:$J$297</c:f>
              <c:strCache>
                <c:ptCount val="7"/>
                <c:pt idx="0">
                  <c:v>2012-13</c:v>
                </c:pt>
                <c:pt idx="1">
                  <c:v>2013-14</c:v>
                </c:pt>
                <c:pt idx="2">
                  <c:v>2014-15</c:v>
                </c:pt>
                <c:pt idx="3">
                  <c:v>2015-16</c:v>
                </c:pt>
                <c:pt idx="4">
                  <c:v>2016-17</c:v>
                </c:pt>
                <c:pt idx="5">
                  <c:v>2017-18</c:v>
                </c:pt>
                <c:pt idx="6">
                  <c:v>2018-19</c:v>
                </c:pt>
              </c:strCache>
            </c:strRef>
          </c:cat>
          <c:val>
            <c:numRef>
              <c:f>'OUTPUT│Outcomes Trends'!$D$307:$J$307</c:f>
              <c:numCache>
                <c:formatCode>#,##0</c:formatCode>
                <c:ptCount val="7"/>
                <c:pt idx="0">
                  <c:v>253</c:v>
                </c:pt>
                <c:pt idx="1">
                  <c:v>239</c:v>
                </c:pt>
                <c:pt idx="2">
                  <c:v>180</c:v>
                </c:pt>
                <c:pt idx="3">
                  <c:v>219</c:v>
                </c:pt>
                <c:pt idx="4">
                  <c:v>237</c:v>
                </c:pt>
                <c:pt idx="5">
                  <c:v>222</c:v>
                </c:pt>
                <c:pt idx="6">
                  <c:v>224</c:v>
                </c:pt>
              </c:numCache>
            </c:numRef>
          </c:val>
          <c:extLst xmlns:c16r2="http://schemas.microsoft.com/office/drawing/2015/06/chart">
            <c:ext xmlns:c16="http://schemas.microsoft.com/office/drawing/2014/chart" uri="{C3380CC4-5D6E-409C-BE32-E72D297353CC}">
              <c16:uniqueId val="{00000009-3525-4E97-9332-0824EB5839B3}"/>
            </c:ext>
          </c:extLst>
        </c:ser>
        <c:dLbls>
          <c:showLegendKey val="0"/>
          <c:showVal val="0"/>
          <c:showCatName val="0"/>
          <c:showSerName val="0"/>
          <c:showPercent val="0"/>
          <c:showBubbleSize val="0"/>
        </c:dLbls>
        <c:gapWidth val="100"/>
        <c:overlap val="100"/>
        <c:axId val="935367856"/>
        <c:axId val="935365896"/>
      </c:barChart>
      <c:catAx>
        <c:axId val="935367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5365896"/>
        <c:crosses val="autoZero"/>
        <c:auto val="1"/>
        <c:lblAlgn val="ctr"/>
        <c:lblOffset val="100"/>
        <c:noMultiLvlLbl val="0"/>
      </c:catAx>
      <c:valAx>
        <c:axId val="935365896"/>
        <c:scaling>
          <c:orientation val="minMax"/>
          <c:max val="3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Incidents (000s)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5367856"/>
        <c:crosses val="autoZero"/>
        <c:crossBetween val="between"/>
        <c:dispUnits>
          <c:builtInUnit val="thousands"/>
        </c:dispUnits>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'OUTPUT│Outcomes Trends'!$E$6</c:f>
              <c:strCache>
                <c:ptCount val="1"/>
                <c:pt idx="0">
                  <c:v>2015-16</c:v>
                </c:pt>
              </c:strCache>
            </c:strRef>
          </c:tx>
          <c:spPr>
            <a:solidFill>
              <a:schemeClr val="accent2"/>
            </a:solidFill>
            <a:ln>
              <a:noFill/>
            </a:ln>
            <a:effectLst/>
          </c:spPr>
          <c:invertIfNegative val="0"/>
          <c:dPt>
            <c:idx val="18"/>
            <c:invertIfNegative val="0"/>
            <c:bubble3D val="0"/>
            <c:spPr>
              <a:solidFill>
                <a:srgbClr val="ADC0E2"/>
              </a:solidFill>
              <a:ln>
                <a:noFill/>
              </a:ln>
              <a:effectLst/>
            </c:spPr>
            <c:extLst xmlns:c16r2="http://schemas.microsoft.com/office/drawing/2015/06/chart">
              <c:ext xmlns:c16="http://schemas.microsoft.com/office/drawing/2014/chart" uri="{C3380CC4-5D6E-409C-BE32-E72D297353CC}">
                <c16:uniqueId val="{00000001-F146-4C65-A86F-64147D6D0E4D}"/>
              </c:ext>
            </c:extLst>
          </c:dPt>
          <c:cat>
            <c:strRef>
              <c:f>'OUTPUT│Outcomes Trends'!$D$7:$D$25</c:f>
              <c:strCache>
                <c:ptCount val="19"/>
                <c:pt idx="0">
                  <c:v>ANH</c:v>
                </c:pt>
                <c:pt idx="1">
                  <c:v>PRT</c:v>
                </c:pt>
                <c:pt idx="2">
                  <c:v>UU</c:v>
                </c:pt>
                <c:pt idx="3">
                  <c:v>SWT</c:v>
                </c:pt>
                <c:pt idx="4">
                  <c:v>SBW</c:v>
                </c:pt>
                <c:pt idx="5">
                  <c:v>WSX</c:v>
                </c:pt>
                <c:pt idx="6">
                  <c:v>WSH</c:v>
                </c:pt>
                <c:pt idx="7">
                  <c:v>SSC</c:v>
                </c:pt>
                <c:pt idx="8">
                  <c:v>NES</c:v>
                </c:pt>
                <c:pt idx="9">
                  <c:v>SEW</c:v>
                </c:pt>
                <c:pt idx="10">
                  <c:v>BRL</c:v>
                </c:pt>
                <c:pt idx="11">
                  <c:v>YKY</c:v>
                </c:pt>
                <c:pt idx="12">
                  <c:v>SVE</c:v>
                </c:pt>
                <c:pt idx="13">
                  <c:v>AFW</c:v>
                </c:pt>
                <c:pt idx="14">
                  <c:v>SES</c:v>
                </c:pt>
                <c:pt idx="15">
                  <c:v>SRN</c:v>
                </c:pt>
                <c:pt idx="16">
                  <c:v>HDD</c:v>
                </c:pt>
                <c:pt idx="17">
                  <c:v>TMS</c:v>
                </c:pt>
                <c:pt idx="18">
                  <c:v>Industry</c:v>
                </c:pt>
              </c:strCache>
            </c:strRef>
          </c:cat>
          <c:val>
            <c:numRef>
              <c:f>'OUTPUT│Outcomes Trends'!$E$7:$E$25</c:f>
              <c:numCache>
                <c:formatCode>0.00</c:formatCode>
                <c:ptCount val="19"/>
                <c:pt idx="0">
                  <c:v>85.12</c:v>
                </c:pt>
                <c:pt idx="1">
                  <c:v>89.5</c:v>
                </c:pt>
                <c:pt idx="2">
                  <c:v>81.55</c:v>
                </c:pt>
                <c:pt idx="3">
                  <c:v>78.599999999999994</c:v>
                </c:pt>
                <c:pt idx="4">
                  <c:v>86.2</c:v>
                </c:pt>
                <c:pt idx="5">
                  <c:v>87.1</c:v>
                </c:pt>
                <c:pt idx="6">
                  <c:v>83</c:v>
                </c:pt>
                <c:pt idx="7">
                  <c:v>86.3</c:v>
                </c:pt>
                <c:pt idx="8">
                  <c:v>83.64</c:v>
                </c:pt>
                <c:pt idx="9">
                  <c:v>81.95</c:v>
                </c:pt>
                <c:pt idx="10">
                  <c:v>85.1</c:v>
                </c:pt>
                <c:pt idx="11">
                  <c:v>82.6</c:v>
                </c:pt>
                <c:pt idx="12">
                  <c:v>83.7</c:v>
                </c:pt>
                <c:pt idx="13">
                  <c:v>76.73</c:v>
                </c:pt>
                <c:pt idx="14">
                  <c:v>80.8</c:v>
                </c:pt>
                <c:pt idx="15">
                  <c:v>73</c:v>
                </c:pt>
                <c:pt idx="16">
                  <c:v>83.42</c:v>
                </c:pt>
                <c:pt idx="17">
                  <c:v>76.739999999999995</c:v>
                </c:pt>
                <c:pt idx="18">
                  <c:v>82.50277777777778</c:v>
                </c:pt>
              </c:numCache>
            </c:numRef>
          </c:val>
          <c:extLst xmlns:c16r2="http://schemas.microsoft.com/office/drawing/2015/06/chart">
            <c:ext xmlns:c16="http://schemas.microsoft.com/office/drawing/2014/chart" uri="{C3380CC4-5D6E-409C-BE32-E72D297353CC}">
              <c16:uniqueId val="{00000002-F146-4C65-A86F-64147D6D0E4D}"/>
            </c:ext>
          </c:extLst>
        </c:ser>
        <c:ser>
          <c:idx val="1"/>
          <c:order val="1"/>
          <c:tx>
            <c:strRef>
              <c:f>'OUTPUT│Outcomes Trends'!$F$6</c:f>
              <c:strCache>
                <c:ptCount val="1"/>
                <c:pt idx="0">
                  <c:v>2016-17</c:v>
                </c:pt>
              </c:strCache>
            </c:strRef>
          </c:tx>
          <c:spPr>
            <a:solidFill>
              <a:schemeClr val="accent3"/>
            </a:solidFill>
            <a:ln>
              <a:noFill/>
            </a:ln>
            <a:effectLst/>
          </c:spPr>
          <c:invertIfNegative val="0"/>
          <c:dPt>
            <c:idx val="18"/>
            <c:invertIfNegative val="0"/>
            <c:bubble3D val="0"/>
            <c:spPr>
              <a:solidFill>
                <a:srgbClr val="6995D2"/>
              </a:solidFill>
              <a:ln>
                <a:noFill/>
              </a:ln>
              <a:effectLst/>
            </c:spPr>
            <c:extLst xmlns:c16r2="http://schemas.microsoft.com/office/drawing/2015/06/chart">
              <c:ext xmlns:c16="http://schemas.microsoft.com/office/drawing/2014/chart" uri="{C3380CC4-5D6E-409C-BE32-E72D297353CC}">
                <c16:uniqueId val="{00000004-F146-4C65-A86F-64147D6D0E4D}"/>
              </c:ext>
            </c:extLst>
          </c:dPt>
          <c:cat>
            <c:strRef>
              <c:f>'OUTPUT│Outcomes Trends'!$D$7:$D$25</c:f>
              <c:strCache>
                <c:ptCount val="19"/>
                <c:pt idx="0">
                  <c:v>ANH</c:v>
                </c:pt>
                <c:pt idx="1">
                  <c:v>PRT</c:v>
                </c:pt>
                <c:pt idx="2">
                  <c:v>UU</c:v>
                </c:pt>
                <c:pt idx="3">
                  <c:v>SWT</c:v>
                </c:pt>
                <c:pt idx="4">
                  <c:v>SBW</c:v>
                </c:pt>
                <c:pt idx="5">
                  <c:v>WSX</c:v>
                </c:pt>
                <c:pt idx="6">
                  <c:v>WSH</c:v>
                </c:pt>
                <c:pt idx="7">
                  <c:v>SSC</c:v>
                </c:pt>
                <c:pt idx="8">
                  <c:v>NES</c:v>
                </c:pt>
                <c:pt idx="9">
                  <c:v>SEW</c:v>
                </c:pt>
                <c:pt idx="10">
                  <c:v>BRL</c:v>
                </c:pt>
                <c:pt idx="11">
                  <c:v>YKY</c:v>
                </c:pt>
                <c:pt idx="12">
                  <c:v>SVE</c:v>
                </c:pt>
                <c:pt idx="13">
                  <c:v>AFW</c:v>
                </c:pt>
                <c:pt idx="14">
                  <c:v>SES</c:v>
                </c:pt>
                <c:pt idx="15">
                  <c:v>SRN</c:v>
                </c:pt>
                <c:pt idx="16">
                  <c:v>HDD</c:v>
                </c:pt>
                <c:pt idx="17">
                  <c:v>TMS</c:v>
                </c:pt>
                <c:pt idx="18">
                  <c:v>Industry</c:v>
                </c:pt>
              </c:strCache>
            </c:strRef>
          </c:cat>
          <c:val>
            <c:numRef>
              <c:f>'OUTPUT│Outcomes Trends'!$F$7:$F$25</c:f>
              <c:numCache>
                <c:formatCode>0.00</c:formatCode>
                <c:ptCount val="19"/>
                <c:pt idx="0">
                  <c:v>85.64</c:v>
                </c:pt>
                <c:pt idx="1">
                  <c:v>87.68</c:v>
                </c:pt>
                <c:pt idx="2">
                  <c:v>85.44</c:v>
                </c:pt>
                <c:pt idx="3">
                  <c:v>81.64</c:v>
                </c:pt>
                <c:pt idx="4">
                  <c:v>86.314999999999998</c:v>
                </c:pt>
                <c:pt idx="5">
                  <c:v>87.55</c:v>
                </c:pt>
                <c:pt idx="6">
                  <c:v>82.86</c:v>
                </c:pt>
                <c:pt idx="7">
                  <c:v>84.4</c:v>
                </c:pt>
                <c:pt idx="8">
                  <c:v>87.53</c:v>
                </c:pt>
                <c:pt idx="9">
                  <c:v>84.6</c:v>
                </c:pt>
                <c:pt idx="10">
                  <c:v>85.9</c:v>
                </c:pt>
                <c:pt idx="11">
                  <c:v>83.4</c:v>
                </c:pt>
                <c:pt idx="12">
                  <c:v>83.61</c:v>
                </c:pt>
                <c:pt idx="13">
                  <c:v>78.510000000000005</c:v>
                </c:pt>
                <c:pt idx="14">
                  <c:v>79.599999999999994</c:v>
                </c:pt>
                <c:pt idx="15">
                  <c:v>78.13</c:v>
                </c:pt>
                <c:pt idx="16">
                  <c:v>85.98</c:v>
                </c:pt>
                <c:pt idx="17">
                  <c:v>77.264009835474994</c:v>
                </c:pt>
                <c:pt idx="18">
                  <c:v>83.669389435304169</c:v>
                </c:pt>
              </c:numCache>
            </c:numRef>
          </c:val>
          <c:extLst xmlns:c16r2="http://schemas.microsoft.com/office/drawing/2015/06/chart">
            <c:ext xmlns:c16="http://schemas.microsoft.com/office/drawing/2014/chart" uri="{C3380CC4-5D6E-409C-BE32-E72D297353CC}">
              <c16:uniqueId val="{00000005-F146-4C65-A86F-64147D6D0E4D}"/>
            </c:ext>
          </c:extLst>
        </c:ser>
        <c:ser>
          <c:idx val="2"/>
          <c:order val="2"/>
          <c:tx>
            <c:strRef>
              <c:f>'OUTPUT│Outcomes Trends'!$G$6</c:f>
              <c:strCache>
                <c:ptCount val="1"/>
                <c:pt idx="0">
                  <c:v>2017-18</c:v>
                </c:pt>
              </c:strCache>
            </c:strRef>
          </c:tx>
          <c:spPr>
            <a:solidFill>
              <a:schemeClr val="accent4"/>
            </a:solidFill>
            <a:ln>
              <a:noFill/>
            </a:ln>
            <a:effectLst/>
          </c:spPr>
          <c:invertIfNegative val="0"/>
          <c:dPt>
            <c:idx val="18"/>
            <c:invertIfNegative val="0"/>
            <c:bubble3D val="0"/>
            <c:spPr>
              <a:solidFill>
                <a:srgbClr val="0070BC"/>
              </a:solidFill>
              <a:ln>
                <a:noFill/>
              </a:ln>
              <a:effectLst/>
            </c:spPr>
            <c:extLst xmlns:c16r2="http://schemas.microsoft.com/office/drawing/2015/06/chart">
              <c:ext xmlns:c16="http://schemas.microsoft.com/office/drawing/2014/chart" uri="{C3380CC4-5D6E-409C-BE32-E72D297353CC}">
                <c16:uniqueId val="{00000007-F146-4C65-A86F-64147D6D0E4D}"/>
              </c:ext>
            </c:extLst>
          </c:dPt>
          <c:cat>
            <c:strRef>
              <c:f>'OUTPUT│Outcomes Trends'!$D$7:$D$25</c:f>
              <c:strCache>
                <c:ptCount val="19"/>
                <c:pt idx="0">
                  <c:v>ANH</c:v>
                </c:pt>
                <c:pt idx="1">
                  <c:v>PRT</c:v>
                </c:pt>
                <c:pt idx="2">
                  <c:v>UU</c:v>
                </c:pt>
                <c:pt idx="3">
                  <c:v>SWT</c:v>
                </c:pt>
                <c:pt idx="4">
                  <c:v>SBW</c:v>
                </c:pt>
                <c:pt idx="5">
                  <c:v>WSX</c:v>
                </c:pt>
                <c:pt idx="6">
                  <c:v>WSH</c:v>
                </c:pt>
                <c:pt idx="7">
                  <c:v>SSC</c:v>
                </c:pt>
                <c:pt idx="8">
                  <c:v>NES</c:v>
                </c:pt>
                <c:pt idx="9">
                  <c:v>SEW</c:v>
                </c:pt>
                <c:pt idx="10">
                  <c:v>BRL</c:v>
                </c:pt>
                <c:pt idx="11">
                  <c:v>YKY</c:v>
                </c:pt>
                <c:pt idx="12">
                  <c:v>SVE</c:v>
                </c:pt>
                <c:pt idx="13">
                  <c:v>AFW</c:v>
                </c:pt>
                <c:pt idx="14">
                  <c:v>SES</c:v>
                </c:pt>
                <c:pt idx="15">
                  <c:v>SRN</c:v>
                </c:pt>
                <c:pt idx="16">
                  <c:v>HDD</c:v>
                </c:pt>
                <c:pt idx="17">
                  <c:v>TMS</c:v>
                </c:pt>
                <c:pt idx="18">
                  <c:v>Industry</c:v>
                </c:pt>
              </c:strCache>
            </c:strRef>
          </c:cat>
          <c:val>
            <c:numRef>
              <c:f>'OUTPUT│Outcomes Trends'!$G$7:$G$25</c:f>
              <c:numCache>
                <c:formatCode>0.00</c:formatCode>
                <c:ptCount val="19"/>
                <c:pt idx="0">
                  <c:v>88.37</c:v>
                </c:pt>
                <c:pt idx="1">
                  <c:v>87.9</c:v>
                </c:pt>
                <c:pt idx="2">
                  <c:v>86.873881667676727</c:v>
                </c:pt>
                <c:pt idx="3">
                  <c:v>84.54849999999999</c:v>
                </c:pt>
                <c:pt idx="4">
                  <c:v>87.608999999999995</c:v>
                </c:pt>
                <c:pt idx="5">
                  <c:v>86.89</c:v>
                </c:pt>
                <c:pt idx="6">
                  <c:v>84.64</c:v>
                </c:pt>
                <c:pt idx="7">
                  <c:v>87.03</c:v>
                </c:pt>
                <c:pt idx="8">
                  <c:v>86.39</c:v>
                </c:pt>
                <c:pt idx="9">
                  <c:v>85.6</c:v>
                </c:pt>
                <c:pt idx="10">
                  <c:v>83.38</c:v>
                </c:pt>
                <c:pt idx="11">
                  <c:v>84.27</c:v>
                </c:pt>
                <c:pt idx="12">
                  <c:v>83.2</c:v>
                </c:pt>
                <c:pt idx="13">
                  <c:v>80.909102903993897</c:v>
                </c:pt>
                <c:pt idx="14">
                  <c:v>78.7</c:v>
                </c:pt>
                <c:pt idx="15">
                  <c:v>79.33</c:v>
                </c:pt>
                <c:pt idx="16">
                  <c:v>86.5</c:v>
                </c:pt>
                <c:pt idx="17">
                  <c:v>78.428740527351835</c:v>
                </c:pt>
                <c:pt idx="18">
                  <c:v>84.476068061056793</c:v>
                </c:pt>
              </c:numCache>
            </c:numRef>
          </c:val>
          <c:extLst xmlns:c16r2="http://schemas.microsoft.com/office/drawing/2015/06/chart">
            <c:ext xmlns:c16="http://schemas.microsoft.com/office/drawing/2014/chart" uri="{C3380CC4-5D6E-409C-BE32-E72D297353CC}">
              <c16:uniqueId val="{00000008-F146-4C65-A86F-64147D6D0E4D}"/>
            </c:ext>
          </c:extLst>
        </c:ser>
        <c:ser>
          <c:idx val="3"/>
          <c:order val="3"/>
          <c:tx>
            <c:strRef>
              <c:f>'OUTPUT│Outcomes Trends'!$H$6</c:f>
              <c:strCache>
                <c:ptCount val="1"/>
                <c:pt idx="0">
                  <c:v>2018-19</c:v>
                </c:pt>
              </c:strCache>
            </c:strRef>
          </c:tx>
          <c:spPr>
            <a:solidFill>
              <a:schemeClr val="accent5"/>
            </a:solidFill>
            <a:ln>
              <a:noFill/>
            </a:ln>
            <a:effectLst/>
          </c:spPr>
          <c:invertIfNegative val="0"/>
          <c:dPt>
            <c:idx val="18"/>
            <c:invertIfNegative val="0"/>
            <c:bubble3D val="0"/>
            <c:spPr>
              <a:solidFill>
                <a:srgbClr val="005D9D"/>
              </a:solidFill>
              <a:ln>
                <a:noFill/>
              </a:ln>
              <a:effectLst/>
            </c:spPr>
            <c:extLst xmlns:c16r2="http://schemas.microsoft.com/office/drawing/2015/06/chart">
              <c:ext xmlns:c16="http://schemas.microsoft.com/office/drawing/2014/chart" uri="{C3380CC4-5D6E-409C-BE32-E72D297353CC}">
                <c16:uniqueId val="{0000000A-F146-4C65-A86F-64147D6D0E4D}"/>
              </c:ext>
            </c:extLst>
          </c:dPt>
          <c:cat>
            <c:strRef>
              <c:f>'OUTPUT│Outcomes Trends'!$D$7:$D$25</c:f>
              <c:strCache>
                <c:ptCount val="19"/>
                <c:pt idx="0">
                  <c:v>ANH</c:v>
                </c:pt>
                <c:pt idx="1">
                  <c:v>PRT</c:v>
                </c:pt>
                <c:pt idx="2">
                  <c:v>UU</c:v>
                </c:pt>
                <c:pt idx="3">
                  <c:v>SWT</c:v>
                </c:pt>
                <c:pt idx="4">
                  <c:v>SBW</c:v>
                </c:pt>
                <c:pt idx="5">
                  <c:v>WSX</c:v>
                </c:pt>
                <c:pt idx="6">
                  <c:v>WSH</c:v>
                </c:pt>
                <c:pt idx="7">
                  <c:v>SSC</c:v>
                </c:pt>
                <c:pt idx="8">
                  <c:v>NES</c:v>
                </c:pt>
                <c:pt idx="9">
                  <c:v>SEW</c:v>
                </c:pt>
                <c:pt idx="10">
                  <c:v>BRL</c:v>
                </c:pt>
                <c:pt idx="11">
                  <c:v>YKY</c:v>
                </c:pt>
                <c:pt idx="12">
                  <c:v>SVE</c:v>
                </c:pt>
                <c:pt idx="13">
                  <c:v>AFW</c:v>
                </c:pt>
                <c:pt idx="14">
                  <c:v>SES</c:v>
                </c:pt>
                <c:pt idx="15">
                  <c:v>SRN</c:v>
                </c:pt>
                <c:pt idx="16">
                  <c:v>HDD</c:v>
                </c:pt>
                <c:pt idx="17">
                  <c:v>TMS</c:v>
                </c:pt>
                <c:pt idx="18">
                  <c:v>Industry</c:v>
                </c:pt>
              </c:strCache>
            </c:strRef>
          </c:cat>
          <c:val>
            <c:numRef>
              <c:f>'OUTPUT│Outcomes Trends'!$H$7:$H$25</c:f>
              <c:numCache>
                <c:formatCode>0.00</c:formatCode>
                <c:ptCount val="19"/>
                <c:pt idx="0">
                  <c:v>90.036500000000004</c:v>
                </c:pt>
                <c:pt idx="1">
                  <c:v>89.069000000000003</c:v>
                </c:pt>
                <c:pt idx="2">
                  <c:v>87.639669640685241</c:v>
                </c:pt>
                <c:pt idx="3">
                  <c:v>87.617000000000004</c:v>
                </c:pt>
                <c:pt idx="4">
                  <c:v>87.57</c:v>
                </c:pt>
                <c:pt idx="5">
                  <c:v>87.202624999999998</c:v>
                </c:pt>
                <c:pt idx="6">
                  <c:v>86.884</c:v>
                </c:pt>
                <c:pt idx="7">
                  <c:v>86.404774303995708</c:v>
                </c:pt>
                <c:pt idx="8">
                  <c:v>85.868625000000009</c:v>
                </c:pt>
                <c:pt idx="9">
                  <c:v>85.358499999999992</c:v>
                </c:pt>
                <c:pt idx="10">
                  <c:v>84.711500000000001</c:v>
                </c:pt>
                <c:pt idx="11">
                  <c:v>84.000500000000002</c:v>
                </c:pt>
                <c:pt idx="12">
                  <c:v>81.447664175787068</c:v>
                </c:pt>
                <c:pt idx="13">
                  <c:v>81.200500000000005</c:v>
                </c:pt>
                <c:pt idx="14">
                  <c:v>80.503999999999991</c:v>
                </c:pt>
                <c:pt idx="15">
                  <c:v>80.137</c:v>
                </c:pt>
                <c:pt idx="16">
                  <c:v>78.414339197459626</c:v>
                </c:pt>
                <c:pt idx="17">
                  <c:v>75.026663774526256</c:v>
                </c:pt>
                <c:pt idx="18">
                  <c:v>84.39404783846966</c:v>
                </c:pt>
              </c:numCache>
            </c:numRef>
          </c:val>
          <c:extLst xmlns:c16r2="http://schemas.microsoft.com/office/drawing/2015/06/chart">
            <c:ext xmlns:c16="http://schemas.microsoft.com/office/drawing/2014/chart" uri="{C3380CC4-5D6E-409C-BE32-E72D297353CC}">
              <c16:uniqueId val="{0000000B-F146-4C65-A86F-64147D6D0E4D}"/>
            </c:ext>
          </c:extLst>
        </c:ser>
        <c:dLbls>
          <c:showLegendKey val="0"/>
          <c:showVal val="0"/>
          <c:showCatName val="0"/>
          <c:showSerName val="0"/>
          <c:showPercent val="0"/>
          <c:showBubbleSize val="0"/>
        </c:dLbls>
        <c:gapWidth val="219"/>
        <c:overlap val="-27"/>
        <c:axId val="935366288"/>
        <c:axId val="935373344"/>
      </c:barChart>
      <c:catAx>
        <c:axId val="935366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5373344"/>
        <c:crosses val="autoZero"/>
        <c:auto val="1"/>
        <c:lblAlgn val="ctr"/>
        <c:lblOffset val="100"/>
        <c:noMultiLvlLbl val="0"/>
      </c:catAx>
      <c:valAx>
        <c:axId val="935373344"/>
        <c:scaling>
          <c:orientation val="minMax"/>
          <c:max val="90"/>
          <c:min val="6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53662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'OUTPUT│Outcomes Trends'!$C$258</c:f>
              <c:strCache>
                <c:ptCount val="1"/>
                <c:pt idx="0">
                  <c:v>ANH</c:v>
                </c:pt>
              </c:strCache>
            </c:strRef>
          </c:tx>
          <c:spPr>
            <a:solidFill>
              <a:schemeClr val="tx2"/>
            </a:solidFill>
            <a:ln>
              <a:noFill/>
            </a:ln>
            <a:effectLst/>
          </c:spPr>
          <c:invertIfNegative val="0"/>
          <c:cat>
            <c:strRef>
              <c:f>'OUTPUT│Outcomes Trends'!$D$257:$H$257</c:f>
              <c:strCache>
                <c:ptCount val="5"/>
                <c:pt idx="0">
                  <c:v>2014-15</c:v>
                </c:pt>
                <c:pt idx="1">
                  <c:v>2015-16</c:v>
                </c:pt>
                <c:pt idx="2">
                  <c:v>2016-17</c:v>
                </c:pt>
                <c:pt idx="3">
                  <c:v>2017-18</c:v>
                </c:pt>
                <c:pt idx="4">
                  <c:v>2018-19</c:v>
                </c:pt>
              </c:strCache>
            </c:strRef>
          </c:cat>
          <c:val>
            <c:numRef>
              <c:f>'OUTPUT│Outcomes Trends'!$D$258:$H$258</c:f>
              <c:numCache>
                <c:formatCode>#,##0</c:formatCode>
                <c:ptCount val="5"/>
                <c:pt idx="0">
                  <c:v>475</c:v>
                </c:pt>
                <c:pt idx="1">
                  <c:v>411</c:v>
                </c:pt>
                <c:pt idx="2">
                  <c:v>430</c:v>
                </c:pt>
                <c:pt idx="3">
                  <c:v>396</c:v>
                </c:pt>
                <c:pt idx="4">
                  <c:v>342</c:v>
                </c:pt>
              </c:numCache>
            </c:numRef>
          </c:val>
          <c:extLst xmlns:c16r2="http://schemas.microsoft.com/office/drawing/2015/06/chart">
            <c:ext xmlns:c16="http://schemas.microsoft.com/office/drawing/2014/chart" uri="{C3380CC4-5D6E-409C-BE32-E72D297353CC}">
              <c16:uniqueId val="{00000000-3C27-4EEA-9172-F65161E51898}"/>
            </c:ext>
          </c:extLst>
        </c:ser>
        <c:ser>
          <c:idx val="1"/>
          <c:order val="1"/>
          <c:tx>
            <c:strRef>
              <c:f>'OUTPUT│Outcomes Trends'!$C$259</c:f>
              <c:strCache>
                <c:ptCount val="1"/>
                <c:pt idx="0">
                  <c:v>WSH</c:v>
                </c:pt>
              </c:strCache>
            </c:strRef>
          </c:tx>
          <c:spPr>
            <a:solidFill>
              <a:schemeClr val="accent1"/>
            </a:solidFill>
            <a:ln>
              <a:noFill/>
            </a:ln>
            <a:effectLst/>
          </c:spPr>
          <c:invertIfNegative val="0"/>
          <c:cat>
            <c:strRef>
              <c:f>'OUTPUT│Outcomes Trends'!$D$257:$H$257</c:f>
              <c:strCache>
                <c:ptCount val="5"/>
                <c:pt idx="0">
                  <c:v>2014-15</c:v>
                </c:pt>
                <c:pt idx="1">
                  <c:v>2015-16</c:v>
                </c:pt>
                <c:pt idx="2">
                  <c:v>2016-17</c:v>
                </c:pt>
                <c:pt idx="3">
                  <c:v>2017-18</c:v>
                </c:pt>
                <c:pt idx="4">
                  <c:v>2018-19</c:v>
                </c:pt>
              </c:strCache>
            </c:strRef>
          </c:cat>
          <c:val>
            <c:numRef>
              <c:f>'OUTPUT│Outcomes Trends'!$D$259:$H$259</c:f>
              <c:numCache>
                <c:formatCode>#,##0</c:formatCode>
                <c:ptCount val="5"/>
                <c:pt idx="0">
                  <c:v>265</c:v>
                </c:pt>
                <c:pt idx="1">
                  <c:v>223</c:v>
                </c:pt>
                <c:pt idx="2">
                  <c:v>242</c:v>
                </c:pt>
                <c:pt idx="3">
                  <c:v>221</c:v>
                </c:pt>
                <c:pt idx="4">
                  <c:v>221</c:v>
                </c:pt>
              </c:numCache>
            </c:numRef>
          </c:val>
          <c:extLst xmlns:c16r2="http://schemas.microsoft.com/office/drawing/2015/06/chart">
            <c:ext xmlns:c16="http://schemas.microsoft.com/office/drawing/2014/chart" uri="{C3380CC4-5D6E-409C-BE32-E72D297353CC}">
              <c16:uniqueId val="{00000001-3C27-4EEA-9172-F65161E51898}"/>
            </c:ext>
          </c:extLst>
        </c:ser>
        <c:ser>
          <c:idx val="2"/>
          <c:order val="2"/>
          <c:tx>
            <c:strRef>
              <c:f>'OUTPUT│Outcomes Trends'!$C$260</c:f>
              <c:strCache>
                <c:ptCount val="1"/>
                <c:pt idx="0">
                  <c:v>NES</c:v>
                </c:pt>
              </c:strCache>
            </c:strRef>
          </c:tx>
          <c:spPr>
            <a:solidFill>
              <a:srgbClr val="7FBBE4"/>
            </a:solidFill>
            <a:ln>
              <a:noFill/>
            </a:ln>
            <a:effectLst/>
          </c:spPr>
          <c:invertIfNegative val="0"/>
          <c:cat>
            <c:strRef>
              <c:f>'OUTPUT│Outcomes Trends'!$D$257:$H$257</c:f>
              <c:strCache>
                <c:ptCount val="5"/>
                <c:pt idx="0">
                  <c:v>2014-15</c:v>
                </c:pt>
                <c:pt idx="1">
                  <c:v>2015-16</c:v>
                </c:pt>
                <c:pt idx="2">
                  <c:v>2016-17</c:v>
                </c:pt>
                <c:pt idx="3">
                  <c:v>2017-18</c:v>
                </c:pt>
                <c:pt idx="4">
                  <c:v>2018-19</c:v>
                </c:pt>
              </c:strCache>
            </c:strRef>
          </c:cat>
          <c:val>
            <c:numRef>
              <c:f>'OUTPUT│Outcomes Trends'!$D$260:$H$260</c:f>
              <c:numCache>
                <c:formatCode>#,##0</c:formatCode>
                <c:ptCount val="5"/>
                <c:pt idx="0">
                  <c:v>416</c:v>
                </c:pt>
                <c:pt idx="1">
                  <c:v>362</c:v>
                </c:pt>
                <c:pt idx="2">
                  <c:v>334</c:v>
                </c:pt>
                <c:pt idx="3">
                  <c:v>295</c:v>
                </c:pt>
                <c:pt idx="4">
                  <c:v>370</c:v>
                </c:pt>
              </c:numCache>
            </c:numRef>
          </c:val>
          <c:extLst xmlns:c16r2="http://schemas.microsoft.com/office/drawing/2015/06/chart">
            <c:ext xmlns:c16="http://schemas.microsoft.com/office/drawing/2014/chart" uri="{C3380CC4-5D6E-409C-BE32-E72D297353CC}">
              <c16:uniqueId val="{00000002-3C27-4EEA-9172-F65161E51898}"/>
            </c:ext>
          </c:extLst>
        </c:ser>
        <c:ser>
          <c:idx val="3"/>
          <c:order val="3"/>
          <c:tx>
            <c:strRef>
              <c:f>'OUTPUT│Outcomes Trends'!$C$261</c:f>
              <c:strCache>
                <c:ptCount val="1"/>
                <c:pt idx="0">
                  <c:v>SVE + HDD</c:v>
                </c:pt>
              </c:strCache>
            </c:strRef>
          </c:tx>
          <c:spPr>
            <a:solidFill>
              <a:srgbClr val="BFDDF1"/>
            </a:solidFill>
            <a:ln>
              <a:noFill/>
            </a:ln>
            <a:effectLst/>
          </c:spPr>
          <c:invertIfNegative val="0"/>
          <c:cat>
            <c:strRef>
              <c:f>'OUTPUT│Outcomes Trends'!$D$257:$H$257</c:f>
              <c:strCache>
                <c:ptCount val="5"/>
                <c:pt idx="0">
                  <c:v>2014-15</c:v>
                </c:pt>
                <c:pt idx="1">
                  <c:v>2015-16</c:v>
                </c:pt>
                <c:pt idx="2">
                  <c:v>2016-17</c:v>
                </c:pt>
                <c:pt idx="3">
                  <c:v>2017-18</c:v>
                </c:pt>
                <c:pt idx="4">
                  <c:v>2018-19</c:v>
                </c:pt>
              </c:strCache>
            </c:strRef>
          </c:cat>
          <c:val>
            <c:numRef>
              <c:f>'OUTPUT│Outcomes Trends'!$D$261:$H$261</c:f>
              <c:numCache>
                <c:formatCode>#,##0</c:formatCode>
                <c:ptCount val="5"/>
                <c:pt idx="0">
                  <c:v>1168</c:v>
                </c:pt>
                <c:pt idx="1">
                  <c:v>809</c:v>
                </c:pt>
                <c:pt idx="2">
                  <c:v>901</c:v>
                </c:pt>
                <c:pt idx="3">
                  <c:v>662</c:v>
                </c:pt>
                <c:pt idx="4">
                  <c:v>729</c:v>
                </c:pt>
              </c:numCache>
            </c:numRef>
          </c:val>
          <c:extLst xmlns:c16r2="http://schemas.microsoft.com/office/drawing/2015/06/chart">
            <c:ext xmlns:c16="http://schemas.microsoft.com/office/drawing/2014/chart" uri="{C3380CC4-5D6E-409C-BE32-E72D297353CC}">
              <c16:uniqueId val="{00000003-3C27-4EEA-9172-F65161E51898}"/>
            </c:ext>
          </c:extLst>
        </c:ser>
        <c:ser>
          <c:idx val="4"/>
          <c:order val="4"/>
          <c:tx>
            <c:strRef>
              <c:f>'OUTPUT│Outcomes Trends'!$C$262</c:f>
              <c:strCache>
                <c:ptCount val="1"/>
                <c:pt idx="0">
                  <c:v>SWB</c:v>
                </c:pt>
              </c:strCache>
            </c:strRef>
          </c:tx>
          <c:spPr>
            <a:solidFill>
              <a:schemeClr val="accent5"/>
            </a:solidFill>
            <a:ln>
              <a:noFill/>
            </a:ln>
            <a:effectLst/>
          </c:spPr>
          <c:invertIfNegative val="0"/>
          <c:cat>
            <c:strRef>
              <c:f>'OUTPUT│Outcomes Trends'!$D$257:$H$257</c:f>
              <c:strCache>
                <c:ptCount val="5"/>
                <c:pt idx="0">
                  <c:v>2014-15</c:v>
                </c:pt>
                <c:pt idx="1">
                  <c:v>2015-16</c:v>
                </c:pt>
                <c:pt idx="2">
                  <c:v>2016-17</c:v>
                </c:pt>
                <c:pt idx="3">
                  <c:v>2017-18</c:v>
                </c:pt>
                <c:pt idx="4">
                  <c:v>2018-19</c:v>
                </c:pt>
              </c:strCache>
            </c:strRef>
          </c:cat>
          <c:val>
            <c:numRef>
              <c:f>'OUTPUT│Outcomes Trends'!$D$262:$H$262</c:f>
              <c:numCache>
                <c:formatCode>#,##0</c:formatCode>
                <c:ptCount val="5"/>
                <c:pt idx="0">
                  <c:v>182</c:v>
                </c:pt>
                <c:pt idx="1">
                  <c:v>189</c:v>
                </c:pt>
                <c:pt idx="2">
                  <c:v>165</c:v>
                </c:pt>
                <c:pt idx="3">
                  <c:v>141</c:v>
                </c:pt>
                <c:pt idx="4">
                  <c:v>93</c:v>
                </c:pt>
              </c:numCache>
            </c:numRef>
          </c:val>
          <c:extLst xmlns:c16r2="http://schemas.microsoft.com/office/drawing/2015/06/chart">
            <c:ext xmlns:c16="http://schemas.microsoft.com/office/drawing/2014/chart" uri="{C3380CC4-5D6E-409C-BE32-E72D297353CC}">
              <c16:uniqueId val="{00000004-3C27-4EEA-9172-F65161E51898}"/>
            </c:ext>
          </c:extLst>
        </c:ser>
        <c:ser>
          <c:idx val="5"/>
          <c:order val="5"/>
          <c:tx>
            <c:strRef>
              <c:f>'OUTPUT│Outcomes Trends'!$C$263</c:f>
              <c:strCache>
                <c:ptCount val="1"/>
                <c:pt idx="0">
                  <c:v>SRN</c:v>
                </c:pt>
              </c:strCache>
            </c:strRef>
          </c:tx>
          <c:spPr>
            <a:solidFill>
              <a:srgbClr val="E47FC1"/>
            </a:solidFill>
            <a:ln>
              <a:noFill/>
            </a:ln>
            <a:effectLst/>
          </c:spPr>
          <c:invertIfNegative val="0"/>
          <c:cat>
            <c:strRef>
              <c:f>'OUTPUT│Outcomes Trends'!$D$257:$H$257</c:f>
              <c:strCache>
                <c:ptCount val="5"/>
                <c:pt idx="0">
                  <c:v>2014-15</c:v>
                </c:pt>
                <c:pt idx="1">
                  <c:v>2015-16</c:v>
                </c:pt>
                <c:pt idx="2">
                  <c:v>2016-17</c:v>
                </c:pt>
                <c:pt idx="3">
                  <c:v>2017-18</c:v>
                </c:pt>
                <c:pt idx="4">
                  <c:v>2018-19</c:v>
                </c:pt>
              </c:strCache>
            </c:strRef>
          </c:cat>
          <c:val>
            <c:numRef>
              <c:f>'OUTPUT│Outcomes Trends'!$D$263:$H$263</c:f>
              <c:numCache>
                <c:formatCode>#,##0</c:formatCode>
                <c:ptCount val="5"/>
                <c:pt idx="0">
                  <c:v>487</c:v>
                </c:pt>
                <c:pt idx="1">
                  <c:v>492</c:v>
                </c:pt>
                <c:pt idx="2">
                  <c:v>448</c:v>
                </c:pt>
                <c:pt idx="3">
                  <c:v>401</c:v>
                </c:pt>
                <c:pt idx="4">
                  <c:v>389</c:v>
                </c:pt>
              </c:numCache>
            </c:numRef>
          </c:val>
          <c:extLst xmlns:c16r2="http://schemas.microsoft.com/office/drawing/2015/06/chart">
            <c:ext xmlns:c16="http://schemas.microsoft.com/office/drawing/2014/chart" uri="{C3380CC4-5D6E-409C-BE32-E72D297353CC}">
              <c16:uniqueId val="{00000005-3C27-4EEA-9172-F65161E51898}"/>
            </c:ext>
          </c:extLst>
        </c:ser>
        <c:ser>
          <c:idx val="6"/>
          <c:order val="6"/>
          <c:tx>
            <c:strRef>
              <c:f>'OUTPUT│Outcomes Trends'!$C$264</c:f>
              <c:strCache>
                <c:ptCount val="1"/>
                <c:pt idx="0">
                  <c:v>TMS</c:v>
                </c:pt>
              </c:strCache>
            </c:strRef>
          </c:tx>
          <c:spPr>
            <a:solidFill>
              <a:schemeClr val="accent4"/>
            </a:solidFill>
            <a:ln>
              <a:noFill/>
            </a:ln>
            <a:effectLst/>
          </c:spPr>
          <c:invertIfNegative val="0"/>
          <c:cat>
            <c:strRef>
              <c:f>'OUTPUT│Outcomes Trends'!$D$257:$H$257</c:f>
              <c:strCache>
                <c:ptCount val="5"/>
                <c:pt idx="0">
                  <c:v>2014-15</c:v>
                </c:pt>
                <c:pt idx="1">
                  <c:v>2015-16</c:v>
                </c:pt>
                <c:pt idx="2">
                  <c:v>2016-17</c:v>
                </c:pt>
                <c:pt idx="3">
                  <c:v>2017-18</c:v>
                </c:pt>
                <c:pt idx="4">
                  <c:v>2018-19</c:v>
                </c:pt>
              </c:strCache>
            </c:strRef>
          </c:cat>
          <c:val>
            <c:numRef>
              <c:f>'OUTPUT│Outcomes Trends'!$D$264:$H$264</c:f>
              <c:numCache>
                <c:formatCode>#,##0</c:formatCode>
                <c:ptCount val="5"/>
                <c:pt idx="0">
                  <c:v>1655</c:v>
                </c:pt>
                <c:pt idx="1">
                  <c:v>1403</c:v>
                </c:pt>
                <c:pt idx="2">
                  <c:v>1214</c:v>
                </c:pt>
                <c:pt idx="3">
                  <c:v>1062</c:v>
                </c:pt>
                <c:pt idx="4">
                  <c:v>1032</c:v>
                </c:pt>
              </c:numCache>
            </c:numRef>
          </c:val>
          <c:extLst xmlns:c16r2="http://schemas.microsoft.com/office/drawing/2015/06/chart">
            <c:ext xmlns:c16="http://schemas.microsoft.com/office/drawing/2014/chart" uri="{C3380CC4-5D6E-409C-BE32-E72D297353CC}">
              <c16:uniqueId val="{00000006-3C27-4EEA-9172-F65161E51898}"/>
            </c:ext>
          </c:extLst>
        </c:ser>
        <c:ser>
          <c:idx val="7"/>
          <c:order val="7"/>
          <c:tx>
            <c:strRef>
              <c:f>'OUTPUT│Outcomes Trends'!$C$265</c:f>
              <c:strCache>
                <c:ptCount val="1"/>
                <c:pt idx="0">
                  <c:v>UU</c:v>
                </c:pt>
              </c:strCache>
            </c:strRef>
          </c:tx>
          <c:spPr>
            <a:solidFill>
              <a:schemeClr val="accent3"/>
            </a:solidFill>
            <a:ln>
              <a:noFill/>
            </a:ln>
            <a:effectLst/>
          </c:spPr>
          <c:invertIfNegative val="0"/>
          <c:cat>
            <c:strRef>
              <c:f>'OUTPUT│Outcomes Trends'!$D$257:$H$257</c:f>
              <c:strCache>
                <c:ptCount val="5"/>
                <c:pt idx="0">
                  <c:v>2014-15</c:v>
                </c:pt>
                <c:pt idx="1">
                  <c:v>2015-16</c:v>
                </c:pt>
                <c:pt idx="2">
                  <c:v>2016-17</c:v>
                </c:pt>
                <c:pt idx="3">
                  <c:v>2017-18</c:v>
                </c:pt>
                <c:pt idx="4">
                  <c:v>2018-19</c:v>
                </c:pt>
              </c:strCache>
            </c:strRef>
          </c:cat>
          <c:val>
            <c:numRef>
              <c:f>'OUTPUT│Outcomes Trends'!$D$265:$H$265</c:f>
              <c:numCache>
                <c:formatCode>#,##0</c:formatCode>
                <c:ptCount val="5"/>
                <c:pt idx="0">
                  <c:v>808</c:v>
                </c:pt>
                <c:pt idx="1">
                  <c:v>986</c:v>
                </c:pt>
                <c:pt idx="2">
                  <c:v>941</c:v>
                </c:pt>
                <c:pt idx="3">
                  <c:v>650</c:v>
                </c:pt>
                <c:pt idx="4">
                  <c:v>566</c:v>
                </c:pt>
              </c:numCache>
            </c:numRef>
          </c:val>
          <c:extLst xmlns:c16r2="http://schemas.microsoft.com/office/drawing/2015/06/chart">
            <c:ext xmlns:c16="http://schemas.microsoft.com/office/drawing/2014/chart" uri="{C3380CC4-5D6E-409C-BE32-E72D297353CC}">
              <c16:uniqueId val="{00000007-3C27-4EEA-9172-F65161E51898}"/>
            </c:ext>
          </c:extLst>
        </c:ser>
        <c:ser>
          <c:idx val="8"/>
          <c:order val="8"/>
          <c:tx>
            <c:strRef>
              <c:f>'OUTPUT│Outcomes Trends'!$C$266</c:f>
              <c:strCache>
                <c:ptCount val="1"/>
                <c:pt idx="0">
                  <c:v>WSX</c:v>
                </c:pt>
              </c:strCache>
            </c:strRef>
          </c:tx>
          <c:spPr>
            <a:solidFill>
              <a:srgbClr val="FCEABF"/>
            </a:solidFill>
            <a:ln>
              <a:noFill/>
            </a:ln>
            <a:effectLst/>
          </c:spPr>
          <c:invertIfNegative val="0"/>
          <c:cat>
            <c:strRef>
              <c:f>'OUTPUT│Outcomes Trends'!$D$257:$H$257</c:f>
              <c:strCache>
                <c:ptCount val="5"/>
                <c:pt idx="0">
                  <c:v>2014-15</c:v>
                </c:pt>
                <c:pt idx="1">
                  <c:v>2015-16</c:v>
                </c:pt>
                <c:pt idx="2">
                  <c:v>2016-17</c:v>
                </c:pt>
                <c:pt idx="3">
                  <c:v>2017-18</c:v>
                </c:pt>
                <c:pt idx="4">
                  <c:v>2018-19</c:v>
                </c:pt>
              </c:strCache>
            </c:strRef>
          </c:cat>
          <c:val>
            <c:numRef>
              <c:f>'OUTPUT│Outcomes Trends'!$D$266:$H$266</c:f>
              <c:numCache>
                <c:formatCode>#,##0</c:formatCode>
                <c:ptCount val="5"/>
                <c:pt idx="0">
                  <c:v>140</c:v>
                </c:pt>
                <c:pt idx="1">
                  <c:v>167</c:v>
                </c:pt>
                <c:pt idx="2">
                  <c:v>148</c:v>
                </c:pt>
                <c:pt idx="3">
                  <c:v>151</c:v>
                </c:pt>
                <c:pt idx="4">
                  <c:v>179</c:v>
                </c:pt>
              </c:numCache>
            </c:numRef>
          </c:val>
          <c:extLst xmlns:c16r2="http://schemas.microsoft.com/office/drawing/2015/06/chart">
            <c:ext xmlns:c16="http://schemas.microsoft.com/office/drawing/2014/chart" uri="{C3380CC4-5D6E-409C-BE32-E72D297353CC}">
              <c16:uniqueId val="{00000008-3C27-4EEA-9172-F65161E51898}"/>
            </c:ext>
          </c:extLst>
        </c:ser>
        <c:ser>
          <c:idx val="9"/>
          <c:order val="9"/>
          <c:tx>
            <c:strRef>
              <c:f>'OUTPUT│Outcomes Trends'!$C$267</c:f>
              <c:strCache>
                <c:ptCount val="1"/>
                <c:pt idx="0">
                  <c:v>YKY</c:v>
                </c:pt>
              </c:strCache>
            </c:strRef>
          </c:tx>
          <c:spPr>
            <a:solidFill>
              <a:schemeClr val="accent2"/>
            </a:solidFill>
            <a:ln>
              <a:noFill/>
            </a:ln>
            <a:effectLst/>
          </c:spPr>
          <c:invertIfNegative val="0"/>
          <c:cat>
            <c:strRef>
              <c:f>'OUTPUT│Outcomes Trends'!$D$257:$H$257</c:f>
              <c:strCache>
                <c:ptCount val="5"/>
                <c:pt idx="0">
                  <c:v>2014-15</c:v>
                </c:pt>
                <c:pt idx="1">
                  <c:v>2015-16</c:v>
                </c:pt>
                <c:pt idx="2">
                  <c:v>2016-17</c:v>
                </c:pt>
                <c:pt idx="3">
                  <c:v>2017-18</c:v>
                </c:pt>
                <c:pt idx="4">
                  <c:v>2018-19</c:v>
                </c:pt>
              </c:strCache>
            </c:strRef>
          </c:cat>
          <c:val>
            <c:numRef>
              <c:f>'OUTPUT│Outcomes Trends'!$D$267:$H$267</c:f>
              <c:numCache>
                <c:formatCode>#,##0</c:formatCode>
                <c:ptCount val="5"/>
                <c:pt idx="0">
                  <c:v>1947</c:v>
                </c:pt>
                <c:pt idx="1">
                  <c:v>1842</c:v>
                </c:pt>
                <c:pt idx="2">
                  <c:v>1769</c:v>
                </c:pt>
                <c:pt idx="3">
                  <c:v>1682</c:v>
                </c:pt>
                <c:pt idx="4">
                  <c:v>1692</c:v>
                </c:pt>
              </c:numCache>
            </c:numRef>
          </c:val>
          <c:extLst xmlns:c16r2="http://schemas.microsoft.com/office/drawing/2015/06/chart">
            <c:ext xmlns:c16="http://schemas.microsoft.com/office/drawing/2014/chart" uri="{C3380CC4-5D6E-409C-BE32-E72D297353CC}">
              <c16:uniqueId val="{00000009-3C27-4EEA-9172-F65161E51898}"/>
            </c:ext>
          </c:extLst>
        </c:ser>
        <c:dLbls>
          <c:showLegendKey val="0"/>
          <c:showVal val="0"/>
          <c:showCatName val="0"/>
          <c:showSerName val="0"/>
          <c:showPercent val="0"/>
          <c:showBubbleSize val="0"/>
        </c:dLbls>
        <c:gapWidth val="100"/>
        <c:overlap val="100"/>
        <c:axId val="427355792"/>
        <c:axId val="427351872"/>
      </c:barChart>
      <c:catAx>
        <c:axId val="427355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7351872"/>
        <c:crosses val="autoZero"/>
        <c:auto val="1"/>
        <c:lblAlgn val="ctr"/>
        <c:lblOffset val="100"/>
        <c:noMultiLvlLbl val="0"/>
      </c:catAx>
      <c:valAx>
        <c:axId val="427351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Incidents (000s)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7355792"/>
        <c:crosses val="autoZero"/>
        <c:crossBetween val="between"/>
        <c:dispUnits>
          <c:builtInUnit val="thousands"/>
        </c:dispUnits>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2"/>
            </a:solidFill>
            <a:ln>
              <a:noFill/>
            </a:ln>
            <a:effectLst/>
          </c:spPr>
          <c:invertIfNegative val="0"/>
          <c:dPt>
            <c:idx val="18"/>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1-D3AD-4AC2-8127-91A745D0BE3A}"/>
              </c:ext>
            </c:extLst>
          </c:dPt>
          <c:cat>
            <c:strRef>
              <c:f>'OUTPUT│Outcomes Trends'!$D$30:$D$48</c:f>
              <c:strCache>
                <c:ptCount val="19"/>
                <c:pt idx="0">
                  <c:v>SWT</c:v>
                </c:pt>
                <c:pt idx="1">
                  <c:v>SRN</c:v>
                </c:pt>
                <c:pt idx="2">
                  <c:v>UU</c:v>
                </c:pt>
                <c:pt idx="3">
                  <c:v>ANH</c:v>
                </c:pt>
                <c:pt idx="4">
                  <c:v>AFW</c:v>
                </c:pt>
                <c:pt idx="5">
                  <c:v>WSH</c:v>
                </c:pt>
                <c:pt idx="6">
                  <c:v>SEW</c:v>
                </c:pt>
                <c:pt idx="7">
                  <c:v>NES</c:v>
                </c:pt>
                <c:pt idx="8">
                  <c:v>YKY</c:v>
                </c:pt>
                <c:pt idx="9">
                  <c:v>SBW</c:v>
                </c:pt>
                <c:pt idx="10">
                  <c:v>SSC</c:v>
                </c:pt>
                <c:pt idx="11">
                  <c:v>WSX</c:v>
                </c:pt>
                <c:pt idx="12">
                  <c:v>SES</c:v>
                </c:pt>
                <c:pt idx="13">
                  <c:v>BRL</c:v>
                </c:pt>
                <c:pt idx="14">
                  <c:v>PRT</c:v>
                </c:pt>
                <c:pt idx="15">
                  <c:v>TMS</c:v>
                </c:pt>
                <c:pt idx="16">
                  <c:v>SVE</c:v>
                </c:pt>
                <c:pt idx="17">
                  <c:v>HDD</c:v>
                </c:pt>
                <c:pt idx="18">
                  <c:v>Industry</c:v>
                </c:pt>
              </c:strCache>
            </c:strRef>
          </c:cat>
          <c:val>
            <c:numRef>
              <c:f>'OUTPUT│Outcomes Trends'!$E$30:$E$48</c:f>
              <c:numCache>
                <c:formatCode>0.00</c:formatCode>
                <c:ptCount val="19"/>
                <c:pt idx="0">
                  <c:v>9.0170000000000101</c:v>
                </c:pt>
                <c:pt idx="1">
                  <c:v>7.1370000000000005</c:v>
                </c:pt>
                <c:pt idx="2">
                  <c:v>6.0896696406852442</c:v>
                </c:pt>
                <c:pt idx="3">
                  <c:v>4.9164999999999992</c:v>
                </c:pt>
                <c:pt idx="4">
                  <c:v>4.4705000000000013</c:v>
                </c:pt>
                <c:pt idx="5">
                  <c:v>3.8840000000000003</c:v>
                </c:pt>
                <c:pt idx="6">
                  <c:v>3.4084999999999894</c:v>
                </c:pt>
                <c:pt idx="7">
                  <c:v>2.2286250000000081</c:v>
                </c:pt>
                <c:pt idx="8">
                  <c:v>1.4005000000000081</c:v>
                </c:pt>
                <c:pt idx="9">
                  <c:v>1.3699999999999903</c:v>
                </c:pt>
                <c:pt idx="10">
                  <c:v>0.10477430399571119</c:v>
                </c:pt>
                <c:pt idx="11">
                  <c:v>0.1026250000000033</c:v>
                </c:pt>
                <c:pt idx="12">
                  <c:v>-0.29600000000000648</c:v>
                </c:pt>
                <c:pt idx="13">
                  <c:v>-0.38849999999999341</c:v>
                </c:pt>
                <c:pt idx="14">
                  <c:v>-0.43099999999999739</c:v>
                </c:pt>
                <c:pt idx="15">
                  <c:v>-1.7133362254737392</c:v>
                </c:pt>
                <c:pt idx="16">
                  <c:v>-2.2523358242129348</c:v>
                </c:pt>
                <c:pt idx="17">
                  <c:v>-5.0056608025403762</c:v>
                </c:pt>
                <c:pt idx="18">
                  <c:v>1.8912700606918804</c:v>
                </c:pt>
              </c:numCache>
            </c:numRef>
          </c:val>
          <c:extLst xmlns:c16r2="http://schemas.microsoft.com/office/drawing/2015/06/chart">
            <c:ext xmlns:c16="http://schemas.microsoft.com/office/drawing/2014/chart" uri="{C3380CC4-5D6E-409C-BE32-E72D297353CC}">
              <c16:uniqueId val="{00000002-D3AD-4AC2-8127-91A745D0BE3A}"/>
            </c:ext>
          </c:extLst>
        </c:ser>
        <c:dLbls>
          <c:showLegendKey val="0"/>
          <c:showVal val="0"/>
          <c:showCatName val="0"/>
          <c:showSerName val="0"/>
          <c:showPercent val="0"/>
          <c:showBubbleSize val="0"/>
        </c:dLbls>
        <c:gapWidth val="150"/>
        <c:overlap val="-27"/>
        <c:axId val="427356184"/>
        <c:axId val="427357752"/>
      </c:barChart>
      <c:catAx>
        <c:axId val="42735618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7357752"/>
        <c:crosses val="autoZero"/>
        <c:auto val="1"/>
        <c:lblAlgn val="ctr"/>
        <c:lblOffset val="100"/>
        <c:noMultiLvlLbl val="0"/>
      </c:catAx>
      <c:valAx>
        <c:axId val="427357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Change in SIM</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7356184"/>
        <c:crosses val="autoZero"/>
        <c:crossBetween val="between"/>
      </c:valAx>
      <c:spPr>
        <a:noFill/>
        <a:ln>
          <a:noFill/>
        </a:ln>
        <a:effectLst/>
      </c:spPr>
    </c:plotArea>
    <c:plotVisOnly val="0"/>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10"/>
            <c:invertIfNegative val="0"/>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1-8205-4E88-BA86-7B716AB7EFCB}"/>
              </c:ext>
            </c:extLst>
          </c:dPt>
          <c:cat>
            <c:strRef>
              <c:f>'OUTPUT│Outcomes Trends'!$D$277:$D$287</c:f>
              <c:strCache>
                <c:ptCount val="11"/>
                <c:pt idx="0">
                  <c:v>SWB</c:v>
                </c:pt>
                <c:pt idx="1">
                  <c:v>SVE</c:v>
                </c:pt>
                <c:pt idx="2">
                  <c:v>TMS</c:v>
                </c:pt>
                <c:pt idx="3">
                  <c:v>UU</c:v>
                </c:pt>
                <c:pt idx="4">
                  <c:v>ANH</c:v>
                </c:pt>
                <c:pt idx="5">
                  <c:v>SRN</c:v>
                </c:pt>
                <c:pt idx="6">
                  <c:v>WSH</c:v>
                </c:pt>
                <c:pt idx="7">
                  <c:v>YKY</c:v>
                </c:pt>
                <c:pt idx="8">
                  <c:v>NES</c:v>
                </c:pt>
                <c:pt idx="9">
                  <c:v>WSX</c:v>
                </c:pt>
                <c:pt idx="10">
                  <c:v>Industry</c:v>
                </c:pt>
              </c:strCache>
            </c:strRef>
          </c:cat>
          <c:val>
            <c:numRef>
              <c:f>'OUTPUT│Outcomes Trends'!$E$277:$E$287</c:f>
              <c:numCache>
                <c:formatCode>0.0%</c:formatCode>
                <c:ptCount val="11"/>
                <c:pt idx="0">
                  <c:v>-0.48901098901098899</c:v>
                </c:pt>
                <c:pt idx="1">
                  <c:v>-0.37928082191780821</c:v>
                </c:pt>
                <c:pt idx="2">
                  <c:v>-0.37643504531722055</c:v>
                </c:pt>
                <c:pt idx="3">
                  <c:v>-0.29950495049504949</c:v>
                </c:pt>
                <c:pt idx="4">
                  <c:v>-0.28000000000000003</c:v>
                </c:pt>
                <c:pt idx="5">
                  <c:v>-0.20123203285420946</c:v>
                </c:pt>
                <c:pt idx="6">
                  <c:v>-0.16603773584905659</c:v>
                </c:pt>
                <c:pt idx="7">
                  <c:v>-0.13097072419106318</c:v>
                </c:pt>
                <c:pt idx="8">
                  <c:v>-0.11057692307692307</c:v>
                </c:pt>
                <c:pt idx="9">
                  <c:v>0.27857142857142858</c:v>
                </c:pt>
                <c:pt idx="10">
                  <c:v>-0.25586636616730746</c:v>
                </c:pt>
              </c:numCache>
            </c:numRef>
          </c:val>
          <c:extLst xmlns:c16r2="http://schemas.microsoft.com/office/drawing/2015/06/chart">
            <c:ext xmlns:c16="http://schemas.microsoft.com/office/drawing/2014/chart" uri="{C3380CC4-5D6E-409C-BE32-E72D297353CC}">
              <c16:uniqueId val="{00000002-8205-4E88-BA86-7B716AB7EFCB}"/>
            </c:ext>
          </c:extLst>
        </c:ser>
        <c:dLbls>
          <c:showLegendKey val="0"/>
          <c:showVal val="0"/>
          <c:showCatName val="0"/>
          <c:showSerName val="0"/>
          <c:showPercent val="0"/>
          <c:showBubbleSize val="0"/>
        </c:dLbls>
        <c:gapWidth val="150"/>
        <c:overlap val="-27"/>
        <c:axId val="427355400"/>
        <c:axId val="427353832"/>
      </c:barChart>
      <c:catAx>
        <c:axId val="42735540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7353832"/>
        <c:crosses val="autoZero"/>
        <c:auto val="1"/>
        <c:lblAlgn val="ctr"/>
        <c:lblOffset val="100"/>
        <c:noMultiLvlLbl val="0"/>
      </c:catAx>
      <c:valAx>
        <c:axId val="427353832"/>
        <c:scaling>
          <c:orientation val="minMax"/>
          <c:max val="0.30000000000000004"/>
          <c:min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7355400"/>
        <c:crosses val="autoZero"/>
        <c:crossBetween val="between"/>
      </c:valAx>
      <c:spPr>
        <a:noFill/>
        <a:ln>
          <a:noFill/>
        </a:ln>
        <a:effectLst/>
      </c:spPr>
    </c:plotArea>
    <c:plotVisOnly val="0"/>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'OUTPUT│Outcomes Trends'!$E$54</c:f>
              <c:strCache>
                <c:ptCount val="1"/>
                <c:pt idx="0">
                  <c:v>Leakage</c:v>
                </c:pt>
              </c:strCache>
            </c:strRef>
          </c:tx>
          <c:spPr>
            <a:solidFill>
              <a:schemeClr val="accent1"/>
            </a:solidFill>
            <a:ln>
              <a:noFill/>
            </a:ln>
            <a:effectLst/>
          </c:spPr>
          <c:invertIfNegative val="0"/>
          <c:cat>
            <c:strRef>
              <c:f>'OUTPUT│Outcomes Trends'!$D$55:$D$76</c:f>
              <c:strCache>
                <c:ptCount val="22"/>
                <c:pt idx="0">
                  <c:v>UU</c:v>
                </c:pt>
                <c:pt idx="1">
                  <c:v>ANH</c:v>
                </c:pt>
                <c:pt idx="2">
                  <c:v>YKY</c:v>
                </c:pt>
                <c:pt idx="3">
                  <c:v>SWB</c:v>
                </c:pt>
                <c:pt idx="4">
                  <c:v>WSX</c:v>
                </c:pt>
                <c:pt idx="5">
                  <c:v>SSC</c:v>
                </c:pt>
                <c:pt idx="6">
                  <c:v>SEW</c:v>
                </c:pt>
                <c:pt idx="7">
                  <c:v>SES</c:v>
                </c:pt>
                <c:pt idx="8">
                  <c:v>SRN</c:v>
                </c:pt>
                <c:pt idx="9">
                  <c:v>WSH</c:v>
                </c:pt>
                <c:pt idx="10">
                  <c:v>PRT</c:v>
                </c:pt>
                <c:pt idx="11">
                  <c:v>HDD</c:v>
                </c:pt>
                <c:pt idx="12">
                  <c:v>NES</c:v>
                </c:pt>
                <c:pt idx="13">
                  <c:v>SVE</c:v>
                </c:pt>
                <c:pt idx="14">
                  <c:v>BRL</c:v>
                </c:pt>
                <c:pt idx="15">
                  <c:v>AFW</c:v>
                </c:pt>
                <c:pt idx="16">
                  <c:v>TMS</c:v>
                </c:pt>
                <c:pt idx="18">
                  <c:v>Sector 2015-16</c:v>
                </c:pt>
                <c:pt idx="19">
                  <c:v>Sector 2016-17</c:v>
                </c:pt>
                <c:pt idx="20">
                  <c:v>Sector 2017-18</c:v>
                </c:pt>
                <c:pt idx="21">
                  <c:v>Sector 2018-19</c:v>
                </c:pt>
              </c:strCache>
            </c:strRef>
          </c:cat>
          <c:val>
            <c:numRef>
              <c:f>'OUTPUT│Outcomes Trends'!$E$55:$E$76</c:f>
              <c:numCache>
                <c:formatCode>#,##0.00;\-#,##0.00;\-</c:formatCode>
                <c:ptCount val="22"/>
                <c:pt idx="0">
                  <c:v>0</c:v>
                </c:pt>
                <c:pt idx="1">
                  <c:v>3.09</c:v>
                </c:pt>
                <c:pt idx="2">
                  <c:v>0</c:v>
                </c:pt>
                <c:pt idx="3">
                  <c:v>0</c:v>
                </c:pt>
                <c:pt idx="4">
                  <c:v>0</c:v>
                </c:pt>
                <c:pt idx="5">
                  <c:v>0</c:v>
                </c:pt>
                <c:pt idx="6">
                  <c:v>0.37799999999999639</c:v>
                </c:pt>
                <c:pt idx="7">
                  <c:v>0</c:v>
                </c:pt>
                <c:pt idx="8">
                  <c:v>0</c:v>
                </c:pt>
                <c:pt idx="9">
                  <c:v>0</c:v>
                </c:pt>
                <c:pt idx="10">
                  <c:v>0</c:v>
                </c:pt>
                <c:pt idx="11">
                  <c:v>-3.9699999999999999E-2</c:v>
                </c:pt>
                <c:pt idx="12">
                  <c:v>0</c:v>
                </c:pt>
                <c:pt idx="13">
                  <c:v>-2.2808000000000002</c:v>
                </c:pt>
                <c:pt idx="14">
                  <c:v>-1.804</c:v>
                </c:pt>
                <c:pt idx="15">
                  <c:v>-6.9720000000000004</c:v>
                </c:pt>
                <c:pt idx="16">
                  <c:v>-35.1</c:v>
                </c:pt>
              </c:numCache>
            </c:numRef>
          </c:val>
          <c:extLst xmlns:c16r2="http://schemas.microsoft.com/office/drawing/2015/06/chart">
            <c:ext xmlns:c16="http://schemas.microsoft.com/office/drawing/2014/chart" uri="{C3380CC4-5D6E-409C-BE32-E72D297353CC}">
              <c16:uniqueId val="{00000000-9E7A-4781-ABFA-47BB658416BA}"/>
            </c:ext>
          </c:extLst>
        </c:ser>
        <c:ser>
          <c:idx val="1"/>
          <c:order val="1"/>
          <c:tx>
            <c:strRef>
              <c:f>'OUTPUT│Outcomes Trends'!$F$54</c:f>
              <c:strCache>
                <c:ptCount val="1"/>
                <c:pt idx="0">
                  <c:v>Supply interruptions</c:v>
                </c:pt>
              </c:strCache>
            </c:strRef>
          </c:tx>
          <c:spPr>
            <a:solidFill>
              <a:schemeClr val="accent2"/>
            </a:solidFill>
            <a:ln>
              <a:noFill/>
            </a:ln>
            <a:effectLst/>
          </c:spPr>
          <c:invertIfNegative val="0"/>
          <c:cat>
            <c:strRef>
              <c:f>'OUTPUT│Outcomes Trends'!$D$55:$D$76</c:f>
              <c:strCache>
                <c:ptCount val="22"/>
                <c:pt idx="0">
                  <c:v>UU</c:v>
                </c:pt>
                <c:pt idx="1">
                  <c:v>ANH</c:v>
                </c:pt>
                <c:pt idx="2">
                  <c:v>YKY</c:v>
                </c:pt>
                <c:pt idx="3">
                  <c:v>SWB</c:v>
                </c:pt>
                <c:pt idx="4">
                  <c:v>WSX</c:v>
                </c:pt>
                <c:pt idx="5">
                  <c:v>SSC</c:v>
                </c:pt>
                <c:pt idx="6">
                  <c:v>SEW</c:v>
                </c:pt>
                <c:pt idx="7">
                  <c:v>SES</c:v>
                </c:pt>
                <c:pt idx="8">
                  <c:v>SRN</c:v>
                </c:pt>
                <c:pt idx="9">
                  <c:v>WSH</c:v>
                </c:pt>
                <c:pt idx="10">
                  <c:v>PRT</c:v>
                </c:pt>
                <c:pt idx="11">
                  <c:v>HDD</c:v>
                </c:pt>
                <c:pt idx="12">
                  <c:v>NES</c:v>
                </c:pt>
                <c:pt idx="13">
                  <c:v>SVE</c:v>
                </c:pt>
                <c:pt idx="14">
                  <c:v>BRL</c:v>
                </c:pt>
                <c:pt idx="15">
                  <c:v>AFW</c:v>
                </c:pt>
                <c:pt idx="16">
                  <c:v>TMS</c:v>
                </c:pt>
                <c:pt idx="18">
                  <c:v>Sector 2015-16</c:v>
                </c:pt>
                <c:pt idx="19">
                  <c:v>Sector 2016-17</c:v>
                </c:pt>
                <c:pt idx="20">
                  <c:v>Sector 2017-18</c:v>
                </c:pt>
                <c:pt idx="21">
                  <c:v>Sector 2018-19</c:v>
                </c:pt>
              </c:strCache>
            </c:strRef>
          </c:cat>
          <c:val>
            <c:numRef>
              <c:f>'OUTPUT│Outcomes Trends'!$F$55:$F$76</c:f>
              <c:numCache>
                <c:formatCode>#,##0.00;\-#,##0.00;\-</c:formatCode>
                <c:ptCount val="22"/>
                <c:pt idx="0">
                  <c:v>11.2577</c:v>
                </c:pt>
                <c:pt idx="1">
                  <c:v>5.6719999999999997</c:v>
                </c:pt>
                <c:pt idx="2">
                  <c:v>4.0176782799999975</c:v>
                </c:pt>
                <c:pt idx="3">
                  <c:v>0.34470000000000001</c:v>
                </c:pt>
                <c:pt idx="4">
                  <c:v>0.22589999999999999</c:v>
                </c:pt>
                <c:pt idx="5">
                  <c:v>0.83809999999999996</c:v>
                </c:pt>
                <c:pt idx="6">
                  <c:v>-0.2928639999999999</c:v>
                </c:pt>
                <c:pt idx="7">
                  <c:v>-0.13700000000000001</c:v>
                </c:pt>
                <c:pt idx="8">
                  <c:v>0</c:v>
                </c:pt>
                <c:pt idx="9">
                  <c:v>-0.78</c:v>
                </c:pt>
                <c:pt idx="10">
                  <c:v>1.2087000000000001E-2</c:v>
                </c:pt>
                <c:pt idx="11">
                  <c:v>-0.27050199999999996</c:v>
                </c:pt>
                <c:pt idx="12">
                  <c:v>0</c:v>
                </c:pt>
                <c:pt idx="13">
                  <c:v>-7.7125120000000003</c:v>
                </c:pt>
                <c:pt idx="14">
                  <c:v>-0.7389</c:v>
                </c:pt>
                <c:pt idx="15">
                  <c:v>0</c:v>
                </c:pt>
                <c:pt idx="16">
                  <c:v>-10.67</c:v>
                </c:pt>
              </c:numCache>
            </c:numRef>
          </c:val>
          <c:extLst xmlns:c16r2="http://schemas.microsoft.com/office/drawing/2015/06/chart">
            <c:ext xmlns:c16="http://schemas.microsoft.com/office/drawing/2014/chart" uri="{C3380CC4-5D6E-409C-BE32-E72D297353CC}">
              <c16:uniqueId val="{00000001-9E7A-4781-ABFA-47BB658416BA}"/>
            </c:ext>
          </c:extLst>
        </c:ser>
        <c:ser>
          <c:idx val="2"/>
          <c:order val="2"/>
          <c:tx>
            <c:strRef>
              <c:f>'OUTPUT│Outcomes Trends'!$G$54</c:f>
              <c:strCache>
                <c:ptCount val="1"/>
                <c:pt idx="0">
                  <c:v>Internal sewer flooding</c:v>
                </c:pt>
              </c:strCache>
            </c:strRef>
          </c:tx>
          <c:spPr>
            <a:solidFill>
              <a:schemeClr val="accent3"/>
            </a:solidFill>
            <a:ln>
              <a:noFill/>
            </a:ln>
            <a:effectLst/>
          </c:spPr>
          <c:invertIfNegative val="0"/>
          <c:cat>
            <c:strRef>
              <c:f>'OUTPUT│Outcomes Trends'!$D$55:$D$76</c:f>
              <c:strCache>
                <c:ptCount val="22"/>
                <c:pt idx="0">
                  <c:v>UU</c:v>
                </c:pt>
                <c:pt idx="1">
                  <c:v>ANH</c:v>
                </c:pt>
                <c:pt idx="2">
                  <c:v>YKY</c:v>
                </c:pt>
                <c:pt idx="3">
                  <c:v>SWB</c:v>
                </c:pt>
                <c:pt idx="4">
                  <c:v>WSX</c:v>
                </c:pt>
                <c:pt idx="5">
                  <c:v>SSC</c:v>
                </c:pt>
                <c:pt idx="6">
                  <c:v>SEW</c:v>
                </c:pt>
                <c:pt idx="7">
                  <c:v>SES</c:v>
                </c:pt>
                <c:pt idx="8">
                  <c:v>SRN</c:v>
                </c:pt>
                <c:pt idx="9">
                  <c:v>WSH</c:v>
                </c:pt>
                <c:pt idx="10">
                  <c:v>PRT</c:v>
                </c:pt>
                <c:pt idx="11">
                  <c:v>HDD</c:v>
                </c:pt>
                <c:pt idx="12">
                  <c:v>NES</c:v>
                </c:pt>
                <c:pt idx="13">
                  <c:v>SVE</c:v>
                </c:pt>
                <c:pt idx="14">
                  <c:v>BRL</c:v>
                </c:pt>
                <c:pt idx="15">
                  <c:v>AFW</c:v>
                </c:pt>
                <c:pt idx="16">
                  <c:v>TMS</c:v>
                </c:pt>
                <c:pt idx="18">
                  <c:v>Sector 2015-16</c:v>
                </c:pt>
                <c:pt idx="19">
                  <c:v>Sector 2016-17</c:v>
                </c:pt>
                <c:pt idx="20">
                  <c:v>Sector 2017-18</c:v>
                </c:pt>
                <c:pt idx="21">
                  <c:v>Sector 2018-19</c:v>
                </c:pt>
              </c:strCache>
            </c:strRef>
          </c:cat>
          <c:val>
            <c:numRef>
              <c:f>'OUTPUT│Outcomes Trends'!$G$55:$G$76</c:f>
              <c:numCache>
                <c:formatCode>#,##0.00;\-#,##0.00;\-</c:formatCode>
                <c:ptCount val="22"/>
                <c:pt idx="0">
                  <c:v>0.56999999999999995</c:v>
                </c:pt>
                <c:pt idx="1">
                  <c:v>0</c:v>
                </c:pt>
                <c:pt idx="2">
                  <c:v>6.6696520000000001</c:v>
                </c:pt>
                <c:pt idx="3">
                  <c:v>2.1760000000000002</c:v>
                </c:pt>
                <c:pt idx="4">
                  <c:v>2.448</c:v>
                </c:pt>
                <c:pt idx="5">
                  <c:v>0</c:v>
                </c:pt>
                <c:pt idx="6">
                  <c:v>0</c:v>
                </c:pt>
                <c:pt idx="7">
                  <c:v>0</c:v>
                </c:pt>
                <c:pt idx="8">
                  <c:v>0</c:v>
                </c:pt>
                <c:pt idx="9">
                  <c:v>1.6739999999999999</c:v>
                </c:pt>
                <c:pt idx="10">
                  <c:v>0</c:v>
                </c:pt>
                <c:pt idx="11">
                  <c:v>1.2329999999999999E-3</c:v>
                </c:pt>
                <c:pt idx="12">
                  <c:v>0.80600000000000005</c:v>
                </c:pt>
                <c:pt idx="13">
                  <c:v>-1.0055829999999999</c:v>
                </c:pt>
                <c:pt idx="14">
                  <c:v>0</c:v>
                </c:pt>
                <c:pt idx="15">
                  <c:v>0</c:v>
                </c:pt>
                <c:pt idx="16">
                  <c:v>2.915</c:v>
                </c:pt>
              </c:numCache>
            </c:numRef>
          </c:val>
          <c:extLst xmlns:c16r2="http://schemas.microsoft.com/office/drawing/2015/06/chart">
            <c:ext xmlns:c16="http://schemas.microsoft.com/office/drawing/2014/chart" uri="{C3380CC4-5D6E-409C-BE32-E72D297353CC}">
              <c16:uniqueId val="{00000002-9E7A-4781-ABFA-47BB658416BA}"/>
            </c:ext>
          </c:extLst>
        </c:ser>
        <c:ser>
          <c:idx val="3"/>
          <c:order val="3"/>
          <c:tx>
            <c:strRef>
              <c:f>'OUTPUT│Outcomes Trends'!$H$54</c:f>
              <c:strCache>
                <c:ptCount val="1"/>
                <c:pt idx="0">
                  <c:v>Pollution incidents</c:v>
                </c:pt>
              </c:strCache>
            </c:strRef>
          </c:tx>
          <c:spPr>
            <a:solidFill>
              <a:schemeClr val="accent4"/>
            </a:solidFill>
            <a:ln>
              <a:noFill/>
            </a:ln>
            <a:effectLst/>
          </c:spPr>
          <c:invertIfNegative val="0"/>
          <c:cat>
            <c:strRef>
              <c:f>'OUTPUT│Outcomes Trends'!$D$55:$D$76</c:f>
              <c:strCache>
                <c:ptCount val="22"/>
                <c:pt idx="0">
                  <c:v>UU</c:v>
                </c:pt>
                <c:pt idx="1">
                  <c:v>ANH</c:v>
                </c:pt>
                <c:pt idx="2">
                  <c:v>YKY</c:v>
                </c:pt>
                <c:pt idx="3">
                  <c:v>SWB</c:v>
                </c:pt>
                <c:pt idx="4">
                  <c:v>WSX</c:v>
                </c:pt>
                <c:pt idx="5">
                  <c:v>SSC</c:v>
                </c:pt>
                <c:pt idx="6">
                  <c:v>SEW</c:v>
                </c:pt>
                <c:pt idx="7">
                  <c:v>SES</c:v>
                </c:pt>
                <c:pt idx="8">
                  <c:v>SRN</c:v>
                </c:pt>
                <c:pt idx="9">
                  <c:v>WSH</c:v>
                </c:pt>
                <c:pt idx="10">
                  <c:v>PRT</c:v>
                </c:pt>
                <c:pt idx="11">
                  <c:v>HDD</c:v>
                </c:pt>
                <c:pt idx="12">
                  <c:v>NES</c:v>
                </c:pt>
                <c:pt idx="13">
                  <c:v>SVE</c:v>
                </c:pt>
                <c:pt idx="14">
                  <c:v>BRL</c:v>
                </c:pt>
                <c:pt idx="15">
                  <c:v>AFW</c:v>
                </c:pt>
                <c:pt idx="16">
                  <c:v>TMS</c:v>
                </c:pt>
                <c:pt idx="18">
                  <c:v>Sector 2015-16</c:v>
                </c:pt>
                <c:pt idx="19">
                  <c:v>Sector 2016-17</c:v>
                </c:pt>
                <c:pt idx="20">
                  <c:v>Sector 2017-18</c:v>
                </c:pt>
                <c:pt idx="21">
                  <c:v>Sector 2018-19</c:v>
                </c:pt>
              </c:strCache>
            </c:strRef>
          </c:cat>
          <c:val>
            <c:numRef>
              <c:f>'OUTPUT│Outcomes Trends'!$H$55:$H$76</c:f>
              <c:numCache>
                <c:formatCode>#,##0.00;\-#,##0.00;\-</c:formatCode>
                <c:ptCount val="22"/>
                <c:pt idx="0">
                  <c:v>3.278</c:v>
                </c:pt>
                <c:pt idx="1">
                  <c:v>3.2204999999999999</c:v>
                </c:pt>
                <c:pt idx="2">
                  <c:v>4.2580589999999994</c:v>
                </c:pt>
                <c:pt idx="3">
                  <c:v>-0.79400000000000004</c:v>
                </c:pt>
                <c:pt idx="4">
                  <c:v>0</c:v>
                </c:pt>
                <c:pt idx="5">
                  <c:v>0</c:v>
                </c:pt>
                <c:pt idx="6">
                  <c:v>0</c:v>
                </c:pt>
                <c:pt idx="7">
                  <c:v>0</c:v>
                </c:pt>
                <c:pt idx="8">
                  <c:v>0</c:v>
                </c:pt>
                <c:pt idx="9">
                  <c:v>0.61099999999999999</c:v>
                </c:pt>
                <c:pt idx="10">
                  <c:v>0</c:v>
                </c:pt>
                <c:pt idx="11">
                  <c:v>2.0695000000000002E-3</c:v>
                </c:pt>
                <c:pt idx="12">
                  <c:v>6.4000000000000001E-2</c:v>
                </c:pt>
                <c:pt idx="13">
                  <c:v>0.46828599999999998</c:v>
                </c:pt>
                <c:pt idx="14">
                  <c:v>0</c:v>
                </c:pt>
                <c:pt idx="15">
                  <c:v>0</c:v>
                </c:pt>
                <c:pt idx="16">
                  <c:v>0</c:v>
                </c:pt>
              </c:numCache>
            </c:numRef>
          </c:val>
          <c:extLst xmlns:c16r2="http://schemas.microsoft.com/office/drawing/2015/06/chart">
            <c:ext xmlns:c16="http://schemas.microsoft.com/office/drawing/2014/chart" uri="{C3380CC4-5D6E-409C-BE32-E72D297353CC}">
              <c16:uniqueId val="{00000003-9E7A-4781-ABFA-47BB658416BA}"/>
            </c:ext>
          </c:extLst>
        </c:ser>
        <c:ser>
          <c:idx val="4"/>
          <c:order val="4"/>
          <c:tx>
            <c:strRef>
              <c:f>'OUTPUT│Outcomes Trends'!$I$54</c:f>
              <c:strCache>
                <c:ptCount val="1"/>
                <c:pt idx="0">
                  <c:v>Others</c:v>
                </c:pt>
              </c:strCache>
            </c:strRef>
          </c:tx>
          <c:spPr>
            <a:solidFill>
              <a:schemeClr val="accent5"/>
            </a:solidFill>
            <a:ln>
              <a:noFill/>
            </a:ln>
            <a:effectLst/>
          </c:spPr>
          <c:invertIfNegative val="0"/>
          <c:cat>
            <c:strRef>
              <c:f>'OUTPUT│Outcomes Trends'!$D$55:$D$76</c:f>
              <c:strCache>
                <c:ptCount val="22"/>
                <c:pt idx="0">
                  <c:v>UU</c:v>
                </c:pt>
                <c:pt idx="1">
                  <c:v>ANH</c:v>
                </c:pt>
                <c:pt idx="2">
                  <c:v>YKY</c:v>
                </c:pt>
                <c:pt idx="3">
                  <c:v>SWB</c:v>
                </c:pt>
                <c:pt idx="4">
                  <c:v>WSX</c:v>
                </c:pt>
                <c:pt idx="5">
                  <c:v>SSC</c:v>
                </c:pt>
                <c:pt idx="6">
                  <c:v>SEW</c:v>
                </c:pt>
                <c:pt idx="7">
                  <c:v>SES</c:v>
                </c:pt>
                <c:pt idx="8">
                  <c:v>SRN</c:v>
                </c:pt>
                <c:pt idx="9">
                  <c:v>WSH</c:v>
                </c:pt>
                <c:pt idx="10">
                  <c:v>PRT</c:v>
                </c:pt>
                <c:pt idx="11">
                  <c:v>HDD</c:v>
                </c:pt>
                <c:pt idx="12">
                  <c:v>NES</c:v>
                </c:pt>
                <c:pt idx="13">
                  <c:v>SVE</c:v>
                </c:pt>
                <c:pt idx="14">
                  <c:v>BRL</c:v>
                </c:pt>
                <c:pt idx="15">
                  <c:v>AFW</c:v>
                </c:pt>
                <c:pt idx="16">
                  <c:v>TMS</c:v>
                </c:pt>
                <c:pt idx="18">
                  <c:v>Sector 2015-16</c:v>
                </c:pt>
                <c:pt idx="19">
                  <c:v>Sector 2016-17</c:v>
                </c:pt>
                <c:pt idx="20">
                  <c:v>Sector 2017-18</c:v>
                </c:pt>
                <c:pt idx="21">
                  <c:v>Sector 2018-19</c:v>
                </c:pt>
              </c:strCache>
            </c:strRef>
          </c:cat>
          <c:val>
            <c:numRef>
              <c:f>'OUTPUT│Outcomes Trends'!$I$55:$I$76</c:f>
              <c:numCache>
                <c:formatCode>#,##0.00;\-#,##0.00;\-</c:formatCode>
                <c:ptCount val="22"/>
                <c:pt idx="0">
                  <c:v>4.1402920000000005</c:v>
                </c:pt>
                <c:pt idx="1">
                  <c:v>0.20889999999999997</c:v>
                </c:pt>
                <c:pt idx="2">
                  <c:v>-6.1091691999999993</c:v>
                </c:pt>
                <c:pt idx="3">
                  <c:v>2.4051</c:v>
                </c:pt>
                <c:pt idx="4">
                  <c:v>-0.17200000000000001</c:v>
                </c:pt>
                <c:pt idx="5">
                  <c:v>-0.60719999999999996</c:v>
                </c:pt>
                <c:pt idx="6">
                  <c:v>-0.13163999999999965</c:v>
                </c:pt>
                <c:pt idx="7">
                  <c:v>-1.2999999999999999E-2</c:v>
                </c:pt>
                <c:pt idx="8">
                  <c:v>-0.34600000000000009</c:v>
                </c:pt>
                <c:pt idx="9">
                  <c:v>-1.86</c:v>
                </c:pt>
                <c:pt idx="10">
                  <c:v>-0.380604</c:v>
                </c:pt>
                <c:pt idx="11">
                  <c:v>-0.12256709999999998</c:v>
                </c:pt>
                <c:pt idx="12">
                  <c:v>-4.0587999999999997</c:v>
                </c:pt>
                <c:pt idx="13">
                  <c:v>7.2277429999999985</c:v>
                </c:pt>
                <c:pt idx="14">
                  <c:v>-0.83700000000000008</c:v>
                </c:pt>
                <c:pt idx="15">
                  <c:v>0</c:v>
                </c:pt>
                <c:pt idx="16">
                  <c:v>-8.8059399999999997</c:v>
                </c:pt>
              </c:numCache>
            </c:numRef>
          </c:val>
          <c:extLst xmlns:c16r2="http://schemas.microsoft.com/office/drawing/2015/06/chart">
            <c:ext xmlns:c16="http://schemas.microsoft.com/office/drawing/2014/chart" uri="{C3380CC4-5D6E-409C-BE32-E72D297353CC}">
              <c16:uniqueId val="{00000004-9E7A-4781-ABFA-47BB658416BA}"/>
            </c:ext>
          </c:extLst>
        </c:ser>
        <c:ser>
          <c:idx val="6"/>
          <c:order val="6"/>
          <c:tx>
            <c:strRef>
              <c:f>'OUTPUT│Outcomes Trends'!$K$54</c:f>
              <c:strCache>
                <c:ptCount val="1"/>
                <c:pt idx="0">
                  <c:v>2015-16</c:v>
                </c:pt>
              </c:strCache>
            </c:strRef>
          </c:tx>
          <c:spPr>
            <a:solidFill>
              <a:schemeClr val="accent1">
                <a:lumMod val="60000"/>
              </a:schemeClr>
            </a:solidFill>
            <a:ln>
              <a:noFill/>
            </a:ln>
            <a:effectLst/>
          </c:spPr>
          <c:invertIfNegative val="0"/>
          <c:dPt>
            <c:idx val="18"/>
            <c:invertIfNegative val="0"/>
            <c:bubble3D val="0"/>
            <c:spPr>
              <a:solidFill>
                <a:srgbClr val="BDCADC"/>
              </a:solidFill>
              <a:ln>
                <a:noFill/>
              </a:ln>
              <a:effectLst/>
            </c:spPr>
            <c:extLst xmlns:c16r2="http://schemas.microsoft.com/office/drawing/2015/06/chart">
              <c:ext xmlns:c16="http://schemas.microsoft.com/office/drawing/2014/chart" uri="{C3380CC4-5D6E-409C-BE32-E72D297353CC}">
                <c16:uniqueId val="{00000006-9E7A-4781-ABFA-47BB658416BA}"/>
              </c:ext>
            </c:extLst>
          </c:dPt>
          <c:cat>
            <c:strRef>
              <c:f>'OUTPUT│Outcomes Trends'!$D$55:$D$76</c:f>
              <c:strCache>
                <c:ptCount val="22"/>
                <c:pt idx="0">
                  <c:v>UU</c:v>
                </c:pt>
                <c:pt idx="1">
                  <c:v>ANH</c:v>
                </c:pt>
                <c:pt idx="2">
                  <c:v>YKY</c:v>
                </c:pt>
                <c:pt idx="3">
                  <c:v>SWB</c:v>
                </c:pt>
                <c:pt idx="4">
                  <c:v>WSX</c:v>
                </c:pt>
                <c:pt idx="5">
                  <c:v>SSC</c:v>
                </c:pt>
                <c:pt idx="6">
                  <c:v>SEW</c:v>
                </c:pt>
                <c:pt idx="7">
                  <c:v>SES</c:v>
                </c:pt>
                <c:pt idx="8">
                  <c:v>SRN</c:v>
                </c:pt>
                <c:pt idx="9">
                  <c:v>WSH</c:v>
                </c:pt>
                <c:pt idx="10">
                  <c:v>PRT</c:v>
                </c:pt>
                <c:pt idx="11">
                  <c:v>HDD</c:v>
                </c:pt>
                <c:pt idx="12">
                  <c:v>NES</c:v>
                </c:pt>
                <c:pt idx="13">
                  <c:v>SVE</c:v>
                </c:pt>
                <c:pt idx="14">
                  <c:v>BRL</c:v>
                </c:pt>
                <c:pt idx="15">
                  <c:v>AFW</c:v>
                </c:pt>
                <c:pt idx="16">
                  <c:v>TMS</c:v>
                </c:pt>
                <c:pt idx="18">
                  <c:v>Sector 2015-16</c:v>
                </c:pt>
                <c:pt idx="19">
                  <c:v>Sector 2016-17</c:v>
                </c:pt>
                <c:pt idx="20">
                  <c:v>Sector 2017-18</c:v>
                </c:pt>
                <c:pt idx="21">
                  <c:v>Sector 2018-19</c:v>
                </c:pt>
              </c:strCache>
            </c:strRef>
          </c:cat>
          <c:val>
            <c:numRef>
              <c:f>'OUTPUT│Outcomes Trends'!$K$55:$K$76</c:f>
              <c:numCache>
                <c:formatCode>General</c:formatCode>
                <c:ptCount val="22"/>
                <c:pt idx="18" formatCode="#,##0.00;\-#,##0.00;\-">
                  <c:v>31.688269106078121</c:v>
                </c:pt>
              </c:numCache>
            </c:numRef>
          </c:val>
          <c:extLst xmlns:c16r2="http://schemas.microsoft.com/office/drawing/2015/06/chart">
            <c:ext xmlns:c16="http://schemas.microsoft.com/office/drawing/2014/chart" uri="{C3380CC4-5D6E-409C-BE32-E72D297353CC}">
              <c16:uniqueId val="{00000007-9E7A-4781-ABFA-47BB658416BA}"/>
            </c:ext>
          </c:extLst>
        </c:ser>
        <c:ser>
          <c:idx val="7"/>
          <c:order val="7"/>
          <c:tx>
            <c:strRef>
              <c:f>'OUTPUT│Outcomes Trends'!$L$54</c:f>
              <c:strCache>
                <c:ptCount val="1"/>
                <c:pt idx="0">
                  <c:v>2016-17</c:v>
                </c:pt>
              </c:strCache>
            </c:strRef>
          </c:tx>
          <c:spPr>
            <a:solidFill>
              <a:srgbClr val="7F99BC"/>
            </a:solidFill>
            <a:ln>
              <a:noFill/>
            </a:ln>
            <a:effectLst/>
          </c:spPr>
          <c:invertIfNegative val="0"/>
          <c:cat>
            <c:strRef>
              <c:f>'OUTPUT│Outcomes Trends'!$D$55:$D$76</c:f>
              <c:strCache>
                <c:ptCount val="22"/>
                <c:pt idx="0">
                  <c:v>UU</c:v>
                </c:pt>
                <c:pt idx="1">
                  <c:v>ANH</c:v>
                </c:pt>
                <c:pt idx="2">
                  <c:v>YKY</c:v>
                </c:pt>
                <c:pt idx="3">
                  <c:v>SWB</c:v>
                </c:pt>
                <c:pt idx="4">
                  <c:v>WSX</c:v>
                </c:pt>
                <c:pt idx="5">
                  <c:v>SSC</c:v>
                </c:pt>
                <c:pt idx="6">
                  <c:v>SEW</c:v>
                </c:pt>
                <c:pt idx="7">
                  <c:v>SES</c:v>
                </c:pt>
                <c:pt idx="8">
                  <c:v>SRN</c:v>
                </c:pt>
                <c:pt idx="9">
                  <c:v>WSH</c:v>
                </c:pt>
                <c:pt idx="10">
                  <c:v>PRT</c:v>
                </c:pt>
                <c:pt idx="11">
                  <c:v>HDD</c:v>
                </c:pt>
                <c:pt idx="12">
                  <c:v>NES</c:v>
                </c:pt>
                <c:pt idx="13">
                  <c:v>SVE</c:v>
                </c:pt>
                <c:pt idx="14">
                  <c:v>BRL</c:v>
                </c:pt>
                <c:pt idx="15">
                  <c:v>AFW</c:v>
                </c:pt>
                <c:pt idx="16">
                  <c:v>TMS</c:v>
                </c:pt>
                <c:pt idx="18">
                  <c:v>Sector 2015-16</c:v>
                </c:pt>
                <c:pt idx="19">
                  <c:v>Sector 2016-17</c:v>
                </c:pt>
                <c:pt idx="20">
                  <c:v>Sector 2017-18</c:v>
                </c:pt>
                <c:pt idx="21">
                  <c:v>Sector 2018-19</c:v>
                </c:pt>
              </c:strCache>
            </c:strRef>
          </c:cat>
          <c:val>
            <c:numRef>
              <c:f>'OUTPUT│Outcomes Trends'!$L$55:$L$76</c:f>
              <c:numCache>
                <c:formatCode>General</c:formatCode>
                <c:ptCount val="22"/>
                <c:pt idx="19" formatCode="#,##0.00;\-#,##0.00;\-">
                  <c:v>58.961326542521626</c:v>
                </c:pt>
              </c:numCache>
            </c:numRef>
          </c:val>
          <c:extLst xmlns:c16r2="http://schemas.microsoft.com/office/drawing/2015/06/chart">
            <c:ext xmlns:c16="http://schemas.microsoft.com/office/drawing/2014/chart" uri="{C3380CC4-5D6E-409C-BE32-E72D297353CC}">
              <c16:uniqueId val="{00000008-9E7A-4781-ABFA-47BB658416BA}"/>
            </c:ext>
          </c:extLst>
        </c:ser>
        <c:ser>
          <c:idx val="8"/>
          <c:order val="8"/>
          <c:tx>
            <c:strRef>
              <c:f>'OUTPUT│Outcomes Trends'!$M$54</c:f>
              <c:strCache>
                <c:ptCount val="1"/>
                <c:pt idx="0">
                  <c:v>2017-18</c:v>
                </c:pt>
              </c:strCache>
            </c:strRef>
          </c:tx>
          <c:spPr>
            <a:solidFill>
              <a:srgbClr val="40679B"/>
            </a:solidFill>
            <a:ln>
              <a:noFill/>
            </a:ln>
            <a:effectLst/>
          </c:spPr>
          <c:invertIfNegative val="0"/>
          <c:cat>
            <c:strRef>
              <c:f>'OUTPUT│Outcomes Trends'!$D$55:$D$76</c:f>
              <c:strCache>
                <c:ptCount val="22"/>
                <c:pt idx="0">
                  <c:v>UU</c:v>
                </c:pt>
                <c:pt idx="1">
                  <c:v>ANH</c:v>
                </c:pt>
                <c:pt idx="2">
                  <c:v>YKY</c:v>
                </c:pt>
                <c:pt idx="3">
                  <c:v>SWB</c:v>
                </c:pt>
                <c:pt idx="4">
                  <c:v>WSX</c:v>
                </c:pt>
                <c:pt idx="5">
                  <c:v>SSC</c:v>
                </c:pt>
                <c:pt idx="6">
                  <c:v>SEW</c:v>
                </c:pt>
                <c:pt idx="7">
                  <c:v>SES</c:v>
                </c:pt>
                <c:pt idx="8">
                  <c:v>SRN</c:v>
                </c:pt>
                <c:pt idx="9">
                  <c:v>WSH</c:v>
                </c:pt>
                <c:pt idx="10">
                  <c:v>PRT</c:v>
                </c:pt>
                <c:pt idx="11">
                  <c:v>HDD</c:v>
                </c:pt>
                <c:pt idx="12">
                  <c:v>NES</c:v>
                </c:pt>
                <c:pt idx="13">
                  <c:v>SVE</c:v>
                </c:pt>
                <c:pt idx="14">
                  <c:v>BRL</c:v>
                </c:pt>
                <c:pt idx="15">
                  <c:v>AFW</c:v>
                </c:pt>
                <c:pt idx="16">
                  <c:v>TMS</c:v>
                </c:pt>
                <c:pt idx="18">
                  <c:v>Sector 2015-16</c:v>
                </c:pt>
                <c:pt idx="19">
                  <c:v>Sector 2016-17</c:v>
                </c:pt>
                <c:pt idx="20">
                  <c:v>Sector 2017-18</c:v>
                </c:pt>
                <c:pt idx="21">
                  <c:v>Sector 2018-19</c:v>
                </c:pt>
              </c:strCache>
            </c:strRef>
          </c:cat>
          <c:val>
            <c:numRef>
              <c:f>'OUTPUT│Outcomes Trends'!$M$55:$M$76</c:f>
              <c:numCache>
                <c:formatCode>General</c:formatCode>
                <c:ptCount val="22"/>
                <c:pt idx="20" formatCode="#,##0.00;\-#,##0.00;\-">
                  <c:v>44.447184402499964</c:v>
                </c:pt>
              </c:numCache>
            </c:numRef>
          </c:val>
          <c:extLst xmlns:c16r2="http://schemas.microsoft.com/office/drawing/2015/06/chart">
            <c:ext xmlns:c16="http://schemas.microsoft.com/office/drawing/2014/chart" uri="{C3380CC4-5D6E-409C-BE32-E72D297353CC}">
              <c16:uniqueId val="{00000009-9E7A-4781-ABFA-47BB658416BA}"/>
            </c:ext>
          </c:extLst>
        </c:ser>
        <c:ser>
          <c:idx val="9"/>
          <c:order val="9"/>
          <c:tx>
            <c:strRef>
              <c:f>'OUTPUT│Outcomes Trends'!$N$54</c:f>
              <c:strCache>
                <c:ptCount val="1"/>
                <c:pt idx="0">
                  <c:v>2018-19</c:v>
                </c:pt>
              </c:strCache>
            </c:strRef>
          </c:tx>
          <c:spPr>
            <a:solidFill>
              <a:schemeClr val="accent4">
                <a:lumMod val="60000"/>
              </a:schemeClr>
            </a:solidFill>
            <a:ln>
              <a:noFill/>
            </a:ln>
            <a:effectLst/>
          </c:spPr>
          <c:invertIfNegative val="0"/>
          <c:dPt>
            <c:idx val="21"/>
            <c:invertIfNegative val="0"/>
            <c:bubble3D val="0"/>
            <c:spPr>
              <a:solidFill>
                <a:srgbClr val="003479"/>
              </a:solidFill>
              <a:ln>
                <a:noFill/>
              </a:ln>
              <a:effectLst/>
            </c:spPr>
            <c:extLst xmlns:c16r2="http://schemas.microsoft.com/office/drawing/2015/06/chart">
              <c:ext xmlns:c16="http://schemas.microsoft.com/office/drawing/2014/chart" uri="{C3380CC4-5D6E-409C-BE32-E72D297353CC}">
                <c16:uniqueId val="{0000000B-9E7A-4781-ABFA-47BB658416BA}"/>
              </c:ext>
            </c:extLst>
          </c:dPt>
          <c:cat>
            <c:strRef>
              <c:f>'OUTPUT│Outcomes Trends'!$D$55:$D$76</c:f>
              <c:strCache>
                <c:ptCount val="22"/>
                <c:pt idx="0">
                  <c:v>UU</c:v>
                </c:pt>
                <c:pt idx="1">
                  <c:v>ANH</c:v>
                </c:pt>
                <c:pt idx="2">
                  <c:v>YKY</c:v>
                </c:pt>
                <c:pt idx="3">
                  <c:v>SWB</c:v>
                </c:pt>
                <c:pt idx="4">
                  <c:v>WSX</c:v>
                </c:pt>
                <c:pt idx="5">
                  <c:v>SSC</c:v>
                </c:pt>
                <c:pt idx="6">
                  <c:v>SEW</c:v>
                </c:pt>
                <c:pt idx="7">
                  <c:v>SES</c:v>
                </c:pt>
                <c:pt idx="8">
                  <c:v>SRN</c:v>
                </c:pt>
                <c:pt idx="9">
                  <c:v>WSH</c:v>
                </c:pt>
                <c:pt idx="10">
                  <c:v>PRT</c:v>
                </c:pt>
                <c:pt idx="11">
                  <c:v>HDD</c:v>
                </c:pt>
                <c:pt idx="12">
                  <c:v>NES</c:v>
                </c:pt>
                <c:pt idx="13">
                  <c:v>SVE</c:v>
                </c:pt>
                <c:pt idx="14">
                  <c:v>BRL</c:v>
                </c:pt>
                <c:pt idx="15">
                  <c:v>AFW</c:v>
                </c:pt>
                <c:pt idx="16">
                  <c:v>TMS</c:v>
                </c:pt>
                <c:pt idx="18">
                  <c:v>Sector 2015-16</c:v>
                </c:pt>
                <c:pt idx="19">
                  <c:v>Sector 2016-17</c:v>
                </c:pt>
                <c:pt idx="20">
                  <c:v>Sector 2017-18</c:v>
                </c:pt>
                <c:pt idx="21">
                  <c:v>Sector 2018-19</c:v>
                </c:pt>
              </c:strCache>
            </c:strRef>
          </c:cat>
          <c:val>
            <c:numRef>
              <c:f>'OUTPUT│Outcomes Trends'!$N$55:$N$76</c:f>
              <c:numCache>
                <c:formatCode>General</c:formatCode>
                <c:ptCount val="22"/>
                <c:pt idx="21" formatCode="#,##0.00;\-#,##0.00;\-">
                  <c:v>-23.061781520000011</c:v>
                </c:pt>
              </c:numCache>
            </c:numRef>
          </c:val>
          <c:extLst xmlns:c16r2="http://schemas.microsoft.com/office/drawing/2015/06/chart">
            <c:ext xmlns:c16="http://schemas.microsoft.com/office/drawing/2014/chart" uri="{C3380CC4-5D6E-409C-BE32-E72D297353CC}">
              <c16:uniqueId val="{0000000C-9E7A-4781-ABFA-47BB658416BA}"/>
            </c:ext>
          </c:extLst>
        </c:ser>
        <c:dLbls>
          <c:showLegendKey val="0"/>
          <c:showVal val="0"/>
          <c:showCatName val="0"/>
          <c:showSerName val="0"/>
          <c:showPercent val="0"/>
          <c:showBubbleSize val="0"/>
        </c:dLbls>
        <c:gapWidth val="50"/>
        <c:overlap val="100"/>
        <c:axId val="427357360"/>
        <c:axId val="427358144"/>
      </c:barChart>
      <c:lineChart>
        <c:grouping val="standard"/>
        <c:varyColors val="0"/>
        <c:ser>
          <c:idx val="5"/>
          <c:order val="5"/>
          <c:tx>
            <c:strRef>
              <c:f>'OUTPUT│Outcomes Trends'!$J$54</c:f>
              <c:strCache>
                <c:ptCount val="1"/>
                <c:pt idx="0">
                  <c:v>Net payment</c:v>
                </c:pt>
              </c:strCache>
            </c:strRef>
          </c:tx>
          <c:spPr>
            <a:ln w="28575" cap="rnd">
              <a:noFill/>
              <a:round/>
            </a:ln>
            <a:effectLst/>
          </c:spPr>
          <c:marker>
            <c:symbol val="triangle"/>
            <c:size val="7"/>
            <c:spPr>
              <a:solidFill>
                <a:schemeClr val="tx1"/>
              </a:solidFill>
              <a:ln w="9525">
                <a:noFill/>
              </a:ln>
              <a:effectLst/>
            </c:spPr>
          </c:marker>
          <c:cat>
            <c:strRef>
              <c:f>'OUTPUT│Outcomes Trends'!$D$55:$D$76</c:f>
              <c:strCache>
                <c:ptCount val="22"/>
                <c:pt idx="0">
                  <c:v>UU</c:v>
                </c:pt>
                <c:pt idx="1">
                  <c:v>ANH</c:v>
                </c:pt>
                <c:pt idx="2">
                  <c:v>YKY</c:v>
                </c:pt>
                <c:pt idx="3">
                  <c:v>SWB</c:v>
                </c:pt>
                <c:pt idx="4">
                  <c:v>WSX</c:v>
                </c:pt>
                <c:pt idx="5">
                  <c:v>SSC</c:v>
                </c:pt>
                <c:pt idx="6">
                  <c:v>SEW</c:v>
                </c:pt>
                <c:pt idx="7">
                  <c:v>SES</c:v>
                </c:pt>
                <c:pt idx="8">
                  <c:v>SRN</c:v>
                </c:pt>
                <c:pt idx="9">
                  <c:v>WSH</c:v>
                </c:pt>
                <c:pt idx="10">
                  <c:v>PRT</c:v>
                </c:pt>
                <c:pt idx="11">
                  <c:v>HDD</c:v>
                </c:pt>
                <c:pt idx="12">
                  <c:v>NES</c:v>
                </c:pt>
                <c:pt idx="13">
                  <c:v>SVE</c:v>
                </c:pt>
                <c:pt idx="14">
                  <c:v>BRL</c:v>
                </c:pt>
                <c:pt idx="15">
                  <c:v>AFW</c:v>
                </c:pt>
                <c:pt idx="16">
                  <c:v>TMS</c:v>
                </c:pt>
                <c:pt idx="18">
                  <c:v>Sector 2015-16</c:v>
                </c:pt>
                <c:pt idx="19">
                  <c:v>Sector 2016-17</c:v>
                </c:pt>
                <c:pt idx="20">
                  <c:v>Sector 2017-18</c:v>
                </c:pt>
                <c:pt idx="21">
                  <c:v>Sector 2018-19</c:v>
                </c:pt>
              </c:strCache>
            </c:strRef>
          </c:cat>
          <c:val>
            <c:numRef>
              <c:f>'OUTPUT│Outcomes Trends'!$J$55:$J$76</c:f>
              <c:numCache>
                <c:formatCode>0.00</c:formatCode>
                <c:ptCount val="22"/>
                <c:pt idx="0">
                  <c:v>19.245992000000001</c:v>
                </c:pt>
                <c:pt idx="1">
                  <c:v>12.1914</c:v>
                </c:pt>
                <c:pt idx="2">
                  <c:v>8.8362200799999968</c:v>
                </c:pt>
                <c:pt idx="3">
                  <c:v>4.1318000000000001</c:v>
                </c:pt>
                <c:pt idx="4">
                  <c:v>2.5018999999999996</c:v>
                </c:pt>
                <c:pt idx="5">
                  <c:v>0.23089999999999999</c:v>
                </c:pt>
                <c:pt idx="6">
                  <c:v>-4.6504000000003154E-2</c:v>
                </c:pt>
                <c:pt idx="7">
                  <c:v>-0.15000000000000002</c:v>
                </c:pt>
                <c:pt idx="8">
                  <c:v>-0.34600000000000009</c:v>
                </c:pt>
                <c:pt idx="9">
                  <c:v>-0.3550000000000002</c:v>
                </c:pt>
                <c:pt idx="10">
                  <c:v>-0.36851699999999998</c:v>
                </c:pt>
                <c:pt idx="11">
                  <c:v>-0.42946659999999998</c:v>
                </c:pt>
                <c:pt idx="12">
                  <c:v>-3.1887999999999996</c:v>
                </c:pt>
                <c:pt idx="13">
                  <c:v>-3.3028659999999999</c:v>
                </c:pt>
                <c:pt idx="14">
                  <c:v>-3.3799000000000001</c:v>
                </c:pt>
                <c:pt idx="15">
                  <c:v>-6.9720000000000004</c:v>
                </c:pt>
                <c:pt idx="16">
                  <c:v>-51.660940000000004</c:v>
                </c:pt>
              </c:numCache>
            </c:numRef>
          </c:val>
          <c:smooth val="0"/>
          <c:extLst xmlns:c16r2="http://schemas.microsoft.com/office/drawing/2015/06/chart">
            <c:ext xmlns:c16="http://schemas.microsoft.com/office/drawing/2014/chart" uri="{C3380CC4-5D6E-409C-BE32-E72D297353CC}">
              <c16:uniqueId val="{0000000D-9E7A-4781-ABFA-47BB658416BA}"/>
            </c:ext>
          </c:extLst>
        </c:ser>
        <c:dLbls>
          <c:showLegendKey val="0"/>
          <c:showVal val="0"/>
          <c:showCatName val="0"/>
          <c:showSerName val="0"/>
          <c:showPercent val="0"/>
          <c:showBubbleSize val="0"/>
        </c:dLbls>
        <c:marker val="1"/>
        <c:smooth val="0"/>
        <c:axId val="427357360"/>
        <c:axId val="427358144"/>
      </c:lineChart>
      <c:catAx>
        <c:axId val="4273573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7358144"/>
        <c:crosses val="autoZero"/>
        <c:auto val="1"/>
        <c:lblAlgn val="ctr"/>
        <c:lblOffset val="100"/>
        <c:noMultiLvlLbl val="0"/>
      </c:catAx>
      <c:valAx>
        <c:axId val="427358144"/>
        <c:scaling>
          <c:orientation val="minMax"/>
          <c:max val="60"/>
          <c:min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7357360"/>
        <c:crosses val="autoZero"/>
        <c:crossBetween val="between"/>
      </c:valAx>
      <c:spPr>
        <a:noFill/>
        <a:ln>
          <a:noFill/>
        </a:ln>
        <a:effectLst/>
      </c:spPr>
    </c:plotArea>
    <c:legend>
      <c:legendPos val="b"/>
      <c:legendEntry>
        <c:idx val="5"/>
        <c:delete val="1"/>
      </c:legendEntry>
      <c:legendEntry>
        <c:idx val="6"/>
        <c:delete val="1"/>
      </c:legendEntry>
      <c:legendEntry>
        <c:idx val="7"/>
        <c:delete val="1"/>
      </c:legendEntry>
      <c:legendEntry>
        <c:idx val="8"/>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17"/>
            <c:invertIfNegative val="0"/>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1-3154-4933-B3AF-92C6D83554A9}"/>
              </c:ext>
            </c:extLst>
          </c:dPt>
          <c:cat>
            <c:strRef>
              <c:f>'OUTPUT│Outcomes Trends'!$D$101:$D$118</c:f>
              <c:strCache>
                <c:ptCount val="18"/>
                <c:pt idx="0">
                  <c:v>UU</c:v>
                </c:pt>
                <c:pt idx="1">
                  <c:v>ANH</c:v>
                </c:pt>
                <c:pt idx="2">
                  <c:v>YKY</c:v>
                </c:pt>
                <c:pt idx="3">
                  <c:v>SWB</c:v>
                </c:pt>
                <c:pt idx="4">
                  <c:v>WSX</c:v>
                </c:pt>
                <c:pt idx="5">
                  <c:v>SSC</c:v>
                </c:pt>
                <c:pt idx="6">
                  <c:v>SEW</c:v>
                </c:pt>
                <c:pt idx="7">
                  <c:v>WSH</c:v>
                </c:pt>
                <c:pt idx="8">
                  <c:v>SRN</c:v>
                </c:pt>
                <c:pt idx="9">
                  <c:v>SVE</c:v>
                </c:pt>
                <c:pt idx="10">
                  <c:v>SES</c:v>
                </c:pt>
                <c:pt idx="11">
                  <c:v>NES</c:v>
                </c:pt>
                <c:pt idx="12">
                  <c:v>PRT</c:v>
                </c:pt>
                <c:pt idx="13">
                  <c:v>TMS</c:v>
                </c:pt>
                <c:pt idx="14">
                  <c:v>AFW</c:v>
                </c:pt>
                <c:pt idx="15">
                  <c:v>HDD</c:v>
                </c:pt>
                <c:pt idx="16">
                  <c:v>BRL</c:v>
                </c:pt>
                <c:pt idx="17">
                  <c:v>Industry</c:v>
                </c:pt>
              </c:strCache>
            </c:strRef>
          </c:cat>
          <c:val>
            <c:numRef>
              <c:f>'OUTPUT│Outcomes Trends'!$E$101:$E$118</c:f>
              <c:numCache>
                <c:formatCode>0.00%</c:formatCode>
                <c:ptCount val="18"/>
                <c:pt idx="0">
                  <c:v>5.2723202724486917E-3</c:v>
                </c:pt>
                <c:pt idx="1">
                  <c:v>4.7759262420559593E-3</c:v>
                </c:pt>
                <c:pt idx="2">
                  <c:v>4.1311488369656204E-3</c:v>
                </c:pt>
                <c:pt idx="3">
                  <c:v>3.6573300562620817E-3</c:v>
                </c:pt>
                <c:pt idx="4">
                  <c:v>2.4219465102399674E-3</c:v>
                </c:pt>
                <c:pt idx="5">
                  <c:v>1.9045609742082456E-3</c:v>
                </c:pt>
                <c:pt idx="6">
                  <c:v>-1.0684773003286329E-4</c:v>
                </c:pt>
                <c:pt idx="7">
                  <c:v>-1.9566461759691617E-4</c:v>
                </c:pt>
                <c:pt idx="8">
                  <c:v>-2.1463492990944147E-4</c:v>
                </c:pt>
                <c:pt idx="9">
                  <c:v>-1.1292198680321771E-3</c:v>
                </c:pt>
                <c:pt idx="10">
                  <c:v>-1.8055519789227303E-3</c:v>
                </c:pt>
                <c:pt idx="11">
                  <c:v>-2.315892953681791E-3</c:v>
                </c:pt>
                <c:pt idx="12">
                  <c:v>-7.6884090228284165E-3</c:v>
                </c:pt>
                <c:pt idx="13">
                  <c:v>-1.1337650166482504E-2</c:v>
                </c:pt>
                <c:pt idx="14">
                  <c:v>-1.7591487072770858E-2</c:v>
                </c:pt>
                <c:pt idx="15">
                  <c:v>-1.8157406265086117E-2</c:v>
                </c:pt>
                <c:pt idx="16">
                  <c:v>-2.0100924693402255E-2</c:v>
                </c:pt>
                <c:pt idx="17">
                  <c:v>-9.5830741841174073E-4</c:v>
                </c:pt>
              </c:numCache>
            </c:numRef>
          </c:val>
          <c:extLst xmlns:c16r2="http://schemas.microsoft.com/office/drawing/2015/06/chart">
            <c:ext xmlns:c16="http://schemas.microsoft.com/office/drawing/2014/chart" uri="{C3380CC4-5D6E-409C-BE32-E72D297353CC}">
              <c16:uniqueId val="{00000002-3154-4933-B3AF-92C6D83554A9}"/>
            </c:ext>
          </c:extLst>
        </c:ser>
        <c:dLbls>
          <c:showLegendKey val="0"/>
          <c:showVal val="0"/>
          <c:showCatName val="0"/>
          <c:showSerName val="0"/>
          <c:showPercent val="0"/>
          <c:showBubbleSize val="0"/>
        </c:dLbls>
        <c:gapWidth val="100"/>
        <c:overlap val="-27"/>
        <c:axId val="427355008"/>
        <c:axId val="427358536"/>
      </c:barChart>
      <c:catAx>
        <c:axId val="42735500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7358536"/>
        <c:crosses val="autoZero"/>
        <c:auto val="1"/>
        <c:lblAlgn val="ctr"/>
        <c:lblOffset val="100"/>
        <c:noMultiLvlLbl val="0"/>
      </c:catAx>
      <c:valAx>
        <c:axId val="427358536"/>
        <c:scaling>
          <c:orientation val="minMax"/>
          <c:max val="6.0000000000000019E-3"/>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7355008"/>
        <c:crosses val="autoZero"/>
        <c:crossBetween val="between"/>
        <c:majorUnit val="2.0000000000000005E-3"/>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OUTPUT│Totex!$E$54</c:f>
              <c:strCache>
                <c:ptCount val="1"/>
                <c:pt idx="0">
                  <c:v>2015-16</c:v>
                </c:pt>
              </c:strCache>
            </c:strRef>
          </c:tx>
          <c:spPr>
            <a:solidFill>
              <a:schemeClr val="accent2"/>
            </a:solidFill>
            <a:ln>
              <a:noFill/>
            </a:ln>
            <a:effectLst/>
          </c:spPr>
          <c:invertIfNegative val="0"/>
          <c:dPt>
            <c:idx val="17"/>
            <c:invertIfNegative val="0"/>
            <c:bubble3D val="0"/>
            <c:spPr>
              <a:solidFill>
                <a:srgbClr val="ADC0E2"/>
              </a:solidFill>
              <a:ln>
                <a:noFill/>
              </a:ln>
              <a:effectLst/>
            </c:spPr>
            <c:extLst xmlns:c16r2="http://schemas.microsoft.com/office/drawing/2015/06/chart">
              <c:ext xmlns:c16="http://schemas.microsoft.com/office/drawing/2014/chart" uri="{C3380CC4-5D6E-409C-BE32-E72D297353CC}">
                <c16:uniqueId val="{00000001-41A0-4672-848B-357B7A265EC4}"/>
              </c:ext>
            </c:extLst>
          </c:dPt>
          <c:cat>
            <c:strRef>
              <c:f>OUTPUT│Totex!$D$55:$D$72</c:f>
              <c:strCache>
                <c:ptCount val="18"/>
                <c:pt idx="0">
                  <c:v>SWB</c:v>
                </c:pt>
                <c:pt idx="1">
                  <c:v>WSX</c:v>
                </c:pt>
                <c:pt idx="2">
                  <c:v>ANH</c:v>
                </c:pt>
                <c:pt idx="3">
                  <c:v>NES</c:v>
                </c:pt>
                <c:pt idx="4">
                  <c:v>SRN</c:v>
                </c:pt>
                <c:pt idx="5">
                  <c:v>SEW</c:v>
                </c:pt>
                <c:pt idx="6">
                  <c:v>SVE</c:v>
                </c:pt>
                <c:pt idx="7">
                  <c:v>BRL</c:v>
                </c:pt>
                <c:pt idx="8">
                  <c:v>SES</c:v>
                </c:pt>
                <c:pt idx="9">
                  <c:v>PRT</c:v>
                </c:pt>
                <c:pt idx="10">
                  <c:v>HDD</c:v>
                </c:pt>
                <c:pt idx="11">
                  <c:v>AFW</c:v>
                </c:pt>
                <c:pt idx="12">
                  <c:v>YKY</c:v>
                </c:pt>
                <c:pt idx="13">
                  <c:v>SSC</c:v>
                </c:pt>
                <c:pt idx="14">
                  <c:v>WSH</c:v>
                </c:pt>
                <c:pt idx="15">
                  <c:v>TMS</c:v>
                </c:pt>
                <c:pt idx="16">
                  <c:v>UU</c:v>
                </c:pt>
                <c:pt idx="17">
                  <c:v>Industry</c:v>
                </c:pt>
              </c:strCache>
            </c:strRef>
          </c:cat>
          <c:val>
            <c:numRef>
              <c:f>OUTPUT│Totex!$E$55:$E$72</c:f>
              <c:numCache>
                <c:formatCode>0.00%;\-0.00%;\-</c:formatCode>
                <c:ptCount val="18"/>
                <c:pt idx="0">
                  <c:v>-0.2113607840967657</c:v>
                </c:pt>
                <c:pt idx="1">
                  <c:v>-9.5831869738750533E-2</c:v>
                </c:pt>
                <c:pt idx="2">
                  <c:v>-7.7840044930763852E-2</c:v>
                </c:pt>
                <c:pt idx="3">
                  <c:v>-0.11263159716663115</c:v>
                </c:pt>
                <c:pt idx="4">
                  <c:v>-0.20534779090840971</c:v>
                </c:pt>
                <c:pt idx="5">
                  <c:v>-3.1169709263015637E-2</c:v>
                </c:pt>
                <c:pt idx="6">
                  <c:v>-1.8955136998848199E-2</c:v>
                </c:pt>
                <c:pt idx="7">
                  <c:v>-0.24834141150355812</c:v>
                </c:pt>
                <c:pt idx="8">
                  <c:v>-5.6137961228808576E-2</c:v>
                </c:pt>
                <c:pt idx="9">
                  <c:v>-6.7885117493472494E-2</c:v>
                </c:pt>
                <c:pt idx="10">
                  <c:v>-0.24360924390363528</c:v>
                </c:pt>
                <c:pt idx="11">
                  <c:v>-0.10541356492969364</c:v>
                </c:pt>
                <c:pt idx="12">
                  <c:v>-0.21966610230647537</c:v>
                </c:pt>
                <c:pt idx="13">
                  <c:v>-5.4677817955678505E-2</c:v>
                </c:pt>
                <c:pt idx="14">
                  <c:v>-0.18255046289270013</c:v>
                </c:pt>
                <c:pt idx="15">
                  <c:v>3.5091960603805684E-2</c:v>
                </c:pt>
                <c:pt idx="16">
                  <c:v>0.15128554430412489</c:v>
                </c:pt>
                <c:pt idx="17">
                  <c:v>-5.7068575113307353E-2</c:v>
                </c:pt>
              </c:numCache>
            </c:numRef>
          </c:val>
          <c:extLst xmlns:c16r2="http://schemas.microsoft.com/office/drawing/2015/06/chart">
            <c:ext xmlns:c16="http://schemas.microsoft.com/office/drawing/2014/chart" uri="{C3380CC4-5D6E-409C-BE32-E72D297353CC}">
              <c16:uniqueId val="{00000002-41A0-4672-848B-357B7A265EC4}"/>
            </c:ext>
          </c:extLst>
        </c:ser>
        <c:ser>
          <c:idx val="1"/>
          <c:order val="1"/>
          <c:tx>
            <c:strRef>
              <c:f>OUTPUT│Totex!$F$54</c:f>
              <c:strCache>
                <c:ptCount val="1"/>
                <c:pt idx="0">
                  <c:v>2016-17</c:v>
                </c:pt>
              </c:strCache>
            </c:strRef>
          </c:tx>
          <c:spPr>
            <a:solidFill>
              <a:schemeClr val="accent3"/>
            </a:solidFill>
            <a:ln>
              <a:noFill/>
            </a:ln>
            <a:effectLst/>
          </c:spPr>
          <c:invertIfNegative val="0"/>
          <c:dPt>
            <c:idx val="17"/>
            <c:invertIfNegative val="0"/>
            <c:bubble3D val="0"/>
            <c:spPr>
              <a:solidFill>
                <a:srgbClr val="6995D2"/>
              </a:solidFill>
              <a:ln>
                <a:noFill/>
              </a:ln>
              <a:effectLst/>
            </c:spPr>
            <c:extLst xmlns:c16r2="http://schemas.microsoft.com/office/drawing/2015/06/chart">
              <c:ext xmlns:c16="http://schemas.microsoft.com/office/drawing/2014/chart" uri="{C3380CC4-5D6E-409C-BE32-E72D297353CC}">
                <c16:uniqueId val="{00000004-41A0-4672-848B-357B7A265EC4}"/>
              </c:ext>
            </c:extLst>
          </c:dPt>
          <c:cat>
            <c:strRef>
              <c:f>OUTPUT│Totex!$D$55:$D$72</c:f>
              <c:strCache>
                <c:ptCount val="18"/>
                <c:pt idx="0">
                  <c:v>SWB</c:v>
                </c:pt>
                <c:pt idx="1">
                  <c:v>WSX</c:v>
                </c:pt>
                <c:pt idx="2">
                  <c:v>ANH</c:v>
                </c:pt>
                <c:pt idx="3">
                  <c:v>NES</c:v>
                </c:pt>
                <c:pt idx="4">
                  <c:v>SRN</c:v>
                </c:pt>
                <c:pt idx="5">
                  <c:v>SEW</c:v>
                </c:pt>
                <c:pt idx="6">
                  <c:v>SVE</c:v>
                </c:pt>
                <c:pt idx="7">
                  <c:v>BRL</c:v>
                </c:pt>
                <c:pt idx="8">
                  <c:v>SES</c:v>
                </c:pt>
                <c:pt idx="9">
                  <c:v>PRT</c:v>
                </c:pt>
                <c:pt idx="10">
                  <c:v>HDD</c:v>
                </c:pt>
                <c:pt idx="11">
                  <c:v>AFW</c:v>
                </c:pt>
                <c:pt idx="12">
                  <c:v>YKY</c:v>
                </c:pt>
                <c:pt idx="13">
                  <c:v>SSC</c:v>
                </c:pt>
                <c:pt idx="14">
                  <c:v>WSH</c:v>
                </c:pt>
                <c:pt idx="15">
                  <c:v>TMS</c:v>
                </c:pt>
                <c:pt idx="16">
                  <c:v>UU</c:v>
                </c:pt>
                <c:pt idx="17">
                  <c:v>Industry</c:v>
                </c:pt>
              </c:strCache>
            </c:strRef>
          </c:cat>
          <c:val>
            <c:numRef>
              <c:f>OUTPUT│Totex!$F$55:$F$72</c:f>
              <c:numCache>
                <c:formatCode>0.00%;\-0.00%;\-</c:formatCode>
                <c:ptCount val="18"/>
                <c:pt idx="0">
                  <c:v>-0.18524011504805879</c:v>
                </c:pt>
                <c:pt idx="1">
                  <c:v>-0.11790044296868073</c:v>
                </c:pt>
                <c:pt idx="2">
                  <c:v>-0.15177378229463354</c:v>
                </c:pt>
                <c:pt idx="3">
                  <c:v>-0.14294916836126709</c:v>
                </c:pt>
                <c:pt idx="4">
                  <c:v>-0.18843856737571726</c:v>
                </c:pt>
                <c:pt idx="5">
                  <c:v>-5.772547728768937E-2</c:v>
                </c:pt>
                <c:pt idx="6">
                  <c:v>-7.3415264431931637E-2</c:v>
                </c:pt>
                <c:pt idx="7">
                  <c:v>-0.17647713950762017</c:v>
                </c:pt>
                <c:pt idx="8">
                  <c:v>-5.5758599153385283E-2</c:v>
                </c:pt>
                <c:pt idx="9">
                  <c:v>-3.0569666182873649E-2</c:v>
                </c:pt>
                <c:pt idx="10">
                  <c:v>-0.22900002215771839</c:v>
                </c:pt>
                <c:pt idx="11">
                  <c:v>-6.1664266611808204E-2</c:v>
                </c:pt>
                <c:pt idx="12">
                  <c:v>-0.12802254314899617</c:v>
                </c:pt>
                <c:pt idx="13">
                  <c:v>-3.691949225013956E-2</c:v>
                </c:pt>
                <c:pt idx="14">
                  <c:v>-7.3854803940373567E-2</c:v>
                </c:pt>
                <c:pt idx="15">
                  <c:v>4.2708379882725314E-2</c:v>
                </c:pt>
                <c:pt idx="16">
                  <c:v>0.13149115973681241</c:v>
                </c:pt>
                <c:pt idx="17">
                  <c:v>-5.7117581144626915E-2</c:v>
                </c:pt>
              </c:numCache>
            </c:numRef>
          </c:val>
          <c:extLst xmlns:c16r2="http://schemas.microsoft.com/office/drawing/2015/06/chart">
            <c:ext xmlns:c16="http://schemas.microsoft.com/office/drawing/2014/chart" uri="{C3380CC4-5D6E-409C-BE32-E72D297353CC}">
              <c16:uniqueId val="{00000005-41A0-4672-848B-357B7A265EC4}"/>
            </c:ext>
          </c:extLst>
        </c:ser>
        <c:ser>
          <c:idx val="2"/>
          <c:order val="2"/>
          <c:tx>
            <c:strRef>
              <c:f>OUTPUT│Totex!$G$54</c:f>
              <c:strCache>
                <c:ptCount val="1"/>
                <c:pt idx="0">
                  <c:v>2017-18</c:v>
                </c:pt>
              </c:strCache>
            </c:strRef>
          </c:tx>
          <c:spPr>
            <a:solidFill>
              <a:schemeClr val="accent4"/>
            </a:solidFill>
            <a:ln>
              <a:noFill/>
            </a:ln>
            <a:effectLst/>
          </c:spPr>
          <c:invertIfNegative val="0"/>
          <c:dPt>
            <c:idx val="17"/>
            <c:invertIfNegative val="0"/>
            <c:bubble3D val="0"/>
            <c:spPr>
              <a:solidFill>
                <a:srgbClr val="0070BC"/>
              </a:solidFill>
              <a:ln>
                <a:noFill/>
              </a:ln>
              <a:effectLst/>
            </c:spPr>
            <c:extLst xmlns:c16r2="http://schemas.microsoft.com/office/drawing/2015/06/chart">
              <c:ext xmlns:c16="http://schemas.microsoft.com/office/drawing/2014/chart" uri="{C3380CC4-5D6E-409C-BE32-E72D297353CC}">
                <c16:uniqueId val="{00000007-41A0-4672-848B-357B7A265EC4}"/>
              </c:ext>
            </c:extLst>
          </c:dPt>
          <c:cat>
            <c:strRef>
              <c:f>OUTPUT│Totex!$D$55:$D$72</c:f>
              <c:strCache>
                <c:ptCount val="18"/>
                <c:pt idx="0">
                  <c:v>SWB</c:v>
                </c:pt>
                <c:pt idx="1">
                  <c:v>WSX</c:v>
                </c:pt>
                <c:pt idx="2">
                  <c:v>ANH</c:v>
                </c:pt>
                <c:pt idx="3">
                  <c:v>NES</c:v>
                </c:pt>
                <c:pt idx="4">
                  <c:v>SRN</c:v>
                </c:pt>
                <c:pt idx="5">
                  <c:v>SEW</c:v>
                </c:pt>
                <c:pt idx="6">
                  <c:v>SVE</c:v>
                </c:pt>
                <c:pt idx="7">
                  <c:v>BRL</c:v>
                </c:pt>
                <c:pt idx="8">
                  <c:v>SES</c:v>
                </c:pt>
                <c:pt idx="9">
                  <c:v>PRT</c:v>
                </c:pt>
                <c:pt idx="10">
                  <c:v>HDD</c:v>
                </c:pt>
                <c:pt idx="11">
                  <c:v>AFW</c:v>
                </c:pt>
                <c:pt idx="12">
                  <c:v>YKY</c:v>
                </c:pt>
                <c:pt idx="13">
                  <c:v>SSC</c:v>
                </c:pt>
                <c:pt idx="14">
                  <c:v>WSH</c:v>
                </c:pt>
                <c:pt idx="15">
                  <c:v>TMS</c:v>
                </c:pt>
                <c:pt idx="16">
                  <c:v>UU</c:v>
                </c:pt>
                <c:pt idx="17">
                  <c:v>Industry</c:v>
                </c:pt>
              </c:strCache>
            </c:strRef>
          </c:cat>
          <c:val>
            <c:numRef>
              <c:f>OUTPUT│Totex!$G$55:$G$72</c:f>
              <c:numCache>
                <c:formatCode>0.00%;\-0.00%;\-</c:formatCode>
                <c:ptCount val="18"/>
                <c:pt idx="0">
                  <c:v>-0.17209207147742686</c:v>
                </c:pt>
                <c:pt idx="1">
                  <c:v>-0.1116258311500082</c:v>
                </c:pt>
                <c:pt idx="2">
                  <c:v>-0.11373577697800423</c:v>
                </c:pt>
                <c:pt idx="3">
                  <c:v>-0.12874209749880786</c:v>
                </c:pt>
                <c:pt idx="4">
                  <c:v>-0.12969767683273678</c:v>
                </c:pt>
                <c:pt idx="5">
                  <c:v>-7.3888770509269092E-2</c:v>
                </c:pt>
                <c:pt idx="6">
                  <c:v>-7.7625059801299592E-2</c:v>
                </c:pt>
                <c:pt idx="7">
                  <c:v>-8.933149823043654E-2</c:v>
                </c:pt>
                <c:pt idx="8">
                  <c:v>-6.2131897952793398E-2</c:v>
                </c:pt>
                <c:pt idx="9">
                  <c:v>-9.5752006458659805E-2</c:v>
                </c:pt>
                <c:pt idx="10">
                  <c:v>-0.10769277081232401</c:v>
                </c:pt>
                <c:pt idx="11">
                  <c:v>-2.655355097365401E-2</c:v>
                </c:pt>
                <c:pt idx="12">
                  <c:v>-7.4378508035500085E-2</c:v>
                </c:pt>
                <c:pt idx="13">
                  <c:v>-6.7620093532759721E-3</c:v>
                </c:pt>
                <c:pt idx="14">
                  <c:v>-9.323780736365259E-3</c:v>
                </c:pt>
                <c:pt idx="15">
                  <c:v>4.1916224584820194E-2</c:v>
                </c:pt>
                <c:pt idx="16">
                  <c:v>9.8226529223528716E-2</c:v>
                </c:pt>
                <c:pt idx="17">
                  <c:v>-4.1392446505114262E-2</c:v>
                </c:pt>
              </c:numCache>
            </c:numRef>
          </c:val>
          <c:extLst xmlns:c16r2="http://schemas.microsoft.com/office/drawing/2015/06/chart">
            <c:ext xmlns:c16="http://schemas.microsoft.com/office/drawing/2014/chart" uri="{C3380CC4-5D6E-409C-BE32-E72D297353CC}">
              <c16:uniqueId val="{00000008-41A0-4672-848B-357B7A265EC4}"/>
            </c:ext>
          </c:extLst>
        </c:ser>
        <c:ser>
          <c:idx val="3"/>
          <c:order val="3"/>
          <c:tx>
            <c:strRef>
              <c:f>OUTPUT│Totex!$H$54</c:f>
              <c:strCache>
                <c:ptCount val="1"/>
                <c:pt idx="0">
                  <c:v>2018-19</c:v>
                </c:pt>
              </c:strCache>
            </c:strRef>
          </c:tx>
          <c:spPr>
            <a:solidFill>
              <a:schemeClr val="accent5"/>
            </a:solidFill>
            <a:ln>
              <a:noFill/>
            </a:ln>
            <a:effectLst/>
          </c:spPr>
          <c:invertIfNegative val="0"/>
          <c:dPt>
            <c:idx val="17"/>
            <c:invertIfNegative val="0"/>
            <c:bubble3D val="0"/>
            <c:spPr>
              <a:solidFill>
                <a:srgbClr val="005D9D"/>
              </a:solidFill>
              <a:ln>
                <a:noFill/>
              </a:ln>
              <a:effectLst/>
            </c:spPr>
            <c:extLst xmlns:c16r2="http://schemas.microsoft.com/office/drawing/2015/06/chart">
              <c:ext xmlns:c16="http://schemas.microsoft.com/office/drawing/2014/chart" uri="{C3380CC4-5D6E-409C-BE32-E72D297353CC}">
                <c16:uniqueId val="{0000000A-41A0-4672-848B-357B7A265EC4}"/>
              </c:ext>
            </c:extLst>
          </c:dPt>
          <c:cat>
            <c:strRef>
              <c:f>OUTPUT│Totex!$D$55:$D$72</c:f>
              <c:strCache>
                <c:ptCount val="18"/>
                <c:pt idx="0">
                  <c:v>SWB</c:v>
                </c:pt>
                <c:pt idx="1">
                  <c:v>WSX</c:v>
                </c:pt>
                <c:pt idx="2">
                  <c:v>ANH</c:v>
                </c:pt>
                <c:pt idx="3">
                  <c:v>NES</c:v>
                </c:pt>
                <c:pt idx="4">
                  <c:v>SRN</c:v>
                </c:pt>
                <c:pt idx="5">
                  <c:v>SEW</c:v>
                </c:pt>
                <c:pt idx="6">
                  <c:v>SVE</c:v>
                </c:pt>
                <c:pt idx="7">
                  <c:v>BRL</c:v>
                </c:pt>
                <c:pt idx="8">
                  <c:v>SES</c:v>
                </c:pt>
                <c:pt idx="9">
                  <c:v>PRT</c:v>
                </c:pt>
                <c:pt idx="10">
                  <c:v>HDD</c:v>
                </c:pt>
                <c:pt idx="11">
                  <c:v>AFW</c:v>
                </c:pt>
                <c:pt idx="12">
                  <c:v>YKY</c:v>
                </c:pt>
                <c:pt idx="13">
                  <c:v>SSC</c:v>
                </c:pt>
                <c:pt idx="14">
                  <c:v>WSH</c:v>
                </c:pt>
                <c:pt idx="15">
                  <c:v>TMS</c:v>
                </c:pt>
                <c:pt idx="16">
                  <c:v>UU</c:v>
                </c:pt>
                <c:pt idx="17">
                  <c:v>Industry</c:v>
                </c:pt>
              </c:strCache>
            </c:strRef>
          </c:cat>
          <c:val>
            <c:numRef>
              <c:f>OUTPUT│Totex!$H$55:$H$72</c:f>
              <c:numCache>
                <c:formatCode>0.00%;\-0.00%;\-</c:formatCode>
                <c:ptCount val="18"/>
                <c:pt idx="0">
                  <c:v>-0.16352858253058875</c:v>
                </c:pt>
                <c:pt idx="1">
                  <c:v>-9.9820690770586362E-2</c:v>
                </c:pt>
                <c:pt idx="2">
                  <c:v>-9.6219081319757385E-2</c:v>
                </c:pt>
                <c:pt idx="3">
                  <c:v>-9.0438646902882142E-2</c:v>
                </c:pt>
                <c:pt idx="4">
                  <c:v>-7.6862866431460994E-2</c:v>
                </c:pt>
                <c:pt idx="5">
                  <c:v>-6.2521088651917758E-2</c:v>
                </c:pt>
                <c:pt idx="6">
                  <c:v>-4.8201963435789572E-2</c:v>
                </c:pt>
                <c:pt idx="7">
                  <c:v>-4.2103017896448824E-2</c:v>
                </c:pt>
                <c:pt idx="8">
                  <c:v>-3.862754892991252E-2</c:v>
                </c:pt>
                <c:pt idx="9">
                  <c:v>-3.8438449201215037E-2</c:v>
                </c:pt>
                <c:pt idx="10">
                  <c:v>-3.0323244428867028E-2</c:v>
                </c:pt>
                <c:pt idx="11">
                  <c:v>-2.6393146865164286E-3</c:v>
                </c:pt>
                <c:pt idx="12">
                  <c:v>-2.5636009393322103E-4</c:v>
                </c:pt>
                <c:pt idx="13">
                  <c:v>4.2542211614441773E-3</c:v>
                </c:pt>
                <c:pt idx="14">
                  <c:v>4.2841076603991959E-2</c:v>
                </c:pt>
                <c:pt idx="15">
                  <c:v>6.3487531339175687E-2</c:v>
                </c:pt>
                <c:pt idx="16">
                  <c:v>7.3268047251425536E-2</c:v>
                </c:pt>
                <c:pt idx="17">
                  <c:v>-1.6117701503916407E-2</c:v>
                </c:pt>
              </c:numCache>
            </c:numRef>
          </c:val>
          <c:extLst xmlns:c16r2="http://schemas.microsoft.com/office/drawing/2015/06/chart">
            <c:ext xmlns:c16="http://schemas.microsoft.com/office/drawing/2014/chart" uri="{C3380CC4-5D6E-409C-BE32-E72D297353CC}">
              <c16:uniqueId val="{0000000B-41A0-4672-848B-357B7A265EC4}"/>
            </c:ext>
          </c:extLst>
        </c:ser>
        <c:dLbls>
          <c:showLegendKey val="0"/>
          <c:showVal val="0"/>
          <c:showCatName val="0"/>
          <c:showSerName val="0"/>
          <c:showPercent val="0"/>
          <c:showBubbleSize val="0"/>
        </c:dLbls>
        <c:gapWidth val="150"/>
        <c:overlap val="-27"/>
        <c:axId val="420318336"/>
        <c:axId val="420319512"/>
      </c:barChart>
      <c:catAx>
        <c:axId val="4203183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319512"/>
        <c:crosses val="autoZero"/>
        <c:auto val="1"/>
        <c:lblAlgn val="ctr"/>
        <c:lblOffset val="100"/>
        <c:noMultiLvlLbl val="0"/>
      </c:catAx>
      <c:valAx>
        <c:axId val="420319512"/>
        <c:scaling>
          <c:orientation val="minMax"/>
          <c:max val="0.25"/>
          <c:min val="-0.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318336"/>
        <c:crosses val="autoZero"/>
        <c:crossBetween val="between"/>
        <c:majorUnit val="5.000000000000001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'OUTPUT│Outcomes Trends'!$D$145:$D$161</c:f>
              <c:strCache>
                <c:ptCount val="17"/>
                <c:pt idx="0">
                  <c:v>WSH</c:v>
                </c:pt>
                <c:pt idx="1">
                  <c:v>SVE</c:v>
                </c:pt>
                <c:pt idx="2">
                  <c:v>SEW</c:v>
                </c:pt>
                <c:pt idx="3">
                  <c:v>PRT</c:v>
                </c:pt>
                <c:pt idx="4">
                  <c:v>WSX</c:v>
                </c:pt>
                <c:pt idx="5">
                  <c:v>SWB</c:v>
                </c:pt>
                <c:pt idx="6">
                  <c:v>UU</c:v>
                </c:pt>
                <c:pt idx="7">
                  <c:v>BRL</c:v>
                </c:pt>
                <c:pt idx="8">
                  <c:v>SES</c:v>
                </c:pt>
                <c:pt idx="9">
                  <c:v>HDD</c:v>
                </c:pt>
                <c:pt idx="10">
                  <c:v>ANH</c:v>
                </c:pt>
                <c:pt idx="11">
                  <c:v>SSC</c:v>
                </c:pt>
                <c:pt idx="12">
                  <c:v>AFW</c:v>
                </c:pt>
                <c:pt idx="13">
                  <c:v>NES</c:v>
                </c:pt>
                <c:pt idx="14">
                  <c:v>SRN</c:v>
                </c:pt>
                <c:pt idx="15">
                  <c:v>YKY</c:v>
                </c:pt>
                <c:pt idx="16">
                  <c:v>TMS</c:v>
                </c:pt>
              </c:strCache>
            </c:strRef>
          </c:cat>
          <c:val>
            <c:numRef>
              <c:f>'OUTPUT│Outcomes Trends'!$E$145:$E$161</c:f>
              <c:numCache>
                <c:formatCode>0.0%</c:formatCode>
                <c:ptCount val="17"/>
                <c:pt idx="0">
                  <c:v>-4.9276431662583402E-3</c:v>
                </c:pt>
                <c:pt idx="1">
                  <c:v>-3.8447849462971639E-3</c:v>
                </c:pt>
                <c:pt idx="2">
                  <c:v>-2.027889848237375E-3</c:v>
                </c:pt>
                <c:pt idx="3">
                  <c:v>-1.9213287574860473E-3</c:v>
                </c:pt>
                <c:pt idx="4">
                  <c:v>-6.8780340394038197E-4</c:v>
                </c:pt>
                <c:pt idx="5">
                  <c:v>-4.7265828235784082E-4</c:v>
                </c:pt>
                <c:pt idx="6">
                  <c:v>-4.4848459635856428E-4</c:v>
                </c:pt>
                <c:pt idx="7">
                  <c:v>-1.2593583452429573E-4</c:v>
                </c:pt>
                <c:pt idx="8">
                  <c:v>1.3239408244861844E-4</c:v>
                </c:pt>
                <c:pt idx="9">
                  <c:v>3.679630865994621E-4</c:v>
                </c:pt>
                <c:pt idx="10">
                  <c:v>6.7674819701276495E-4</c:v>
                </c:pt>
                <c:pt idx="11">
                  <c:v>1.9794529888049516E-3</c:v>
                </c:pt>
                <c:pt idx="12">
                  <c:v>2.1274325867920128E-3</c:v>
                </c:pt>
                <c:pt idx="13">
                  <c:v>3.4099549040424648E-3</c:v>
                </c:pt>
                <c:pt idx="14">
                  <c:v>6.6394336829326463E-3</c:v>
                </c:pt>
                <c:pt idx="15">
                  <c:v>8.1212467648359744E-3</c:v>
                </c:pt>
                <c:pt idx="16">
                  <c:v>1.4481707949208417E-2</c:v>
                </c:pt>
              </c:numCache>
            </c:numRef>
          </c:val>
          <c:extLst xmlns:c16r2="http://schemas.microsoft.com/office/drawing/2015/06/chart">
            <c:ext xmlns:c16="http://schemas.microsoft.com/office/drawing/2014/chart" uri="{C3380CC4-5D6E-409C-BE32-E72D297353CC}">
              <c16:uniqueId val="{00000002-E37E-4795-8720-1930E81E66E0}"/>
            </c:ext>
          </c:extLst>
        </c:ser>
        <c:dLbls>
          <c:showLegendKey val="0"/>
          <c:showVal val="0"/>
          <c:showCatName val="0"/>
          <c:showSerName val="0"/>
          <c:showPercent val="0"/>
          <c:showBubbleSize val="0"/>
        </c:dLbls>
        <c:gapWidth val="150"/>
        <c:overlap val="-27"/>
        <c:axId val="420319904"/>
        <c:axId val="420320296"/>
      </c:barChart>
      <c:catAx>
        <c:axId val="42031990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320296"/>
        <c:crosses val="autoZero"/>
        <c:auto val="1"/>
        <c:lblAlgn val="ctr"/>
        <c:lblOffset val="100"/>
        <c:noMultiLvlLbl val="0"/>
      </c:catAx>
      <c:valAx>
        <c:axId val="4203202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319904"/>
        <c:crosses val="autoZero"/>
        <c:crossBetween val="between"/>
        <c:majorUnit val="2.0000000000000005E-3"/>
      </c:valAx>
      <c:spPr>
        <a:noFill/>
        <a:ln>
          <a:noFill/>
        </a:ln>
        <a:effectLst/>
      </c:spPr>
    </c:plotArea>
    <c:plotVisOnly val="0"/>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CALCS│Outcomes!$C$10</c:f>
              <c:strCache>
                <c:ptCount val="1"/>
                <c:pt idx="0">
                  <c:v>ANH</c:v>
                </c:pt>
              </c:strCache>
            </c:strRef>
          </c:tx>
          <c:spPr>
            <a:solidFill>
              <a:schemeClr val="tx2"/>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CALCS│Outcomes!$E$10:$K$10</c:f>
              <c:numCache>
                <c:formatCode>#,##0.00;\-#,##0.00;\-</c:formatCode>
                <c:ptCount val="7"/>
                <c:pt idx="0">
                  <c:v>189.14430877213201</c:v>
                </c:pt>
                <c:pt idx="1">
                  <c:v>192.720797385862</c:v>
                </c:pt>
                <c:pt idx="2">
                  <c:v>191.99886023438</c:v>
                </c:pt>
                <c:pt idx="3">
                  <c:v>182.64590090873199</c:v>
                </c:pt>
                <c:pt idx="4">
                  <c:v>184.716123345873</c:v>
                </c:pt>
                <c:pt idx="5">
                  <c:v>182.66</c:v>
                </c:pt>
                <c:pt idx="6">
                  <c:v>191.24007283985699</c:v>
                </c:pt>
              </c:numCache>
            </c:numRef>
          </c:val>
          <c:extLst xmlns:c16r2="http://schemas.microsoft.com/office/drawing/2015/06/chart">
            <c:ext xmlns:c16="http://schemas.microsoft.com/office/drawing/2014/chart" uri="{C3380CC4-5D6E-409C-BE32-E72D297353CC}">
              <c16:uniqueId val="{00000000-0F0C-4D32-A3FF-163409A13C5E}"/>
            </c:ext>
          </c:extLst>
        </c:ser>
        <c:ser>
          <c:idx val="1"/>
          <c:order val="1"/>
          <c:tx>
            <c:strRef>
              <c:f>CALCS│Outcomes!$C$11</c:f>
              <c:strCache>
                <c:ptCount val="1"/>
                <c:pt idx="0">
                  <c:v>WSH</c:v>
                </c:pt>
              </c:strCache>
            </c:strRef>
          </c:tx>
          <c:spPr>
            <a:solidFill>
              <a:schemeClr val="accent1"/>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CALCS│Outcomes!$E$11:$K$11</c:f>
              <c:numCache>
                <c:formatCode>#,##0.00;\-#,##0.00;\-</c:formatCode>
                <c:ptCount val="7"/>
                <c:pt idx="0">
                  <c:v>184.8</c:v>
                </c:pt>
                <c:pt idx="1">
                  <c:v>183.75</c:v>
                </c:pt>
                <c:pt idx="2">
                  <c:v>179.52</c:v>
                </c:pt>
                <c:pt idx="3">
                  <c:v>179.86</c:v>
                </c:pt>
                <c:pt idx="4">
                  <c:v>175.43</c:v>
                </c:pt>
                <c:pt idx="5">
                  <c:v>172.84899999999999</c:v>
                </c:pt>
                <c:pt idx="6">
                  <c:v>169.54</c:v>
                </c:pt>
              </c:numCache>
            </c:numRef>
          </c:val>
          <c:extLst xmlns:c16r2="http://schemas.microsoft.com/office/drawing/2015/06/chart">
            <c:ext xmlns:c16="http://schemas.microsoft.com/office/drawing/2014/chart" uri="{C3380CC4-5D6E-409C-BE32-E72D297353CC}">
              <c16:uniqueId val="{00000001-0F0C-4D32-A3FF-163409A13C5E}"/>
            </c:ext>
          </c:extLst>
        </c:ser>
        <c:ser>
          <c:idx val="2"/>
          <c:order val="2"/>
          <c:tx>
            <c:strRef>
              <c:f>CALCS│Outcomes!$C$12</c:f>
              <c:strCache>
                <c:ptCount val="1"/>
                <c:pt idx="0">
                  <c:v>HDD</c:v>
                </c:pt>
              </c:strCache>
            </c:strRef>
          </c:tx>
          <c:spPr>
            <a:solidFill>
              <a:schemeClr val="tx1"/>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CALCS│Outcomes!$E$12:$K$12</c:f>
              <c:numCache>
                <c:formatCode>#,##0.00;\-#,##0.00;\-</c:formatCode>
                <c:ptCount val="7"/>
                <c:pt idx="0">
                  <c:v>14.132034121401718</c:v>
                </c:pt>
                <c:pt idx="1">
                  <c:v>14.163946763937787</c:v>
                </c:pt>
                <c:pt idx="2">
                  <c:v>14.226090648011846</c:v>
                </c:pt>
                <c:pt idx="3">
                  <c:v>11.652000000000001</c:v>
                </c:pt>
                <c:pt idx="4">
                  <c:v>14.37</c:v>
                </c:pt>
                <c:pt idx="5">
                  <c:v>14.619861664762418</c:v>
                </c:pt>
                <c:pt idx="6">
                  <c:v>15.271547781797601</c:v>
                </c:pt>
              </c:numCache>
            </c:numRef>
          </c:val>
          <c:extLst xmlns:c16r2="http://schemas.microsoft.com/office/drawing/2015/06/chart">
            <c:ext xmlns:c16="http://schemas.microsoft.com/office/drawing/2014/chart" uri="{C3380CC4-5D6E-409C-BE32-E72D297353CC}">
              <c16:uniqueId val="{00000002-0F0C-4D32-A3FF-163409A13C5E}"/>
            </c:ext>
          </c:extLst>
        </c:ser>
        <c:ser>
          <c:idx val="3"/>
          <c:order val="3"/>
          <c:tx>
            <c:strRef>
              <c:f>CALCS│Outcomes!$C$13</c:f>
              <c:strCache>
                <c:ptCount val="1"/>
                <c:pt idx="0">
                  <c:v>NES</c:v>
                </c:pt>
              </c:strCache>
            </c:strRef>
          </c:tx>
          <c:spPr>
            <a:solidFill>
              <a:srgbClr val="7FBBE4"/>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CALCS│Outcomes!$E$13:$K$13</c:f>
              <c:numCache>
                <c:formatCode>#,##0.00;\-#,##0.00;\-</c:formatCode>
                <c:ptCount val="7"/>
                <c:pt idx="0">
                  <c:v>189.88</c:v>
                </c:pt>
                <c:pt idx="1">
                  <c:v>192.42</c:v>
                </c:pt>
                <c:pt idx="2">
                  <c:v>197.63</c:v>
                </c:pt>
                <c:pt idx="3">
                  <c:v>197.08</c:v>
                </c:pt>
                <c:pt idx="4">
                  <c:v>201.9</c:v>
                </c:pt>
                <c:pt idx="5">
                  <c:v>203.21</c:v>
                </c:pt>
                <c:pt idx="6">
                  <c:v>200.44</c:v>
                </c:pt>
              </c:numCache>
            </c:numRef>
          </c:val>
          <c:extLst xmlns:c16r2="http://schemas.microsoft.com/office/drawing/2015/06/chart">
            <c:ext xmlns:c16="http://schemas.microsoft.com/office/drawing/2014/chart" uri="{C3380CC4-5D6E-409C-BE32-E72D297353CC}">
              <c16:uniqueId val="{00000003-0F0C-4D32-A3FF-163409A13C5E}"/>
            </c:ext>
          </c:extLst>
        </c:ser>
        <c:ser>
          <c:idx val="4"/>
          <c:order val="4"/>
          <c:tx>
            <c:strRef>
              <c:f>CALCS│Outcomes!$C$14</c:f>
              <c:strCache>
                <c:ptCount val="1"/>
                <c:pt idx="0">
                  <c:v>SVE</c:v>
                </c:pt>
              </c:strCache>
            </c:strRef>
          </c:tx>
          <c:spPr>
            <a:solidFill>
              <a:srgbClr val="BFDDF1"/>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CALCS│Outcomes!$E$14:$K$14</c:f>
              <c:numCache>
                <c:formatCode>#,##0.00;\-#,##0.00;\-</c:formatCode>
                <c:ptCount val="7"/>
                <c:pt idx="0">
                  <c:v>436.27311311579626</c:v>
                </c:pt>
                <c:pt idx="1">
                  <c:v>437.25829527622415</c:v>
                </c:pt>
                <c:pt idx="2">
                  <c:v>439.17675269949331</c:v>
                </c:pt>
                <c:pt idx="3">
                  <c:v>432.18</c:v>
                </c:pt>
                <c:pt idx="4">
                  <c:v>430.5</c:v>
                </c:pt>
                <c:pt idx="5">
                  <c:v>439.21999999999997</c:v>
                </c:pt>
                <c:pt idx="6">
                  <c:v>424.36652485424298</c:v>
                </c:pt>
              </c:numCache>
            </c:numRef>
          </c:val>
          <c:extLst xmlns:c16r2="http://schemas.microsoft.com/office/drawing/2015/06/chart">
            <c:ext xmlns:c16="http://schemas.microsoft.com/office/drawing/2014/chart" uri="{C3380CC4-5D6E-409C-BE32-E72D297353CC}">
              <c16:uniqueId val="{00000004-0F0C-4D32-A3FF-163409A13C5E}"/>
            </c:ext>
          </c:extLst>
        </c:ser>
        <c:ser>
          <c:idx val="5"/>
          <c:order val="5"/>
          <c:tx>
            <c:strRef>
              <c:f>CALCS│Outcomes!$C$15</c:f>
              <c:strCache>
                <c:ptCount val="1"/>
                <c:pt idx="0">
                  <c:v>SWB</c:v>
                </c:pt>
              </c:strCache>
            </c:strRef>
          </c:tx>
          <c:spPr>
            <a:solidFill>
              <a:schemeClr val="accent5"/>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CALCS│Outcomes!$E$15:$K$15</c:f>
              <c:numCache>
                <c:formatCode>#,##0.00;\-#,##0.00;\-</c:formatCode>
                <c:ptCount val="7"/>
                <c:pt idx="0">
                  <c:v>105.1026538608006</c:v>
                </c:pt>
                <c:pt idx="1">
                  <c:v>104.99</c:v>
                </c:pt>
                <c:pt idx="2">
                  <c:v>105.2396126565489</c:v>
                </c:pt>
                <c:pt idx="3">
                  <c:v>103.38</c:v>
                </c:pt>
                <c:pt idx="4">
                  <c:v>103.51</c:v>
                </c:pt>
                <c:pt idx="5">
                  <c:v>102.46</c:v>
                </c:pt>
                <c:pt idx="6">
                  <c:v>103.638918532283</c:v>
                </c:pt>
              </c:numCache>
            </c:numRef>
          </c:val>
          <c:extLst xmlns:c16r2="http://schemas.microsoft.com/office/drawing/2015/06/chart">
            <c:ext xmlns:c16="http://schemas.microsoft.com/office/drawing/2014/chart" uri="{C3380CC4-5D6E-409C-BE32-E72D297353CC}">
              <c16:uniqueId val="{00000005-0F0C-4D32-A3FF-163409A13C5E}"/>
            </c:ext>
          </c:extLst>
        </c:ser>
        <c:ser>
          <c:idx val="6"/>
          <c:order val="6"/>
          <c:tx>
            <c:strRef>
              <c:f>CALCS│Outcomes!$C$16</c:f>
              <c:strCache>
                <c:ptCount val="1"/>
                <c:pt idx="0">
                  <c:v>SRN</c:v>
                </c:pt>
              </c:strCache>
            </c:strRef>
          </c:tx>
          <c:spPr>
            <a:solidFill>
              <a:srgbClr val="E47FC1"/>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CALCS│Outcomes!$E$16:$K$16</c:f>
              <c:numCache>
                <c:formatCode>#,##0.00;\-#,##0.00;\-</c:formatCode>
                <c:ptCount val="7"/>
                <c:pt idx="0">
                  <c:v>81.268901198179705</c:v>
                </c:pt>
                <c:pt idx="1">
                  <c:v>84.59</c:v>
                </c:pt>
                <c:pt idx="2">
                  <c:v>81.69</c:v>
                </c:pt>
                <c:pt idx="3">
                  <c:v>83.91</c:v>
                </c:pt>
                <c:pt idx="4">
                  <c:v>88.110156640835797</c:v>
                </c:pt>
                <c:pt idx="5">
                  <c:v>88.680494328295197</c:v>
                </c:pt>
                <c:pt idx="6">
                  <c:v>101.83</c:v>
                </c:pt>
              </c:numCache>
            </c:numRef>
          </c:val>
          <c:extLst xmlns:c16r2="http://schemas.microsoft.com/office/drawing/2015/06/chart">
            <c:ext xmlns:c16="http://schemas.microsoft.com/office/drawing/2014/chart" uri="{C3380CC4-5D6E-409C-BE32-E72D297353CC}">
              <c16:uniqueId val="{00000006-0F0C-4D32-A3FF-163409A13C5E}"/>
            </c:ext>
          </c:extLst>
        </c:ser>
        <c:ser>
          <c:idx val="7"/>
          <c:order val="7"/>
          <c:tx>
            <c:strRef>
              <c:f>CALCS│Outcomes!$C$17</c:f>
              <c:strCache>
                <c:ptCount val="1"/>
                <c:pt idx="0">
                  <c:v>TMS</c:v>
                </c:pt>
              </c:strCache>
            </c:strRef>
          </c:tx>
          <c:spPr>
            <a:solidFill>
              <a:schemeClr val="accent4"/>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CALCS│Outcomes!$E$17:$K$17</c:f>
              <c:numCache>
                <c:formatCode>#,##0.00;\-#,##0.00;\-</c:formatCode>
                <c:ptCount val="7"/>
                <c:pt idx="0">
                  <c:v>645.54282745752801</c:v>
                </c:pt>
                <c:pt idx="1">
                  <c:v>644.29999999999995</c:v>
                </c:pt>
                <c:pt idx="2">
                  <c:v>653.96</c:v>
                </c:pt>
                <c:pt idx="3">
                  <c:v>642.46</c:v>
                </c:pt>
                <c:pt idx="4">
                  <c:v>677.15227390796599</c:v>
                </c:pt>
                <c:pt idx="5">
                  <c:v>694.65</c:v>
                </c:pt>
                <c:pt idx="6">
                  <c:v>690.39</c:v>
                </c:pt>
              </c:numCache>
            </c:numRef>
          </c:val>
          <c:extLst xmlns:c16r2="http://schemas.microsoft.com/office/drawing/2015/06/chart">
            <c:ext xmlns:c16="http://schemas.microsoft.com/office/drawing/2014/chart" uri="{C3380CC4-5D6E-409C-BE32-E72D297353CC}">
              <c16:uniqueId val="{00000007-0F0C-4D32-A3FF-163409A13C5E}"/>
            </c:ext>
          </c:extLst>
        </c:ser>
        <c:ser>
          <c:idx val="8"/>
          <c:order val="8"/>
          <c:tx>
            <c:strRef>
              <c:f>CALCS│Outcomes!$C$18</c:f>
              <c:strCache>
                <c:ptCount val="1"/>
                <c:pt idx="0">
                  <c:v>UU</c:v>
                </c:pt>
              </c:strCache>
            </c:strRef>
          </c:tx>
          <c:spPr>
            <a:solidFill>
              <a:srgbClr val="95B040"/>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CALCS│Outcomes!$E$18:$K$18</c:f>
              <c:numCache>
                <c:formatCode>#,##0.00;\-#,##0.00;\-</c:formatCode>
                <c:ptCount val="7"/>
                <c:pt idx="0">
                  <c:v>457.36316498791899</c:v>
                </c:pt>
                <c:pt idx="1">
                  <c:v>451.93281348633298</c:v>
                </c:pt>
                <c:pt idx="2">
                  <c:v>453.61355904751701</c:v>
                </c:pt>
                <c:pt idx="3">
                  <c:v>451.85689213569498</c:v>
                </c:pt>
                <c:pt idx="4">
                  <c:v>439.22019750905099</c:v>
                </c:pt>
                <c:pt idx="5">
                  <c:v>453.52338212963201</c:v>
                </c:pt>
                <c:pt idx="6">
                  <c:v>455.97429109638102</c:v>
                </c:pt>
              </c:numCache>
            </c:numRef>
          </c:val>
          <c:extLst xmlns:c16r2="http://schemas.microsoft.com/office/drawing/2015/06/chart">
            <c:ext xmlns:c16="http://schemas.microsoft.com/office/drawing/2014/chart" uri="{C3380CC4-5D6E-409C-BE32-E72D297353CC}">
              <c16:uniqueId val="{00000008-0F0C-4D32-A3FF-163409A13C5E}"/>
            </c:ext>
          </c:extLst>
        </c:ser>
        <c:ser>
          <c:idx val="9"/>
          <c:order val="9"/>
          <c:tx>
            <c:strRef>
              <c:f>CALCS│Outcomes!$C$19</c:f>
              <c:strCache>
                <c:ptCount val="1"/>
                <c:pt idx="0">
                  <c:v>WSX</c:v>
                </c:pt>
              </c:strCache>
            </c:strRef>
          </c:tx>
          <c:spPr>
            <a:solidFill>
              <a:schemeClr val="accent3"/>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CALCS│Outcomes!$E$19:$K$19</c:f>
              <c:numCache>
                <c:formatCode>#,##0.00;\-#,##0.00;\-</c:formatCode>
                <c:ptCount val="7"/>
                <c:pt idx="0">
                  <c:v>68.52</c:v>
                </c:pt>
                <c:pt idx="1">
                  <c:v>69.33</c:v>
                </c:pt>
                <c:pt idx="2">
                  <c:v>68.58</c:v>
                </c:pt>
                <c:pt idx="3">
                  <c:v>68.33</c:v>
                </c:pt>
                <c:pt idx="4">
                  <c:v>68.349999999999994</c:v>
                </c:pt>
                <c:pt idx="5">
                  <c:v>67.709999999999994</c:v>
                </c:pt>
                <c:pt idx="6">
                  <c:v>66.39</c:v>
                </c:pt>
              </c:numCache>
            </c:numRef>
          </c:val>
          <c:extLst xmlns:c16r2="http://schemas.microsoft.com/office/drawing/2015/06/chart">
            <c:ext xmlns:c16="http://schemas.microsoft.com/office/drawing/2014/chart" uri="{C3380CC4-5D6E-409C-BE32-E72D297353CC}">
              <c16:uniqueId val="{00000009-0F0C-4D32-A3FF-163409A13C5E}"/>
            </c:ext>
          </c:extLst>
        </c:ser>
        <c:ser>
          <c:idx val="10"/>
          <c:order val="10"/>
          <c:tx>
            <c:strRef>
              <c:f>CALCS│Outcomes!$C$20</c:f>
              <c:strCache>
                <c:ptCount val="1"/>
                <c:pt idx="0">
                  <c:v>YKY</c:v>
                </c:pt>
              </c:strCache>
            </c:strRef>
          </c:tx>
          <c:spPr>
            <a:solidFill>
              <a:srgbClr val="F9D47F"/>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CALCS│Outcomes!$E$20:$K$20</c:f>
              <c:numCache>
                <c:formatCode>#,##0.00;\-#,##0.00;\-</c:formatCode>
                <c:ptCount val="7"/>
                <c:pt idx="0">
                  <c:v>264.62</c:v>
                </c:pt>
                <c:pt idx="1">
                  <c:v>282.27</c:v>
                </c:pt>
                <c:pt idx="2">
                  <c:v>288.41547573538099</c:v>
                </c:pt>
                <c:pt idx="3">
                  <c:v>285.120939363964</c:v>
                </c:pt>
                <c:pt idx="4">
                  <c:v>295.16000000000003</c:v>
                </c:pt>
                <c:pt idx="5">
                  <c:v>300.27999999999997</c:v>
                </c:pt>
                <c:pt idx="6">
                  <c:v>289.77</c:v>
                </c:pt>
              </c:numCache>
            </c:numRef>
          </c:val>
          <c:extLst xmlns:c16r2="http://schemas.microsoft.com/office/drawing/2015/06/chart">
            <c:ext xmlns:c16="http://schemas.microsoft.com/office/drawing/2014/chart" uri="{C3380CC4-5D6E-409C-BE32-E72D297353CC}">
              <c16:uniqueId val="{0000000A-0F0C-4D32-A3FF-163409A13C5E}"/>
            </c:ext>
          </c:extLst>
        </c:ser>
        <c:ser>
          <c:idx val="11"/>
          <c:order val="11"/>
          <c:tx>
            <c:strRef>
              <c:f>CALCS│Outcomes!$C$21</c:f>
              <c:strCache>
                <c:ptCount val="1"/>
                <c:pt idx="0">
                  <c:v>AFW</c:v>
                </c:pt>
              </c:strCache>
            </c:strRef>
          </c:tx>
          <c:spPr>
            <a:solidFill>
              <a:srgbClr val="FCEABF"/>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CALCS│Outcomes!$E$21:$K$21</c:f>
              <c:numCache>
                <c:formatCode>#,##0.00;\-#,##0.00;\-</c:formatCode>
                <c:ptCount val="7"/>
                <c:pt idx="0">
                  <c:v>189.488144241199</c:v>
                </c:pt>
                <c:pt idx="1">
                  <c:v>180.741673275225</c:v>
                </c:pt>
                <c:pt idx="2">
                  <c:v>183.485497630921</c:v>
                </c:pt>
                <c:pt idx="3">
                  <c:v>180.88999899999999</c:v>
                </c:pt>
                <c:pt idx="4">
                  <c:v>172.986870233817</c:v>
                </c:pt>
                <c:pt idx="5">
                  <c:v>177.2</c:v>
                </c:pt>
                <c:pt idx="6">
                  <c:v>196.07640970180401</c:v>
                </c:pt>
              </c:numCache>
            </c:numRef>
          </c:val>
          <c:extLst xmlns:c16r2="http://schemas.microsoft.com/office/drawing/2015/06/chart">
            <c:ext xmlns:c16="http://schemas.microsoft.com/office/drawing/2014/chart" uri="{C3380CC4-5D6E-409C-BE32-E72D297353CC}">
              <c16:uniqueId val="{0000000B-0F0C-4D32-A3FF-163409A13C5E}"/>
            </c:ext>
          </c:extLst>
        </c:ser>
        <c:ser>
          <c:idx val="12"/>
          <c:order val="12"/>
          <c:tx>
            <c:strRef>
              <c:f>CALCS│Outcomes!$C$22</c:f>
              <c:strCache>
                <c:ptCount val="1"/>
                <c:pt idx="0">
                  <c:v>BRL</c:v>
                </c:pt>
              </c:strCache>
            </c:strRef>
          </c:tx>
          <c:spPr>
            <a:solidFill>
              <a:schemeClr val="accent2"/>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CALCS│Outcomes!$E$22:$K$22</c:f>
              <c:numCache>
                <c:formatCode>#,##0.00;\-#,##0.00;\-</c:formatCode>
                <c:ptCount val="7"/>
                <c:pt idx="0">
                  <c:v>42.1</c:v>
                </c:pt>
                <c:pt idx="1">
                  <c:v>43.686864841972898</c:v>
                </c:pt>
                <c:pt idx="2">
                  <c:v>45.117175086861799</c:v>
                </c:pt>
                <c:pt idx="3">
                  <c:v>44.220819062218197</c:v>
                </c:pt>
                <c:pt idx="4">
                  <c:v>46.42</c:v>
                </c:pt>
                <c:pt idx="5">
                  <c:v>46.64</c:v>
                </c:pt>
                <c:pt idx="6">
                  <c:v>41.71</c:v>
                </c:pt>
              </c:numCache>
            </c:numRef>
          </c:val>
          <c:extLst xmlns:c16r2="http://schemas.microsoft.com/office/drawing/2015/06/chart">
            <c:ext xmlns:c16="http://schemas.microsoft.com/office/drawing/2014/chart" uri="{C3380CC4-5D6E-409C-BE32-E72D297353CC}">
              <c16:uniqueId val="{0000000C-0F0C-4D32-A3FF-163409A13C5E}"/>
            </c:ext>
          </c:extLst>
        </c:ser>
        <c:ser>
          <c:idx val="13"/>
          <c:order val="13"/>
          <c:tx>
            <c:strRef>
              <c:f>CALCS│Outcomes!$C$23</c:f>
              <c:strCache>
                <c:ptCount val="1"/>
                <c:pt idx="0">
                  <c:v>PRT</c:v>
                </c:pt>
              </c:strCache>
            </c:strRef>
          </c:tx>
          <c:spPr>
            <a:solidFill>
              <a:srgbClr val="E0DCD8"/>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CALCS│Outcomes!$E$23:$K$23</c:f>
              <c:numCache>
                <c:formatCode>#,##0.00;\-#,##0.00;\-</c:formatCode>
                <c:ptCount val="7"/>
                <c:pt idx="0">
                  <c:v>34.07</c:v>
                </c:pt>
                <c:pt idx="1">
                  <c:v>29.5</c:v>
                </c:pt>
                <c:pt idx="2">
                  <c:v>28.85</c:v>
                </c:pt>
                <c:pt idx="3">
                  <c:v>28.23</c:v>
                </c:pt>
                <c:pt idx="4">
                  <c:v>30.37</c:v>
                </c:pt>
                <c:pt idx="5">
                  <c:v>32.869999999999997</c:v>
                </c:pt>
                <c:pt idx="6">
                  <c:v>28.12</c:v>
                </c:pt>
              </c:numCache>
            </c:numRef>
          </c:val>
          <c:extLst xmlns:c16r2="http://schemas.microsoft.com/office/drawing/2015/06/chart">
            <c:ext xmlns:c16="http://schemas.microsoft.com/office/drawing/2014/chart" uri="{C3380CC4-5D6E-409C-BE32-E72D297353CC}">
              <c16:uniqueId val="{0000000D-0F0C-4D32-A3FF-163409A13C5E}"/>
            </c:ext>
          </c:extLst>
        </c:ser>
        <c:ser>
          <c:idx val="14"/>
          <c:order val="14"/>
          <c:tx>
            <c:strRef>
              <c:f>CALCS│Outcomes!$C$24</c:f>
              <c:strCache>
                <c:ptCount val="1"/>
                <c:pt idx="0">
                  <c:v>SEW</c:v>
                </c:pt>
              </c:strCache>
            </c:strRef>
          </c:tx>
          <c:spPr>
            <a:solidFill>
              <a:schemeClr val="accent6"/>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CALCS│Outcomes!$E$24:$K$24</c:f>
              <c:numCache>
                <c:formatCode>#,##0.00;\-#,##0.00;\-</c:formatCode>
                <c:ptCount val="7"/>
                <c:pt idx="0">
                  <c:v>93.16</c:v>
                </c:pt>
                <c:pt idx="1">
                  <c:v>92.558189507076605</c:v>
                </c:pt>
                <c:pt idx="2">
                  <c:v>92.452515149166402</c:v>
                </c:pt>
                <c:pt idx="3">
                  <c:v>88.107760204071198</c:v>
                </c:pt>
                <c:pt idx="4">
                  <c:v>88.625186521672603</c:v>
                </c:pt>
                <c:pt idx="5">
                  <c:v>87.69</c:v>
                </c:pt>
                <c:pt idx="6">
                  <c:v>86.88</c:v>
                </c:pt>
              </c:numCache>
            </c:numRef>
          </c:val>
          <c:extLst xmlns:c16r2="http://schemas.microsoft.com/office/drawing/2015/06/chart">
            <c:ext xmlns:c16="http://schemas.microsoft.com/office/drawing/2014/chart" uri="{C3380CC4-5D6E-409C-BE32-E72D297353CC}">
              <c16:uniqueId val="{0000000E-0F0C-4D32-A3FF-163409A13C5E}"/>
            </c:ext>
          </c:extLst>
        </c:ser>
        <c:ser>
          <c:idx val="15"/>
          <c:order val="15"/>
          <c:tx>
            <c:strRef>
              <c:f>CALCS│Outcomes!$C$25</c:f>
              <c:strCache>
                <c:ptCount val="1"/>
                <c:pt idx="0">
                  <c:v>SSC</c:v>
                </c:pt>
              </c:strCache>
            </c:strRef>
          </c:tx>
          <c:spPr>
            <a:solidFill>
              <a:srgbClr val="FEA38C"/>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CALCS│Outcomes!$E$25:$K$25</c:f>
              <c:numCache>
                <c:formatCode>#,##0.00;\-#,##0.00;\-</c:formatCode>
                <c:ptCount val="7"/>
                <c:pt idx="0">
                  <c:v>77.61</c:v>
                </c:pt>
                <c:pt idx="1">
                  <c:v>79.594395391550506</c:v>
                </c:pt>
                <c:pt idx="2">
                  <c:v>82.748233259873899</c:v>
                </c:pt>
                <c:pt idx="3">
                  <c:v>83.119603622010601</c:v>
                </c:pt>
                <c:pt idx="4">
                  <c:v>84.17</c:v>
                </c:pt>
                <c:pt idx="5">
                  <c:v>86.8</c:v>
                </c:pt>
                <c:pt idx="6">
                  <c:v>83.74</c:v>
                </c:pt>
              </c:numCache>
            </c:numRef>
          </c:val>
          <c:extLst xmlns:c16r2="http://schemas.microsoft.com/office/drawing/2015/06/chart">
            <c:ext xmlns:c16="http://schemas.microsoft.com/office/drawing/2014/chart" uri="{C3380CC4-5D6E-409C-BE32-E72D297353CC}">
              <c16:uniqueId val="{0000000F-0F0C-4D32-A3FF-163409A13C5E}"/>
            </c:ext>
          </c:extLst>
        </c:ser>
        <c:ser>
          <c:idx val="16"/>
          <c:order val="16"/>
          <c:tx>
            <c:strRef>
              <c:f>CALCS│Outcomes!$C$26</c:f>
              <c:strCache>
                <c:ptCount val="1"/>
                <c:pt idx="0">
                  <c:v>SES</c:v>
                </c:pt>
              </c:strCache>
            </c:strRef>
          </c:tx>
          <c:spPr>
            <a:solidFill>
              <a:srgbClr val="7030A0"/>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CALCS│Outcomes!$E$26:$K$26</c:f>
              <c:numCache>
                <c:formatCode>#,##0.00;\-#,##0.00;\-</c:formatCode>
                <c:ptCount val="7"/>
                <c:pt idx="0">
                  <c:v>23.74</c:v>
                </c:pt>
                <c:pt idx="1">
                  <c:v>23.93</c:v>
                </c:pt>
                <c:pt idx="2">
                  <c:v>24.16</c:v>
                </c:pt>
                <c:pt idx="3">
                  <c:v>24.17</c:v>
                </c:pt>
                <c:pt idx="4">
                  <c:v>24.34</c:v>
                </c:pt>
                <c:pt idx="5">
                  <c:v>24.16</c:v>
                </c:pt>
                <c:pt idx="6">
                  <c:v>24.15</c:v>
                </c:pt>
              </c:numCache>
            </c:numRef>
          </c:val>
          <c:extLst xmlns:c16r2="http://schemas.microsoft.com/office/drawing/2015/06/chart">
            <c:ext xmlns:c16="http://schemas.microsoft.com/office/drawing/2014/chart" uri="{C3380CC4-5D6E-409C-BE32-E72D297353CC}">
              <c16:uniqueId val="{00000010-0F0C-4D32-A3FF-163409A13C5E}"/>
            </c:ext>
          </c:extLst>
        </c:ser>
        <c:dLbls>
          <c:showLegendKey val="0"/>
          <c:showVal val="0"/>
          <c:showCatName val="0"/>
          <c:showSerName val="0"/>
          <c:showPercent val="0"/>
          <c:showBubbleSize val="0"/>
        </c:dLbls>
        <c:gapWidth val="100"/>
        <c:overlap val="100"/>
        <c:axId val="420321080"/>
        <c:axId val="935376872"/>
      </c:barChart>
      <c:catAx>
        <c:axId val="420321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5376872"/>
        <c:crosses val="autoZero"/>
        <c:auto val="1"/>
        <c:lblAlgn val="ctr"/>
        <c:lblOffset val="100"/>
        <c:noMultiLvlLbl val="0"/>
      </c:catAx>
      <c:valAx>
        <c:axId val="935376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Ml/day (000s)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321080"/>
        <c:crosses val="autoZero"/>
        <c:crossBetween val="between"/>
        <c:dispUnits>
          <c:builtInUnit val="thousands"/>
        </c:dispUnits>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17"/>
            <c:invertIfNegative val="0"/>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1-49C5-4AA8-A6EF-DFF03D5BD71A}"/>
              </c:ext>
            </c:extLst>
          </c:dPt>
          <c:cat>
            <c:strRef>
              <c:f>'OUTPUT│Outcomes Trends'!$D$189:$D$206</c:f>
              <c:strCache>
                <c:ptCount val="18"/>
                <c:pt idx="0">
                  <c:v>WSX</c:v>
                </c:pt>
                <c:pt idx="1">
                  <c:v>WSH</c:v>
                </c:pt>
                <c:pt idx="2">
                  <c:v>SRN</c:v>
                </c:pt>
                <c:pt idx="3">
                  <c:v>UU</c:v>
                </c:pt>
                <c:pt idx="4">
                  <c:v>SWB</c:v>
                </c:pt>
                <c:pt idx="5">
                  <c:v>ANH</c:v>
                </c:pt>
                <c:pt idx="6">
                  <c:v>BRL</c:v>
                </c:pt>
                <c:pt idx="7">
                  <c:v>AFW</c:v>
                </c:pt>
                <c:pt idx="8">
                  <c:v>SVE</c:v>
                </c:pt>
                <c:pt idx="9">
                  <c:v>SSC</c:v>
                </c:pt>
                <c:pt idx="10">
                  <c:v>PRT</c:v>
                </c:pt>
                <c:pt idx="11">
                  <c:v>YKY</c:v>
                </c:pt>
                <c:pt idx="12">
                  <c:v>SEW</c:v>
                </c:pt>
                <c:pt idx="13">
                  <c:v>SES</c:v>
                </c:pt>
                <c:pt idx="14">
                  <c:v>NES</c:v>
                </c:pt>
                <c:pt idx="15">
                  <c:v>TMS</c:v>
                </c:pt>
                <c:pt idx="16">
                  <c:v>HDD</c:v>
                </c:pt>
                <c:pt idx="17">
                  <c:v>Industry</c:v>
                </c:pt>
              </c:strCache>
            </c:strRef>
          </c:cat>
          <c:val>
            <c:numRef>
              <c:f>'OUTPUT│Outcomes Trends'!$E$189:$E$206</c:f>
              <c:numCache>
                <c:formatCode>0.0%</c:formatCode>
                <c:ptCount val="18"/>
                <c:pt idx="0">
                  <c:v>-0.75624999999999998</c:v>
                </c:pt>
                <c:pt idx="1">
                  <c:v>-0.69811320754716977</c:v>
                </c:pt>
                <c:pt idx="2">
                  <c:v>-0.59000000000000008</c:v>
                </c:pt>
                <c:pt idx="3">
                  <c:v>-0.4883720930232559</c:v>
                </c:pt>
                <c:pt idx="4">
                  <c:v>-0.4280198795183735</c:v>
                </c:pt>
                <c:pt idx="5">
                  <c:v>-0.36739130434782608</c:v>
                </c:pt>
                <c:pt idx="6">
                  <c:v>-0.36316087079445858</c:v>
                </c:pt>
                <c:pt idx="7">
                  <c:v>-0.34741310203169518</c:v>
                </c:pt>
                <c:pt idx="8">
                  <c:v>-0.34432870370370366</c:v>
                </c:pt>
                <c:pt idx="9">
                  <c:v>-0.27364197859584999</c:v>
                </c:pt>
                <c:pt idx="10">
                  <c:v>-2.9850746268656851E-2</c:v>
                </c:pt>
                <c:pt idx="11">
                  <c:v>2.5490196078431348E-2</c:v>
                </c:pt>
                <c:pt idx="12">
                  <c:v>7.575757575757576E-2</c:v>
                </c:pt>
                <c:pt idx="13">
                  <c:v>8.0000000000000196E-2</c:v>
                </c:pt>
                <c:pt idx="14">
                  <c:v>0.32374100719424448</c:v>
                </c:pt>
                <c:pt idx="15">
                  <c:v>0.64062500000000011</c:v>
                </c:pt>
                <c:pt idx="16">
                  <c:v>0.86965811965811957</c:v>
                </c:pt>
                <c:pt idx="17">
                  <c:v>-0.281096158498639</c:v>
                </c:pt>
              </c:numCache>
            </c:numRef>
          </c:val>
          <c:extLst xmlns:c16r2="http://schemas.microsoft.com/office/drawing/2015/06/chart">
            <c:ext xmlns:c16="http://schemas.microsoft.com/office/drawing/2014/chart" uri="{C3380CC4-5D6E-409C-BE32-E72D297353CC}">
              <c16:uniqueId val="{00000002-49C5-4AA8-A6EF-DFF03D5BD71A}"/>
            </c:ext>
          </c:extLst>
        </c:ser>
        <c:dLbls>
          <c:showLegendKey val="0"/>
          <c:showVal val="0"/>
          <c:showCatName val="0"/>
          <c:showSerName val="0"/>
          <c:showPercent val="0"/>
          <c:showBubbleSize val="0"/>
        </c:dLbls>
        <c:gapWidth val="150"/>
        <c:overlap val="-27"/>
        <c:axId val="935377264"/>
        <c:axId val="935377656"/>
      </c:barChart>
      <c:catAx>
        <c:axId val="9353772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5377656"/>
        <c:crosses val="autoZero"/>
        <c:auto val="1"/>
        <c:lblAlgn val="ctr"/>
        <c:lblOffset val="100"/>
        <c:noMultiLvlLbl val="0"/>
      </c:catAx>
      <c:valAx>
        <c:axId val="935377656"/>
        <c:scaling>
          <c:orientation val="minMax"/>
          <c:min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5377264"/>
        <c:crosses val="autoZero"/>
        <c:crossBetween val="between"/>
      </c:valAx>
      <c:spPr>
        <a:noFill/>
        <a:ln>
          <a:noFill/>
        </a:ln>
        <a:effectLst/>
      </c:spPr>
    </c:plotArea>
    <c:plotVisOnly val="0"/>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CALCS│Outcomes!$C$125</c:f>
              <c:strCache>
                <c:ptCount val="1"/>
                <c:pt idx="0">
                  <c:v>ANH</c:v>
                </c:pt>
              </c:strCache>
            </c:strRef>
          </c:tx>
          <c:spPr>
            <a:solidFill>
              <a:schemeClr val="tx2"/>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CALCS│Outcomes!$E$125:$K$125</c:f>
              <c:numCache>
                <c:formatCode>#,##0.00;\-#,##0.00;\-</c:formatCode>
                <c:ptCount val="7"/>
                <c:pt idx="0">
                  <c:v>29.043783599999998</c:v>
                </c:pt>
                <c:pt idx="1">
                  <c:v>41.975999999999999</c:v>
                </c:pt>
                <c:pt idx="2">
                  <c:v>40.983868890000004</c:v>
                </c:pt>
                <c:pt idx="3">
                  <c:v>17.667564200000001</c:v>
                </c:pt>
                <c:pt idx="4">
                  <c:v>25.318446440000002</c:v>
                </c:pt>
                <c:pt idx="5">
                  <c:v>16.2483206</c:v>
                </c:pt>
                <c:pt idx="6">
                  <c:v>19.368945449999998</c:v>
                </c:pt>
              </c:numCache>
            </c:numRef>
          </c:val>
          <c:extLst xmlns:c16r2="http://schemas.microsoft.com/office/drawing/2015/06/chart">
            <c:ext xmlns:c16="http://schemas.microsoft.com/office/drawing/2014/chart" uri="{C3380CC4-5D6E-409C-BE32-E72D297353CC}">
              <c16:uniqueId val="{00000000-F954-4887-903C-14980726B572}"/>
            </c:ext>
          </c:extLst>
        </c:ser>
        <c:ser>
          <c:idx val="1"/>
          <c:order val="1"/>
          <c:tx>
            <c:strRef>
              <c:f>CALCS│Outcomes!$C$126</c:f>
              <c:strCache>
                <c:ptCount val="1"/>
                <c:pt idx="0">
                  <c:v>WSH</c:v>
                </c:pt>
              </c:strCache>
            </c:strRef>
          </c:tx>
          <c:spPr>
            <a:solidFill>
              <a:schemeClr val="accent1"/>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CALCS│Outcomes!$E$126:$K$126</c:f>
              <c:numCache>
                <c:formatCode>#,##0.00;\-#,##0.00;\-</c:formatCode>
                <c:ptCount val="7"/>
                <c:pt idx="0">
                  <c:v>74.132372000000004</c:v>
                </c:pt>
                <c:pt idx="1">
                  <c:v>71.032836599999996</c:v>
                </c:pt>
                <c:pt idx="2">
                  <c:v>32.384253000000001</c:v>
                </c:pt>
                <c:pt idx="3">
                  <c:v>30.748965099999999</c:v>
                </c:pt>
                <c:pt idx="4">
                  <c:v>17.3132883</c:v>
                </c:pt>
                <c:pt idx="5">
                  <c:v>62.070593299999992</c:v>
                </c:pt>
                <c:pt idx="6">
                  <c:v>23.068287999999999</c:v>
                </c:pt>
              </c:numCache>
            </c:numRef>
          </c:val>
          <c:extLst xmlns:c16r2="http://schemas.microsoft.com/office/drawing/2015/06/chart">
            <c:ext xmlns:c16="http://schemas.microsoft.com/office/drawing/2014/chart" uri="{C3380CC4-5D6E-409C-BE32-E72D297353CC}">
              <c16:uniqueId val="{00000001-F954-4887-903C-14980726B572}"/>
            </c:ext>
          </c:extLst>
        </c:ser>
        <c:ser>
          <c:idx val="2"/>
          <c:order val="2"/>
          <c:tx>
            <c:strRef>
              <c:f>CALCS│Outcomes!$C$127</c:f>
              <c:strCache>
                <c:ptCount val="1"/>
                <c:pt idx="0">
                  <c:v>HDD</c:v>
                </c:pt>
              </c:strCache>
            </c:strRef>
          </c:tx>
          <c:spPr>
            <a:solidFill>
              <a:schemeClr val="tx1"/>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CALCS│Outcomes!$E$127:$K$127</c:f>
              <c:numCache>
                <c:formatCode>#,##0.00;\-#,##0.00;\-</c:formatCode>
                <c:ptCount val="7"/>
                <c:pt idx="0">
                  <c:v>1.9357260000000001</c:v>
                </c:pt>
                <c:pt idx="1">
                  <c:v>1.1227320000000001</c:v>
                </c:pt>
                <c:pt idx="2">
                  <c:v>1.2815075999999999</c:v>
                </c:pt>
                <c:pt idx="3">
                  <c:v>0.66064388333333346</c:v>
                </c:pt>
                <c:pt idx="4">
                  <c:v>2.6758829999999998</c:v>
                </c:pt>
                <c:pt idx="5">
                  <c:v>0.53304167093099997</c:v>
                </c:pt>
                <c:pt idx="6">
                  <c:v>3.0617416666666664</c:v>
                </c:pt>
              </c:numCache>
            </c:numRef>
          </c:val>
          <c:extLst xmlns:c16r2="http://schemas.microsoft.com/office/drawing/2015/06/chart">
            <c:ext xmlns:c16="http://schemas.microsoft.com/office/drawing/2014/chart" uri="{C3380CC4-5D6E-409C-BE32-E72D297353CC}">
              <c16:uniqueId val="{00000002-F954-4887-903C-14980726B572}"/>
            </c:ext>
          </c:extLst>
        </c:ser>
        <c:ser>
          <c:idx val="3"/>
          <c:order val="3"/>
          <c:tx>
            <c:strRef>
              <c:f>CALCS│Outcomes!$C$128</c:f>
              <c:strCache>
                <c:ptCount val="1"/>
                <c:pt idx="0">
                  <c:v>NES</c:v>
                </c:pt>
              </c:strCache>
            </c:strRef>
          </c:tx>
          <c:spPr>
            <a:solidFill>
              <a:srgbClr val="7FBBE4"/>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CALCS│Outcomes!$E$128:$K$128</c:f>
              <c:numCache>
                <c:formatCode>#,##0.00;\-#,##0.00;\-</c:formatCode>
                <c:ptCount val="7"/>
                <c:pt idx="0">
                  <c:v>13.658070500000001</c:v>
                </c:pt>
                <c:pt idx="1">
                  <c:v>9.7248046099999996</c:v>
                </c:pt>
                <c:pt idx="2">
                  <c:v>7.8058966666666665</c:v>
                </c:pt>
                <c:pt idx="3">
                  <c:v>6.6859013430000003</c:v>
                </c:pt>
                <c:pt idx="4">
                  <c:v>4.9188818838000001</c:v>
                </c:pt>
                <c:pt idx="5">
                  <c:v>10.860460740000001</c:v>
                </c:pt>
                <c:pt idx="6">
                  <c:v>18.672246399999995</c:v>
                </c:pt>
              </c:numCache>
            </c:numRef>
          </c:val>
          <c:extLst xmlns:c16r2="http://schemas.microsoft.com/office/drawing/2015/06/chart">
            <c:ext xmlns:c16="http://schemas.microsoft.com/office/drawing/2014/chart" uri="{C3380CC4-5D6E-409C-BE32-E72D297353CC}">
              <c16:uniqueId val="{00000003-F954-4887-903C-14980726B572}"/>
            </c:ext>
          </c:extLst>
        </c:ser>
        <c:ser>
          <c:idx val="4"/>
          <c:order val="4"/>
          <c:tx>
            <c:strRef>
              <c:f>CALCS│Outcomes!$C$129</c:f>
              <c:strCache>
                <c:ptCount val="1"/>
                <c:pt idx="0">
                  <c:v>SVE</c:v>
                </c:pt>
              </c:strCache>
            </c:strRef>
          </c:tx>
          <c:spPr>
            <a:solidFill>
              <a:srgbClr val="BFDDF1"/>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CALCS│Outcomes!$E$129:$K$129</c:f>
              <c:numCache>
                <c:formatCode>#,##0.00;\-#,##0.00;\-</c:formatCode>
                <c:ptCount val="7"/>
                <c:pt idx="0">
                  <c:v>99.730512000000004</c:v>
                </c:pt>
                <c:pt idx="1">
                  <c:v>54.32542440000001</c:v>
                </c:pt>
                <c:pt idx="2">
                  <c:v>35.000929999999997</c:v>
                </c:pt>
                <c:pt idx="3">
                  <c:v>39.407300666666671</c:v>
                </c:pt>
                <c:pt idx="4">
                  <c:v>35.792220266666661</c:v>
                </c:pt>
                <c:pt idx="5">
                  <c:v>123.03314686666668</c:v>
                </c:pt>
                <c:pt idx="6">
                  <c:v>68.677927999999994</c:v>
                </c:pt>
              </c:numCache>
            </c:numRef>
          </c:val>
          <c:extLst xmlns:c16r2="http://schemas.microsoft.com/office/drawing/2015/06/chart">
            <c:ext xmlns:c16="http://schemas.microsoft.com/office/drawing/2014/chart" uri="{C3380CC4-5D6E-409C-BE32-E72D297353CC}">
              <c16:uniqueId val="{00000004-F954-4887-903C-14980726B572}"/>
            </c:ext>
          </c:extLst>
        </c:ser>
        <c:ser>
          <c:idx val="5"/>
          <c:order val="5"/>
          <c:tx>
            <c:strRef>
              <c:f>CALCS│Outcomes!$C$130</c:f>
              <c:strCache>
                <c:ptCount val="1"/>
                <c:pt idx="0">
                  <c:v>SWB</c:v>
                </c:pt>
              </c:strCache>
            </c:strRef>
          </c:tx>
          <c:spPr>
            <a:solidFill>
              <a:schemeClr val="accent5"/>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CALCS│Outcomes!$E$130:$K$130</c:f>
              <c:numCache>
                <c:formatCode>#,##0.00;\-#,##0.00;\-</c:formatCode>
                <c:ptCount val="7"/>
                <c:pt idx="0">
                  <c:v>13.738035400000003</c:v>
                </c:pt>
                <c:pt idx="1">
                  <c:v>12.360331800000001</c:v>
                </c:pt>
                <c:pt idx="2">
                  <c:v>18.851643600000003</c:v>
                </c:pt>
                <c:pt idx="3">
                  <c:v>20.975586900000003</c:v>
                </c:pt>
                <c:pt idx="4">
                  <c:v>11.368784239999998</c:v>
                </c:pt>
                <c:pt idx="5">
                  <c:v>27.437993200000001</c:v>
                </c:pt>
                <c:pt idx="6">
                  <c:v>8.3031816000000003</c:v>
                </c:pt>
              </c:numCache>
            </c:numRef>
          </c:val>
          <c:extLst xmlns:c16r2="http://schemas.microsoft.com/office/drawing/2015/06/chart">
            <c:ext xmlns:c16="http://schemas.microsoft.com/office/drawing/2014/chart" uri="{C3380CC4-5D6E-409C-BE32-E72D297353CC}">
              <c16:uniqueId val="{00000005-F954-4887-903C-14980726B572}"/>
            </c:ext>
          </c:extLst>
        </c:ser>
        <c:ser>
          <c:idx val="6"/>
          <c:order val="6"/>
          <c:tx>
            <c:strRef>
              <c:f>CALCS│Outcomes!$C$131</c:f>
              <c:strCache>
                <c:ptCount val="1"/>
                <c:pt idx="0">
                  <c:v>SRN</c:v>
                </c:pt>
              </c:strCache>
            </c:strRef>
          </c:tx>
          <c:spPr>
            <a:solidFill>
              <a:srgbClr val="E47FC1"/>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CALCS│Outcomes!$E$131:$K$131</c:f>
              <c:numCache>
                <c:formatCode>#,##0.00;\-#,##0.00;\-</c:formatCode>
                <c:ptCount val="7"/>
                <c:pt idx="0">
                  <c:v>19.411362</c:v>
                </c:pt>
                <c:pt idx="1">
                  <c:v>11.709187199999999</c:v>
                </c:pt>
                <c:pt idx="2">
                  <c:v>6.5232540000000006</c:v>
                </c:pt>
                <c:pt idx="3">
                  <c:v>13.126848000000001</c:v>
                </c:pt>
                <c:pt idx="4">
                  <c:v>7.7286090000000005</c:v>
                </c:pt>
                <c:pt idx="5">
                  <c:v>18.684463200000003</c:v>
                </c:pt>
                <c:pt idx="6">
                  <c:v>8.2908174599999978</c:v>
                </c:pt>
              </c:numCache>
            </c:numRef>
          </c:val>
          <c:extLst xmlns:c16r2="http://schemas.microsoft.com/office/drawing/2015/06/chart">
            <c:ext xmlns:c16="http://schemas.microsoft.com/office/drawing/2014/chart" uri="{C3380CC4-5D6E-409C-BE32-E72D297353CC}">
              <c16:uniqueId val="{00000006-F954-4887-903C-14980726B572}"/>
            </c:ext>
          </c:extLst>
        </c:ser>
        <c:ser>
          <c:idx val="7"/>
          <c:order val="7"/>
          <c:tx>
            <c:strRef>
              <c:f>CALCS│Outcomes!$C$132</c:f>
              <c:strCache>
                <c:ptCount val="1"/>
                <c:pt idx="0">
                  <c:v>TMS</c:v>
                </c:pt>
              </c:strCache>
            </c:strRef>
          </c:tx>
          <c:spPr>
            <a:solidFill>
              <a:schemeClr val="accent4"/>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CALCS│Outcomes!$E$132:$K$132</c:f>
              <c:numCache>
                <c:formatCode>#,##0.00;\-#,##0.00;\-</c:formatCode>
                <c:ptCount val="7"/>
                <c:pt idx="0">
                  <c:v>49.42883904</c:v>
                </c:pt>
                <c:pt idx="1">
                  <c:v>43.4863632</c:v>
                </c:pt>
                <c:pt idx="2">
                  <c:v>41.341494900000001</c:v>
                </c:pt>
                <c:pt idx="3">
                  <c:v>58.404914399999996</c:v>
                </c:pt>
                <c:pt idx="4">
                  <c:v>40.422634666666667</c:v>
                </c:pt>
                <c:pt idx="5">
                  <c:v>110.5835958</c:v>
                </c:pt>
                <c:pt idx="6">
                  <c:v>85.553867699999998</c:v>
                </c:pt>
              </c:numCache>
            </c:numRef>
          </c:val>
          <c:extLst xmlns:c16r2="http://schemas.microsoft.com/office/drawing/2015/06/chart">
            <c:ext xmlns:c16="http://schemas.microsoft.com/office/drawing/2014/chart" uri="{C3380CC4-5D6E-409C-BE32-E72D297353CC}">
              <c16:uniqueId val="{00000007-F954-4887-903C-14980726B572}"/>
            </c:ext>
          </c:extLst>
        </c:ser>
        <c:ser>
          <c:idx val="8"/>
          <c:order val="8"/>
          <c:tx>
            <c:strRef>
              <c:f>CALCS│Outcomes!$C$133</c:f>
              <c:strCache>
                <c:ptCount val="1"/>
                <c:pt idx="0">
                  <c:v>UU</c:v>
                </c:pt>
              </c:strCache>
            </c:strRef>
          </c:tx>
          <c:spPr>
            <a:solidFill>
              <a:srgbClr val="95B040"/>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CALCS│Outcomes!$E$133:$K$133</c:f>
              <c:numCache>
                <c:formatCode>#,##0.00;\-#,##0.00;\-</c:formatCode>
                <c:ptCount val="7"/>
                <c:pt idx="0">
                  <c:v>57.780963333333332</c:v>
                </c:pt>
                <c:pt idx="1">
                  <c:v>31.877555000000001</c:v>
                </c:pt>
                <c:pt idx="2">
                  <c:v>43.610995750000001</c:v>
                </c:pt>
                <c:pt idx="3">
                  <c:v>54.693802599999998</c:v>
                </c:pt>
                <c:pt idx="4">
                  <c:v>44.621234000000001</c:v>
                </c:pt>
                <c:pt idx="5">
                  <c:v>43.568409050000007</c:v>
                </c:pt>
                <c:pt idx="6">
                  <c:v>30.6554325</c:v>
                </c:pt>
              </c:numCache>
            </c:numRef>
          </c:val>
          <c:extLst xmlns:c16r2="http://schemas.microsoft.com/office/drawing/2015/06/chart">
            <c:ext xmlns:c16="http://schemas.microsoft.com/office/drawing/2014/chart" uri="{C3380CC4-5D6E-409C-BE32-E72D297353CC}">
              <c16:uniqueId val="{00000008-F954-4887-903C-14980726B572}"/>
            </c:ext>
          </c:extLst>
        </c:ser>
        <c:ser>
          <c:idx val="9"/>
          <c:order val="9"/>
          <c:tx>
            <c:strRef>
              <c:f>CALCS│Outcomes!$C$134</c:f>
              <c:strCache>
                <c:ptCount val="1"/>
                <c:pt idx="0">
                  <c:v>WSX</c:v>
                </c:pt>
              </c:strCache>
            </c:strRef>
          </c:tx>
          <c:spPr>
            <a:solidFill>
              <a:schemeClr val="accent3"/>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CALCS│Outcomes!$E$134:$K$134</c:f>
              <c:numCache>
                <c:formatCode>#,##0.00;\-#,##0.00;\-</c:formatCode>
                <c:ptCount val="7"/>
                <c:pt idx="0">
                  <c:v>14.235336</c:v>
                </c:pt>
                <c:pt idx="1">
                  <c:v>14.339808</c:v>
                </c:pt>
                <c:pt idx="2">
                  <c:v>12.1053657</c:v>
                </c:pt>
                <c:pt idx="3">
                  <c:v>8.6844757999999995</c:v>
                </c:pt>
                <c:pt idx="4">
                  <c:v>7.8351743999999997</c:v>
                </c:pt>
                <c:pt idx="5">
                  <c:v>7.5695184000000006</c:v>
                </c:pt>
                <c:pt idx="6">
                  <c:v>3.6334700999999994</c:v>
                </c:pt>
              </c:numCache>
            </c:numRef>
          </c:val>
          <c:extLst xmlns:c16r2="http://schemas.microsoft.com/office/drawing/2015/06/chart">
            <c:ext xmlns:c16="http://schemas.microsoft.com/office/drawing/2014/chart" uri="{C3380CC4-5D6E-409C-BE32-E72D297353CC}">
              <c16:uniqueId val="{00000009-F954-4887-903C-14980726B572}"/>
            </c:ext>
          </c:extLst>
        </c:ser>
        <c:ser>
          <c:idx val="10"/>
          <c:order val="10"/>
          <c:tx>
            <c:strRef>
              <c:f>CALCS│Outcomes!$C$135</c:f>
              <c:strCache>
                <c:ptCount val="1"/>
                <c:pt idx="0">
                  <c:v>YKY</c:v>
                </c:pt>
              </c:strCache>
            </c:strRef>
          </c:tx>
          <c:spPr>
            <a:solidFill>
              <a:srgbClr val="F9D47F"/>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CALCS│Outcomes!$E$135:$K$135</c:f>
              <c:numCache>
                <c:formatCode>#,##0.00;\-#,##0.00;\-</c:formatCode>
                <c:ptCount val="7"/>
                <c:pt idx="0">
                  <c:v>22.891594800000004</c:v>
                </c:pt>
                <c:pt idx="1">
                  <c:v>22.976540400000001</c:v>
                </c:pt>
                <c:pt idx="2">
                  <c:v>21.472105199999998</c:v>
                </c:pt>
                <c:pt idx="3">
                  <c:v>29.349627700000006</c:v>
                </c:pt>
                <c:pt idx="4">
                  <c:v>22.393784339999996</c:v>
                </c:pt>
                <c:pt idx="5">
                  <c:v>16.045013279999999</c:v>
                </c:pt>
                <c:pt idx="6">
                  <c:v>24.258465900000004</c:v>
                </c:pt>
              </c:numCache>
            </c:numRef>
          </c:val>
          <c:extLst xmlns:c16r2="http://schemas.microsoft.com/office/drawing/2015/06/chart">
            <c:ext xmlns:c16="http://schemas.microsoft.com/office/drawing/2014/chart" uri="{C3380CC4-5D6E-409C-BE32-E72D297353CC}">
              <c16:uniqueId val="{0000000A-F954-4887-903C-14980726B572}"/>
            </c:ext>
          </c:extLst>
        </c:ser>
        <c:ser>
          <c:idx val="11"/>
          <c:order val="11"/>
          <c:tx>
            <c:strRef>
              <c:f>CALCS│Outcomes!$C$136</c:f>
              <c:strCache>
                <c:ptCount val="1"/>
                <c:pt idx="0">
                  <c:v>AFW</c:v>
                </c:pt>
              </c:strCache>
            </c:strRef>
          </c:tx>
          <c:spPr>
            <a:solidFill>
              <a:srgbClr val="FCEABF"/>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CALCS│Outcomes!$E$136:$K$136</c:f>
              <c:numCache>
                <c:formatCode>#,##0.00;\-#,##0.00;\-</c:formatCode>
                <c:ptCount val="7"/>
                <c:pt idx="0">
                  <c:v>28.226696180000001</c:v>
                </c:pt>
                <c:pt idx="1">
                  <c:v>33.11971896</c:v>
                </c:pt>
                <c:pt idx="2">
                  <c:v>39.6381503</c:v>
                </c:pt>
                <c:pt idx="3">
                  <c:v>26.426062083333335</c:v>
                </c:pt>
                <c:pt idx="4">
                  <c:v>31.472054599999996</c:v>
                </c:pt>
                <c:pt idx="5">
                  <c:v>49.356448399999998</c:v>
                </c:pt>
                <c:pt idx="6">
                  <c:v>19.2185925</c:v>
                </c:pt>
              </c:numCache>
            </c:numRef>
          </c:val>
          <c:extLst xmlns:c16r2="http://schemas.microsoft.com/office/drawing/2015/06/chart">
            <c:ext xmlns:c16="http://schemas.microsoft.com/office/drawing/2014/chart" uri="{C3380CC4-5D6E-409C-BE32-E72D297353CC}">
              <c16:uniqueId val="{0000000B-F954-4887-903C-14980726B572}"/>
            </c:ext>
          </c:extLst>
        </c:ser>
        <c:ser>
          <c:idx val="12"/>
          <c:order val="12"/>
          <c:tx>
            <c:strRef>
              <c:f>CALCS│Outcomes!$C$137</c:f>
              <c:strCache>
                <c:ptCount val="1"/>
                <c:pt idx="0">
                  <c:v>BRL</c:v>
                </c:pt>
              </c:strCache>
            </c:strRef>
          </c:tx>
          <c:spPr>
            <a:solidFill>
              <a:schemeClr val="accent2"/>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CALCS│Outcomes!$E$137:$K$137</c:f>
              <c:numCache>
                <c:formatCode>#,##0.00;\-#,##0.00;\-</c:formatCode>
                <c:ptCount val="7"/>
                <c:pt idx="0">
                  <c:v>12.18192318</c:v>
                </c:pt>
                <c:pt idx="1">
                  <c:v>12.2028363</c:v>
                </c:pt>
                <c:pt idx="2">
                  <c:v>81.899066819999987</c:v>
                </c:pt>
                <c:pt idx="3">
                  <c:v>8.3698094666666663</c:v>
                </c:pt>
                <c:pt idx="4">
                  <c:v>6.6699845333333334</c:v>
                </c:pt>
                <c:pt idx="5">
                  <c:v>40.737552366666669</c:v>
                </c:pt>
                <c:pt idx="6">
                  <c:v>8.1229805166666669</c:v>
                </c:pt>
              </c:numCache>
            </c:numRef>
          </c:val>
          <c:extLst xmlns:c16r2="http://schemas.microsoft.com/office/drawing/2015/06/chart">
            <c:ext xmlns:c16="http://schemas.microsoft.com/office/drawing/2014/chart" uri="{C3380CC4-5D6E-409C-BE32-E72D297353CC}">
              <c16:uniqueId val="{0000000C-F954-4887-903C-14980726B572}"/>
            </c:ext>
          </c:extLst>
        </c:ser>
        <c:ser>
          <c:idx val="13"/>
          <c:order val="13"/>
          <c:tx>
            <c:strRef>
              <c:f>CALCS│Outcomes!$C$138</c:f>
              <c:strCache>
                <c:ptCount val="1"/>
                <c:pt idx="0">
                  <c:v>PRT</c:v>
                </c:pt>
              </c:strCache>
            </c:strRef>
          </c:tx>
          <c:spPr>
            <a:solidFill>
              <a:srgbClr val="E0DCD8"/>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CALCS│Outcomes!$E$138:$K$138</c:f>
              <c:numCache>
                <c:formatCode>#,##0.00;\-#,##0.00;\-</c:formatCode>
                <c:ptCount val="7"/>
                <c:pt idx="0">
                  <c:v>1.23589674</c:v>
                </c:pt>
                <c:pt idx="1">
                  <c:v>1.6014472799999999</c:v>
                </c:pt>
                <c:pt idx="2">
                  <c:v>2.7321185333333333</c:v>
                </c:pt>
                <c:pt idx="3">
                  <c:v>1.1036199999999998</c:v>
                </c:pt>
                <c:pt idx="4">
                  <c:v>1.3187662500000001</c:v>
                </c:pt>
                <c:pt idx="5">
                  <c:v>1.3698357000000001</c:v>
                </c:pt>
                <c:pt idx="6">
                  <c:v>1.2542088</c:v>
                </c:pt>
              </c:numCache>
            </c:numRef>
          </c:val>
          <c:extLst xmlns:c16r2="http://schemas.microsoft.com/office/drawing/2015/06/chart">
            <c:ext xmlns:c16="http://schemas.microsoft.com/office/drawing/2014/chart" uri="{C3380CC4-5D6E-409C-BE32-E72D297353CC}">
              <c16:uniqueId val="{0000000D-F954-4887-903C-14980726B572}"/>
            </c:ext>
          </c:extLst>
        </c:ser>
        <c:ser>
          <c:idx val="14"/>
          <c:order val="14"/>
          <c:tx>
            <c:strRef>
              <c:f>CALCS│Outcomes!$C$139</c:f>
              <c:strCache>
                <c:ptCount val="1"/>
                <c:pt idx="0">
                  <c:v>SEW</c:v>
                </c:pt>
              </c:strCache>
            </c:strRef>
          </c:tx>
          <c:spPr>
            <a:solidFill>
              <a:schemeClr val="accent6"/>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CALCS│Outcomes!$E$139:$K$139</c:f>
              <c:numCache>
                <c:formatCode>#,##0.00;\-#,##0.00;\-</c:formatCode>
                <c:ptCount val="7"/>
                <c:pt idx="0">
                  <c:v>11.8414164</c:v>
                </c:pt>
                <c:pt idx="1">
                  <c:v>14.614797600000003</c:v>
                </c:pt>
                <c:pt idx="2">
                  <c:v>7.8964559999999997</c:v>
                </c:pt>
                <c:pt idx="3">
                  <c:v>31.807157149999995</c:v>
                </c:pt>
                <c:pt idx="4">
                  <c:v>12.959623800000001</c:v>
                </c:pt>
                <c:pt idx="5">
                  <c:v>45.187738799999998</c:v>
                </c:pt>
                <c:pt idx="6">
                  <c:v>14.497986999999998</c:v>
                </c:pt>
              </c:numCache>
            </c:numRef>
          </c:val>
          <c:extLst xmlns:c16r2="http://schemas.microsoft.com/office/drawing/2015/06/chart">
            <c:ext xmlns:c16="http://schemas.microsoft.com/office/drawing/2014/chart" uri="{C3380CC4-5D6E-409C-BE32-E72D297353CC}">
              <c16:uniqueId val="{0000000E-F954-4887-903C-14980726B572}"/>
            </c:ext>
          </c:extLst>
        </c:ser>
        <c:ser>
          <c:idx val="15"/>
          <c:order val="15"/>
          <c:tx>
            <c:strRef>
              <c:f>CALCS│Outcomes!$C$140</c:f>
              <c:strCache>
                <c:ptCount val="1"/>
                <c:pt idx="0">
                  <c:v>SSC</c:v>
                </c:pt>
              </c:strCache>
            </c:strRef>
          </c:tx>
          <c:spPr>
            <a:solidFill>
              <a:srgbClr val="FEA38C"/>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CALCS│Outcomes!$E$140:$K$140</c:f>
              <c:numCache>
                <c:formatCode>#,##0.00;\-#,##0.00;\-</c:formatCode>
                <c:ptCount val="7"/>
                <c:pt idx="0">
                  <c:v>6.9292169999999995</c:v>
                </c:pt>
                <c:pt idx="1">
                  <c:v>6.3923490000000003</c:v>
                </c:pt>
                <c:pt idx="2">
                  <c:v>5.9528675475753339</c:v>
                </c:pt>
                <c:pt idx="3">
                  <c:v>3.0664454400000003</c:v>
                </c:pt>
                <c:pt idx="4">
                  <c:v>3.77543264</c:v>
                </c:pt>
                <c:pt idx="5">
                  <c:v>6.2768687399999994</c:v>
                </c:pt>
                <c:pt idx="6">
                  <c:v>5.2703651000000002</c:v>
                </c:pt>
              </c:numCache>
            </c:numRef>
          </c:val>
          <c:extLst xmlns:c16r2="http://schemas.microsoft.com/office/drawing/2015/06/chart">
            <c:ext xmlns:c16="http://schemas.microsoft.com/office/drawing/2014/chart" uri="{C3380CC4-5D6E-409C-BE32-E72D297353CC}">
              <c16:uniqueId val="{0000000F-F954-4887-903C-14980726B572}"/>
            </c:ext>
          </c:extLst>
        </c:ser>
        <c:ser>
          <c:idx val="16"/>
          <c:order val="16"/>
          <c:tx>
            <c:strRef>
              <c:f>CALCS│Outcomes!$C$141</c:f>
              <c:strCache>
                <c:ptCount val="1"/>
                <c:pt idx="0">
                  <c:v>SES</c:v>
                </c:pt>
              </c:strCache>
            </c:strRef>
          </c:tx>
          <c:spPr>
            <a:solidFill>
              <a:srgbClr val="7030A0"/>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CALCS│Outcomes!$E$141:$K$141</c:f>
              <c:numCache>
                <c:formatCode>#,##0.00;\-#,##0.00;\-</c:formatCode>
                <c:ptCount val="7"/>
                <c:pt idx="0">
                  <c:v>4.2302400000000011</c:v>
                </c:pt>
                <c:pt idx="1">
                  <c:v>3.8138956799999995</c:v>
                </c:pt>
                <c:pt idx="2">
                  <c:v>8.2256543999999998</c:v>
                </c:pt>
                <c:pt idx="3">
                  <c:v>1.72254</c:v>
                </c:pt>
                <c:pt idx="4">
                  <c:v>1.26436584</c:v>
                </c:pt>
                <c:pt idx="5">
                  <c:v>0.87405599999999994</c:v>
                </c:pt>
                <c:pt idx="6">
                  <c:v>4.7360214000000012</c:v>
                </c:pt>
              </c:numCache>
            </c:numRef>
          </c:val>
          <c:extLst xmlns:c16r2="http://schemas.microsoft.com/office/drawing/2015/06/chart">
            <c:ext xmlns:c16="http://schemas.microsoft.com/office/drawing/2014/chart" uri="{C3380CC4-5D6E-409C-BE32-E72D297353CC}">
              <c16:uniqueId val="{00000010-F954-4887-903C-14980726B572}"/>
            </c:ext>
          </c:extLst>
        </c:ser>
        <c:dLbls>
          <c:showLegendKey val="0"/>
          <c:showVal val="0"/>
          <c:showCatName val="0"/>
          <c:showSerName val="0"/>
          <c:showPercent val="0"/>
          <c:showBubbleSize val="0"/>
        </c:dLbls>
        <c:gapWidth val="100"/>
        <c:overlap val="100"/>
        <c:axId val="935375696"/>
        <c:axId val="935369424"/>
      </c:barChart>
      <c:catAx>
        <c:axId val="935375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5369424"/>
        <c:crosses val="autoZero"/>
        <c:auto val="1"/>
        <c:lblAlgn val="ctr"/>
        <c:lblOffset val="100"/>
        <c:noMultiLvlLbl val="0"/>
      </c:catAx>
      <c:valAx>
        <c:axId val="935369424"/>
        <c:scaling>
          <c:orientation val="minMax"/>
          <c:max val="6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Property minutes (millions)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53756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17"/>
            <c:invertIfNegative val="0"/>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1-85BC-4ED0-8119-DD9B89510167}"/>
              </c:ext>
            </c:extLst>
          </c:dPt>
          <c:cat>
            <c:strRef>
              <c:f>'OUTPUT│Outcomes Trends'!$D$233:$D$250</c:f>
              <c:strCache>
                <c:ptCount val="18"/>
                <c:pt idx="0">
                  <c:v>HDD</c:v>
                </c:pt>
                <c:pt idx="1">
                  <c:v>SWB</c:v>
                </c:pt>
                <c:pt idx="2">
                  <c:v>WSX</c:v>
                </c:pt>
                <c:pt idx="3">
                  <c:v>SEW</c:v>
                </c:pt>
                <c:pt idx="4">
                  <c:v>NES</c:v>
                </c:pt>
                <c:pt idx="5">
                  <c:v>YKY</c:v>
                </c:pt>
                <c:pt idx="6">
                  <c:v>ANH</c:v>
                </c:pt>
                <c:pt idx="7">
                  <c:v>BRL</c:v>
                </c:pt>
                <c:pt idx="8">
                  <c:v>AFW</c:v>
                </c:pt>
                <c:pt idx="9">
                  <c:v>SRN</c:v>
                </c:pt>
                <c:pt idx="10">
                  <c:v>PRT</c:v>
                </c:pt>
                <c:pt idx="11">
                  <c:v>SSC</c:v>
                </c:pt>
                <c:pt idx="12">
                  <c:v>UU</c:v>
                </c:pt>
                <c:pt idx="13">
                  <c:v>SVE</c:v>
                </c:pt>
                <c:pt idx="14">
                  <c:v>TMS</c:v>
                </c:pt>
                <c:pt idx="15">
                  <c:v>SES</c:v>
                </c:pt>
                <c:pt idx="16">
                  <c:v>WSH</c:v>
                </c:pt>
                <c:pt idx="17">
                  <c:v>Industry</c:v>
                </c:pt>
              </c:strCache>
            </c:strRef>
          </c:cat>
          <c:val>
            <c:numRef>
              <c:f>'OUTPUT│Outcomes Trends'!$E$233:$E$250</c:f>
              <c:numCache>
                <c:formatCode>0.0%</c:formatCode>
                <c:ptCount val="18"/>
                <c:pt idx="0">
                  <c:v>-0.54192073170731703</c:v>
                </c:pt>
                <c:pt idx="1">
                  <c:v>-0.47214934409687187</c:v>
                </c:pt>
                <c:pt idx="2">
                  <c:v>-0.34098360655737703</c:v>
                </c:pt>
                <c:pt idx="3">
                  <c:v>-0.33373469797310856</c:v>
                </c:pt>
                <c:pt idx="4">
                  <c:v>-0.30685156892701843</c:v>
                </c:pt>
                <c:pt idx="5">
                  <c:v>-0.27881105510168608</c:v>
                </c:pt>
                <c:pt idx="6">
                  <c:v>-0.22322580645161291</c:v>
                </c:pt>
                <c:pt idx="7">
                  <c:v>-0.21986089644513138</c:v>
                </c:pt>
                <c:pt idx="8">
                  <c:v>-0.1707774798927614</c:v>
                </c:pt>
                <c:pt idx="9">
                  <c:v>-0.15817409766454352</c:v>
                </c:pt>
                <c:pt idx="10">
                  <c:v>-0.14520547945205478</c:v>
                </c:pt>
                <c:pt idx="11">
                  <c:v>-0.13314936184891341</c:v>
                </c:pt>
                <c:pt idx="12">
                  <c:v>-5.5209656925031769E-2</c:v>
                </c:pt>
                <c:pt idx="13">
                  <c:v>-2.4584514053764266E-2</c:v>
                </c:pt>
                <c:pt idx="14">
                  <c:v>1.3782796413151777E-2</c:v>
                </c:pt>
                <c:pt idx="15">
                  <c:v>4.4041450777202069E-2</c:v>
                </c:pt>
                <c:pt idx="16">
                  <c:v>8.5069266290405329E-2</c:v>
                </c:pt>
                <c:pt idx="17">
                  <c:v>-0.17189726911856137</c:v>
                </c:pt>
              </c:numCache>
            </c:numRef>
          </c:val>
          <c:extLst xmlns:c16r2="http://schemas.microsoft.com/office/drawing/2015/06/chart">
            <c:ext xmlns:c16="http://schemas.microsoft.com/office/drawing/2014/chart" uri="{C3380CC4-5D6E-409C-BE32-E72D297353CC}">
              <c16:uniqueId val="{00000002-85BC-4ED0-8119-DD9B89510167}"/>
            </c:ext>
          </c:extLst>
        </c:ser>
        <c:dLbls>
          <c:showLegendKey val="0"/>
          <c:showVal val="0"/>
          <c:showCatName val="0"/>
          <c:showSerName val="0"/>
          <c:showPercent val="0"/>
          <c:showBubbleSize val="0"/>
        </c:dLbls>
        <c:gapWidth val="150"/>
        <c:overlap val="-27"/>
        <c:axId val="935363152"/>
        <c:axId val="935367072"/>
      </c:barChart>
      <c:catAx>
        <c:axId val="93536315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5367072"/>
        <c:crosses val="autoZero"/>
        <c:auto val="1"/>
        <c:lblAlgn val="ctr"/>
        <c:lblOffset val="100"/>
        <c:noMultiLvlLbl val="0"/>
      </c:catAx>
      <c:valAx>
        <c:axId val="935367072"/>
        <c:scaling>
          <c:orientation val="minMax"/>
          <c:max val="0.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5363152"/>
        <c:crosses val="autoZero"/>
        <c:crossBetween val="between"/>
      </c:valAx>
      <c:spPr>
        <a:noFill/>
        <a:ln>
          <a:noFill/>
        </a:ln>
        <a:effectLst/>
      </c:spPr>
    </c:plotArea>
    <c:plotVisOnly val="0"/>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CALCS│Outcomes!$C$173</c:f>
              <c:strCache>
                <c:ptCount val="1"/>
                <c:pt idx="0">
                  <c:v>ANH</c:v>
                </c:pt>
              </c:strCache>
            </c:strRef>
          </c:tx>
          <c:spPr>
            <a:solidFill>
              <a:schemeClr val="tx2"/>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CALCS│Outcomes!$E$173:$K$173</c:f>
              <c:numCache>
                <c:formatCode>#,##0;\-#,##0;\-</c:formatCode>
                <c:ptCount val="7"/>
                <c:pt idx="0">
                  <c:v>6975</c:v>
                </c:pt>
                <c:pt idx="1">
                  <c:v>6756</c:v>
                </c:pt>
                <c:pt idx="2">
                  <c:v>6566</c:v>
                </c:pt>
                <c:pt idx="3">
                  <c:v>6273</c:v>
                </c:pt>
                <c:pt idx="4">
                  <c:v>6308</c:v>
                </c:pt>
                <c:pt idx="5">
                  <c:v>5618</c:v>
                </c:pt>
                <c:pt idx="6">
                  <c:v>5418</c:v>
                </c:pt>
              </c:numCache>
            </c:numRef>
          </c:val>
          <c:extLst xmlns:c16r2="http://schemas.microsoft.com/office/drawing/2015/06/chart">
            <c:ext xmlns:c16="http://schemas.microsoft.com/office/drawing/2014/chart" uri="{C3380CC4-5D6E-409C-BE32-E72D297353CC}">
              <c16:uniqueId val="{00000000-E2ED-4395-ADC6-30FA7915681E}"/>
            </c:ext>
          </c:extLst>
        </c:ser>
        <c:ser>
          <c:idx val="1"/>
          <c:order val="1"/>
          <c:tx>
            <c:strRef>
              <c:f>CALCS│Outcomes!$C$174</c:f>
              <c:strCache>
                <c:ptCount val="1"/>
                <c:pt idx="0">
                  <c:v>WSH</c:v>
                </c:pt>
              </c:strCache>
            </c:strRef>
          </c:tx>
          <c:spPr>
            <a:solidFill>
              <a:schemeClr val="accent1"/>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CALCS│Outcomes!$E$174:$K$174</c:f>
              <c:numCache>
                <c:formatCode>#,##0;\-#,##0;\-</c:formatCode>
                <c:ptCount val="7"/>
                <c:pt idx="0">
                  <c:v>9745</c:v>
                </c:pt>
                <c:pt idx="1">
                  <c:v>11553</c:v>
                </c:pt>
                <c:pt idx="2">
                  <c:v>10843</c:v>
                </c:pt>
                <c:pt idx="3">
                  <c:v>9964</c:v>
                </c:pt>
                <c:pt idx="4">
                  <c:v>10483</c:v>
                </c:pt>
                <c:pt idx="5">
                  <c:v>10210</c:v>
                </c:pt>
                <c:pt idx="6">
                  <c:v>10574</c:v>
                </c:pt>
              </c:numCache>
            </c:numRef>
          </c:val>
          <c:extLst xmlns:c16r2="http://schemas.microsoft.com/office/drawing/2015/06/chart">
            <c:ext xmlns:c16="http://schemas.microsoft.com/office/drawing/2014/chart" uri="{C3380CC4-5D6E-409C-BE32-E72D297353CC}">
              <c16:uniqueId val="{00000001-E2ED-4395-ADC6-30FA7915681E}"/>
            </c:ext>
          </c:extLst>
        </c:ser>
        <c:ser>
          <c:idx val="2"/>
          <c:order val="2"/>
          <c:tx>
            <c:strRef>
              <c:f>CALCS│Outcomes!$C$175</c:f>
              <c:strCache>
                <c:ptCount val="1"/>
                <c:pt idx="0">
                  <c:v>HDD</c:v>
                </c:pt>
              </c:strCache>
            </c:strRef>
          </c:tx>
          <c:spPr>
            <a:solidFill>
              <a:schemeClr val="tx1"/>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CALCS│Outcomes!$E$175:$K$175</c:f>
              <c:numCache>
                <c:formatCode>#,##0;\-#,##0;\-</c:formatCode>
                <c:ptCount val="7"/>
                <c:pt idx="0">
                  <c:v>1312</c:v>
                </c:pt>
                <c:pt idx="1">
                  <c:v>1671</c:v>
                </c:pt>
                <c:pt idx="2">
                  <c:v>975</c:v>
                </c:pt>
                <c:pt idx="3">
                  <c:v>713</c:v>
                </c:pt>
                <c:pt idx="4">
                  <c:v>707</c:v>
                </c:pt>
                <c:pt idx="5">
                  <c:v>551</c:v>
                </c:pt>
                <c:pt idx="6">
                  <c:v>601</c:v>
                </c:pt>
              </c:numCache>
            </c:numRef>
          </c:val>
          <c:extLst xmlns:c16r2="http://schemas.microsoft.com/office/drawing/2015/06/chart">
            <c:ext xmlns:c16="http://schemas.microsoft.com/office/drawing/2014/chart" uri="{C3380CC4-5D6E-409C-BE32-E72D297353CC}">
              <c16:uniqueId val="{00000002-E2ED-4395-ADC6-30FA7915681E}"/>
            </c:ext>
          </c:extLst>
        </c:ser>
        <c:ser>
          <c:idx val="3"/>
          <c:order val="3"/>
          <c:tx>
            <c:strRef>
              <c:f>CALCS│Outcomes!$C$176</c:f>
              <c:strCache>
                <c:ptCount val="1"/>
                <c:pt idx="0">
                  <c:v>NES</c:v>
                </c:pt>
              </c:strCache>
            </c:strRef>
          </c:tx>
          <c:spPr>
            <a:solidFill>
              <a:srgbClr val="7FBBE4"/>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CALCS│Outcomes!$E$176:$K$176</c:f>
              <c:numCache>
                <c:formatCode>#,##0;\-#,##0;\-</c:formatCode>
                <c:ptCount val="7"/>
                <c:pt idx="0">
                  <c:v>8509</c:v>
                </c:pt>
                <c:pt idx="1">
                  <c:v>8109</c:v>
                </c:pt>
                <c:pt idx="2">
                  <c:v>7189</c:v>
                </c:pt>
                <c:pt idx="3">
                  <c:v>6223</c:v>
                </c:pt>
                <c:pt idx="4">
                  <c:v>6515</c:v>
                </c:pt>
                <c:pt idx="5">
                  <c:v>5840</c:v>
                </c:pt>
                <c:pt idx="6">
                  <c:v>5898</c:v>
                </c:pt>
              </c:numCache>
            </c:numRef>
          </c:val>
          <c:extLst xmlns:c16r2="http://schemas.microsoft.com/office/drawing/2015/06/chart">
            <c:ext xmlns:c16="http://schemas.microsoft.com/office/drawing/2014/chart" uri="{C3380CC4-5D6E-409C-BE32-E72D297353CC}">
              <c16:uniqueId val="{00000003-E2ED-4395-ADC6-30FA7915681E}"/>
            </c:ext>
          </c:extLst>
        </c:ser>
        <c:ser>
          <c:idx val="4"/>
          <c:order val="4"/>
          <c:tx>
            <c:strRef>
              <c:f>CALCS│Outcomes!$C$177</c:f>
              <c:strCache>
                <c:ptCount val="1"/>
                <c:pt idx="0">
                  <c:v>SVE</c:v>
                </c:pt>
              </c:strCache>
            </c:strRef>
          </c:tx>
          <c:spPr>
            <a:solidFill>
              <a:srgbClr val="BFDDF1"/>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CALCS│Outcomes!$E$177:$K$177</c:f>
              <c:numCache>
                <c:formatCode>#,##0;\-#,##0;\-</c:formatCode>
                <c:ptCount val="7"/>
                <c:pt idx="0">
                  <c:v>13057</c:v>
                </c:pt>
                <c:pt idx="1">
                  <c:v>14052</c:v>
                </c:pt>
                <c:pt idx="2">
                  <c:v>14936</c:v>
                </c:pt>
                <c:pt idx="3">
                  <c:v>14680</c:v>
                </c:pt>
                <c:pt idx="4">
                  <c:v>15336</c:v>
                </c:pt>
                <c:pt idx="5">
                  <c:v>13359</c:v>
                </c:pt>
                <c:pt idx="6">
                  <c:v>12736</c:v>
                </c:pt>
              </c:numCache>
            </c:numRef>
          </c:val>
          <c:extLst xmlns:c16r2="http://schemas.microsoft.com/office/drawing/2015/06/chart">
            <c:ext xmlns:c16="http://schemas.microsoft.com/office/drawing/2014/chart" uri="{C3380CC4-5D6E-409C-BE32-E72D297353CC}">
              <c16:uniqueId val="{00000004-E2ED-4395-ADC6-30FA7915681E}"/>
            </c:ext>
          </c:extLst>
        </c:ser>
        <c:ser>
          <c:idx val="5"/>
          <c:order val="5"/>
          <c:tx>
            <c:strRef>
              <c:f>CALCS│Outcomes!$C$178</c:f>
              <c:strCache>
                <c:ptCount val="1"/>
                <c:pt idx="0">
                  <c:v>SWB</c:v>
                </c:pt>
              </c:strCache>
            </c:strRef>
          </c:tx>
          <c:spPr>
            <a:solidFill>
              <a:schemeClr val="accent5"/>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CALCS│Outcomes!$E$178:$K$178</c:f>
              <c:numCache>
                <c:formatCode>#,##0;\-#,##0;\-</c:formatCode>
                <c:ptCount val="7"/>
                <c:pt idx="0">
                  <c:v>9910</c:v>
                </c:pt>
                <c:pt idx="1">
                  <c:v>10348</c:v>
                </c:pt>
                <c:pt idx="2">
                  <c:v>7183</c:v>
                </c:pt>
                <c:pt idx="3">
                  <c:v>6414</c:v>
                </c:pt>
                <c:pt idx="4">
                  <c:v>6000</c:v>
                </c:pt>
                <c:pt idx="5">
                  <c:v>5258</c:v>
                </c:pt>
                <c:pt idx="6">
                  <c:v>5231</c:v>
                </c:pt>
              </c:numCache>
            </c:numRef>
          </c:val>
          <c:extLst xmlns:c16r2="http://schemas.microsoft.com/office/drawing/2015/06/chart">
            <c:ext xmlns:c16="http://schemas.microsoft.com/office/drawing/2014/chart" uri="{C3380CC4-5D6E-409C-BE32-E72D297353CC}">
              <c16:uniqueId val="{00000005-E2ED-4395-ADC6-30FA7915681E}"/>
            </c:ext>
          </c:extLst>
        </c:ser>
        <c:ser>
          <c:idx val="6"/>
          <c:order val="6"/>
          <c:tx>
            <c:strRef>
              <c:f>CALCS│Outcomes!$C$179</c:f>
              <c:strCache>
                <c:ptCount val="1"/>
                <c:pt idx="0">
                  <c:v>SRN</c:v>
                </c:pt>
              </c:strCache>
            </c:strRef>
          </c:tx>
          <c:spPr>
            <a:solidFill>
              <a:srgbClr val="E47FC1"/>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CALCS│Outcomes!$E$179:$K$179</c:f>
              <c:numCache>
                <c:formatCode>#,##0;\-#,##0;\-</c:formatCode>
                <c:ptCount val="7"/>
                <c:pt idx="0">
                  <c:v>3768</c:v>
                </c:pt>
                <c:pt idx="1">
                  <c:v>3576</c:v>
                </c:pt>
                <c:pt idx="2">
                  <c:v>3527</c:v>
                </c:pt>
                <c:pt idx="3">
                  <c:v>3193</c:v>
                </c:pt>
                <c:pt idx="4">
                  <c:v>3626</c:v>
                </c:pt>
                <c:pt idx="5">
                  <c:v>3491</c:v>
                </c:pt>
                <c:pt idx="6">
                  <c:v>3172</c:v>
                </c:pt>
              </c:numCache>
            </c:numRef>
          </c:val>
          <c:extLst xmlns:c16r2="http://schemas.microsoft.com/office/drawing/2015/06/chart">
            <c:ext xmlns:c16="http://schemas.microsoft.com/office/drawing/2014/chart" uri="{C3380CC4-5D6E-409C-BE32-E72D297353CC}">
              <c16:uniqueId val="{00000006-E2ED-4395-ADC6-30FA7915681E}"/>
            </c:ext>
          </c:extLst>
        </c:ser>
        <c:ser>
          <c:idx val="7"/>
          <c:order val="7"/>
          <c:tx>
            <c:strRef>
              <c:f>CALCS│Outcomes!$C$180</c:f>
              <c:strCache>
                <c:ptCount val="1"/>
                <c:pt idx="0">
                  <c:v>TMS</c:v>
                </c:pt>
              </c:strCache>
            </c:strRef>
          </c:tx>
          <c:spPr>
            <a:solidFill>
              <a:schemeClr val="accent4"/>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CALCS│Outcomes!$E$180:$K$180</c:f>
              <c:numCache>
                <c:formatCode>#,##0;\-#,##0;\-</c:formatCode>
                <c:ptCount val="7"/>
                <c:pt idx="0">
                  <c:v>6022</c:v>
                </c:pt>
                <c:pt idx="1">
                  <c:v>5422</c:v>
                </c:pt>
                <c:pt idx="2">
                  <c:v>5318</c:v>
                </c:pt>
                <c:pt idx="3">
                  <c:v>6021</c:v>
                </c:pt>
                <c:pt idx="4">
                  <c:v>5831</c:v>
                </c:pt>
                <c:pt idx="5">
                  <c:v>5774</c:v>
                </c:pt>
                <c:pt idx="6">
                  <c:v>6105</c:v>
                </c:pt>
              </c:numCache>
            </c:numRef>
          </c:val>
          <c:extLst xmlns:c16r2="http://schemas.microsoft.com/office/drawing/2015/06/chart">
            <c:ext xmlns:c16="http://schemas.microsoft.com/office/drawing/2014/chart" uri="{C3380CC4-5D6E-409C-BE32-E72D297353CC}">
              <c16:uniqueId val="{00000007-E2ED-4395-ADC6-30FA7915681E}"/>
            </c:ext>
          </c:extLst>
        </c:ser>
        <c:ser>
          <c:idx val="8"/>
          <c:order val="8"/>
          <c:tx>
            <c:strRef>
              <c:f>CALCS│Outcomes!$C$181</c:f>
              <c:strCache>
                <c:ptCount val="1"/>
                <c:pt idx="0">
                  <c:v>UU</c:v>
                </c:pt>
              </c:strCache>
            </c:strRef>
          </c:tx>
          <c:spPr>
            <a:solidFill>
              <a:srgbClr val="95B040"/>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CALCS│Outcomes!$E$181:$K$181</c:f>
              <c:numCache>
                <c:formatCode>#,##0;\-#,##0;\-</c:formatCode>
                <c:ptCount val="7"/>
                <c:pt idx="0">
                  <c:v>15740</c:v>
                </c:pt>
                <c:pt idx="1">
                  <c:v>14566</c:v>
                </c:pt>
                <c:pt idx="2">
                  <c:v>13980</c:v>
                </c:pt>
                <c:pt idx="3">
                  <c:v>12635</c:v>
                </c:pt>
                <c:pt idx="4">
                  <c:v>12913</c:v>
                </c:pt>
                <c:pt idx="5">
                  <c:v>15341</c:v>
                </c:pt>
                <c:pt idx="6">
                  <c:v>14871</c:v>
                </c:pt>
              </c:numCache>
            </c:numRef>
          </c:val>
          <c:extLst xmlns:c16r2="http://schemas.microsoft.com/office/drawing/2015/06/chart">
            <c:ext xmlns:c16="http://schemas.microsoft.com/office/drawing/2014/chart" uri="{C3380CC4-5D6E-409C-BE32-E72D297353CC}">
              <c16:uniqueId val="{00000008-E2ED-4395-ADC6-30FA7915681E}"/>
            </c:ext>
          </c:extLst>
        </c:ser>
        <c:ser>
          <c:idx val="9"/>
          <c:order val="9"/>
          <c:tx>
            <c:strRef>
              <c:f>CALCS│Outcomes!$C$182</c:f>
              <c:strCache>
                <c:ptCount val="1"/>
                <c:pt idx="0">
                  <c:v>WSX</c:v>
                </c:pt>
              </c:strCache>
            </c:strRef>
          </c:tx>
          <c:spPr>
            <a:solidFill>
              <a:schemeClr val="accent3"/>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CALCS│Outcomes!$E$182:$K$182</c:f>
              <c:numCache>
                <c:formatCode>#,##0;\-#,##0;\-</c:formatCode>
                <c:ptCount val="7"/>
                <c:pt idx="0">
                  <c:v>3050</c:v>
                </c:pt>
                <c:pt idx="1">
                  <c:v>2893</c:v>
                </c:pt>
                <c:pt idx="2">
                  <c:v>3006</c:v>
                </c:pt>
                <c:pt idx="3">
                  <c:v>2431</c:v>
                </c:pt>
                <c:pt idx="4">
                  <c:v>2172</c:v>
                </c:pt>
                <c:pt idx="5">
                  <c:v>2031</c:v>
                </c:pt>
                <c:pt idx="6">
                  <c:v>2010</c:v>
                </c:pt>
              </c:numCache>
            </c:numRef>
          </c:val>
          <c:extLst xmlns:c16r2="http://schemas.microsoft.com/office/drawing/2015/06/chart">
            <c:ext xmlns:c16="http://schemas.microsoft.com/office/drawing/2014/chart" uri="{C3380CC4-5D6E-409C-BE32-E72D297353CC}">
              <c16:uniqueId val="{00000009-E2ED-4395-ADC6-30FA7915681E}"/>
            </c:ext>
          </c:extLst>
        </c:ser>
        <c:ser>
          <c:idx val="10"/>
          <c:order val="10"/>
          <c:tx>
            <c:strRef>
              <c:f>CALCS│Outcomes!$C$183</c:f>
              <c:strCache>
                <c:ptCount val="1"/>
                <c:pt idx="0">
                  <c:v>YKY</c:v>
                </c:pt>
              </c:strCache>
            </c:strRef>
          </c:tx>
          <c:spPr>
            <a:solidFill>
              <a:srgbClr val="F9D47F"/>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CALCS│Outcomes!$E$183:$K$183</c:f>
              <c:numCache>
                <c:formatCode>#,##0;\-#,##0;\-</c:formatCode>
                <c:ptCount val="7"/>
                <c:pt idx="0">
                  <c:v>11506</c:v>
                </c:pt>
                <c:pt idx="1">
                  <c:v>12879</c:v>
                </c:pt>
                <c:pt idx="2">
                  <c:v>10406</c:v>
                </c:pt>
                <c:pt idx="3">
                  <c:v>10082</c:v>
                </c:pt>
                <c:pt idx="4">
                  <c:v>9673</c:v>
                </c:pt>
                <c:pt idx="5">
                  <c:v>7913</c:v>
                </c:pt>
                <c:pt idx="6">
                  <c:v>8298</c:v>
                </c:pt>
              </c:numCache>
            </c:numRef>
          </c:val>
          <c:extLst xmlns:c16r2="http://schemas.microsoft.com/office/drawing/2015/06/chart">
            <c:ext xmlns:c16="http://schemas.microsoft.com/office/drawing/2014/chart" uri="{C3380CC4-5D6E-409C-BE32-E72D297353CC}">
              <c16:uniqueId val="{0000000A-E2ED-4395-ADC6-30FA7915681E}"/>
            </c:ext>
          </c:extLst>
        </c:ser>
        <c:ser>
          <c:idx val="11"/>
          <c:order val="11"/>
          <c:tx>
            <c:strRef>
              <c:f>CALCS│Outcomes!$C$184</c:f>
              <c:strCache>
                <c:ptCount val="1"/>
                <c:pt idx="0">
                  <c:v>AFW</c:v>
                </c:pt>
              </c:strCache>
            </c:strRef>
          </c:tx>
          <c:spPr>
            <a:solidFill>
              <a:srgbClr val="FCEABF"/>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CALCS│Outcomes!$E$184:$K$184</c:f>
              <c:numCache>
                <c:formatCode>#,##0;\-#,##0;\-</c:formatCode>
                <c:ptCount val="7"/>
                <c:pt idx="0">
                  <c:v>3730</c:v>
                </c:pt>
                <c:pt idx="1">
                  <c:v>3783</c:v>
                </c:pt>
                <c:pt idx="2">
                  <c:v>3743</c:v>
                </c:pt>
                <c:pt idx="3">
                  <c:v>3552</c:v>
                </c:pt>
                <c:pt idx="4">
                  <c:v>3526</c:v>
                </c:pt>
                <c:pt idx="5">
                  <c:v>3070</c:v>
                </c:pt>
                <c:pt idx="6">
                  <c:v>3093</c:v>
                </c:pt>
              </c:numCache>
            </c:numRef>
          </c:val>
          <c:extLst xmlns:c16r2="http://schemas.microsoft.com/office/drawing/2015/06/chart">
            <c:ext xmlns:c16="http://schemas.microsoft.com/office/drawing/2014/chart" uri="{C3380CC4-5D6E-409C-BE32-E72D297353CC}">
              <c16:uniqueId val="{0000000B-E2ED-4395-ADC6-30FA7915681E}"/>
            </c:ext>
          </c:extLst>
        </c:ser>
        <c:ser>
          <c:idx val="12"/>
          <c:order val="12"/>
          <c:tx>
            <c:strRef>
              <c:f>CALCS│Outcomes!$C$185</c:f>
              <c:strCache>
                <c:ptCount val="1"/>
                <c:pt idx="0">
                  <c:v>BRL</c:v>
                </c:pt>
              </c:strCache>
            </c:strRef>
          </c:tx>
          <c:spPr>
            <a:solidFill>
              <a:schemeClr val="accent2"/>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CALCS│Outcomes!$E$185:$K$185</c:f>
              <c:numCache>
                <c:formatCode>#,##0;\-#,##0;\-</c:formatCode>
                <c:ptCount val="7"/>
                <c:pt idx="0">
                  <c:v>2588</c:v>
                </c:pt>
                <c:pt idx="1">
                  <c:v>2320</c:v>
                </c:pt>
                <c:pt idx="2">
                  <c:v>2660</c:v>
                </c:pt>
                <c:pt idx="3">
                  <c:v>2427</c:v>
                </c:pt>
                <c:pt idx="4">
                  <c:v>2275</c:v>
                </c:pt>
                <c:pt idx="5">
                  <c:v>1800</c:v>
                </c:pt>
                <c:pt idx="6">
                  <c:v>2019</c:v>
                </c:pt>
              </c:numCache>
            </c:numRef>
          </c:val>
          <c:extLst xmlns:c16r2="http://schemas.microsoft.com/office/drawing/2015/06/chart">
            <c:ext xmlns:c16="http://schemas.microsoft.com/office/drawing/2014/chart" uri="{C3380CC4-5D6E-409C-BE32-E72D297353CC}">
              <c16:uniqueId val="{0000000C-E2ED-4395-ADC6-30FA7915681E}"/>
            </c:ext>
          </c:extLst>
        </c:ser>
        <c:ser>
          <c:idx val="13"/>
          <c:order val="13"/>
          <c:tx>
            <c:strRef>
              <c:f>CALCS│Outcomes!$C$186</c:f>
              <c:strCache>
                <c:ptCount val="1"/>
                <c:pt idx="0">
                  <c:v>PRT</c:v>
                </c:pt>
              </c:strCache>
            </c:strRef>
          </c:tx>
          <c:spPr>
            <a:solidFill>
              <a:srgbClr val="E0DCD8"/>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CALCS│Outcomes!$E$186:$K$186</c:f>
              <c:numCache>
                <c:formatCode>#,##0;\-#,##0;\-</c:formatCode>
                <c:ptCount val="7"/>
                <c:pt idx="0">
                  <c:v>365</c:v>
                </c:pt>
                <c:pt idx="1">
                  <c:v>307</c:v>
                </c:pt>
                <c:pt idx="2">
                  <c:v>583</c:v>
                </c:pt>
                <c:pt idx="3">
                  <c:v>398</c:v>
                </c:pt>
                <c:pt idx="4">
                  <c:v>468</c:v>
                </c:pt>
                <c:pt idx="5">
                  <c:v>389</c:v>
                </c:pt>
                <c:pt idx="6">
                  <c:v>312</c:v>
                </c:pt>
              </c:numCache>
            </c:numRef>
          </c:val>
          <c:extLst xmlns:c16r2="http://schemas.microsoft.com/office/drawing/2015/06/chart">
            <c:ext xmlns:c16="http://schemas.microsoft.com/office/drawing/2014/chart" uri="{C3380CC4-5D6E-409C-BE32-E72D297353CC}">
              <c16:uniqueId val="{0000000D-E2ED-4395-ADC6-30FA7915681E}"/>
            </c:ext>
          </c:extLst>
        </c:ser>
        <c:ser>
          <c:idx val="14"/>
          <c:order val="14"/>
          <c:tx>
            <c:strRef>
              <c:f>CALCS│Outcomes!$C$187</c:f>
              <c:strCache>
                <c:ptCount val="1"/>
                <c:pt idx="0">
                  <c:v>SEW</c:v>
                </c:pt>
              </c:strCache>
            </c:strRef>
          </c:tx>
          <c:spPr>
            <a:solidFill>
              <a:schemeClr val="accent6"/>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CALCS│Outcomes!$E$187:$K$187</c:f>
              <c:numCache>
                <c:formatCode>#,##0;\-#,##0;\-</c:formatCode>
                <c:ptCount val="7"/>
                <c:pt idx="0">
                  <c:v>4983</c:v>
                </c:pt>
                <c:pt idx="1">
                  <c:v>5023</c:v>
                </c:pt>
                <c:pt idx="2">
                  <c:v>5012</c:v>
                </c:pt>
                <c:pt idx="3">
                  <c:v>4609</c:v>
                </c:pt>
                <c:pt idx="4">
                  <c:v>4255</c:v>
                </c:pt>
                <c:pt idx="5">
                  <c:v>4087</c:v>
                </c:pt>
                <c:pt idx="6">
                  <c:v>3320</c:v>
                </c:pt>
              </c:numCache>
            </c:numRef>
          </c:val>
          <c:extLst xmlns:c16r2="http://schemas.microsoft.com/office/drawing/2015/06/chart">
            <c:ext xmlns:c16="http://schemas.microsoft.com/office/drawing/2014/chart" uri="{C3380CC4-5D6E-409C-BE32-E72D297353CC}">
              <c16:uniqueId val="{0000000E-E2ED-4395-ADC6-30FA7915681E}"/>
            </c:ext>
          </c:extLst>
        </c:ser>
        <c:ser>
          <c:idx val="15"/>
          <c:order val="15"/>
          <c:tx>
            <c:strRef>
              <c:f>CALCS│Outcomes!$C$188</c:f>
              <c:strCache>
                <c:ptCount val="1"/>
                <c:pt idx="0">
                  <c:v>SSC</c:v>
                </c:pt>
              </c:strCache>
            </c:strRef>
          </c:tx>
          <c:spPr>
            <a:solidFill>
              <a:srgbClr val="FEA38C"/>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CALCS│Outcomes!$E$188:$K$188</c:f>
              <c:numCache>
                <c:formatCode>#,##0;\-#,##0;\-</c:formatCode>
                <c:ptCount val="7"/>
                <c:pt idx="0">
                  <c:v>2899</c:v>
                </c:pt>
                <c:pt idx="1">
                  <c:v>3025</c:v>
                </c:pt>
                <c:pt idx="2">
                  <c:v>2532</c:v>
                </c:pt>
                <c:pt idx="3">
                  <c:v>3176</c:v>
                </c:pt>
                <c:pt idx="4">
                  <c:v>2712</c:v>
                </c:pt>
                <c:pt idx="5">
                  <c:v>2354</c:v>
                </c:pt>
                <c:pt idx="6">
                  <c:v>2513</c:v>
                </c:pt>
              </c:numCache>
            </c:numRef>
          </c:val>
          <c:extLst xmlns:c16r2="http://schemas.microsoft.com/office/drawing/2015/06/chart">
            <c:ext xmlns:c16="http://schemas.microsoft.com/office/drawing/2014/chart" uri="{C3380CC4-5D6E-409C-BE32-E72D297353CC}">
              <c16:uniqueId val="{0000000F-E2ED-4395-ADC6-30FA7915681E}"/>
            </c:ext>
          </c:extLst>
        </c:ser>
        <c:ser>
          <c:idx val="16"/>
          <c:order val="16"/>
          <c:tx>
            <c:strRef>
              <c:f>CALCS│Outcomes!$C$189</c:f>
              <c:strCache>
                <c:ptCount val="1"/>
                <c:pt idx="0">
                  <c:v>SES</c:v>
                </c:pt>
              </c:strCache>
            </c:strRef>
          </c:tx>
          <c:spPr>
            <a:solidFill>
              <a:srgbClr val="7030A0"/>
            </a:solidFill>
            <a:ln>
              <a:noFill/>
            </a:ln>
            <a:effectLst/>
          </c:spPr>
          <c:invertIfNegative val="0"/>
          <c:cat>
            <c:strRef>
              <c:f>CALCS│Outcomes!$E$2:$K$2</c:f>
              <c:strCache>
                <c:ptCount val="7"/>
                <c:pt idx="0">
                  <c:v>2012-13</c:v>
                </c:pt>
                <c:pt idx="1">
                  <c:v>2013-14</c:v>
                </c:pt>
                <c:pt idx="2">
                  <c:v>2014-15</c:v>
                </c:pt>
                <c:pt idx="3">
                  <c:v>2015-16</c:v>
                </c:pt>
                <c:pt idx="4">
                  <c:v>2016-17</c:v>
                </c:pt>
                <c:pt idx="5">
                  <c:v>2017-18</c:v>
                </c:pt>
                <c:pt idx="6">
                  <c:v>2018-19</c:v>
                </c:pt>
              </c:strCache>
            </c:strRef>
          </c:cat>
          <c:val>
            <c:numRef>
              <c:f>CALCS│Outcomes!$E$189:$K$189</c:f>
              <c:numCache>
                <c:formatCode>#,##0;\-#,##0;\-</c:formatCode>
                <c:ptCount val="7"/>
                <c:pt idx="0">
                  <c:v>386</c:v>
                </c:pt>
                <c:pt idx="1">
                  <c:v>346</c:v>
                </c:pt>
                <c:pt idx="2">
                  <c:v>559</c:v>
                </c:pt>
                <c:pt idx="3">
                  <c:v>437</c:v>
                </c:pt>
                <c:pt idx="4">
                  <c:v>389</c:v>
                </c:pt>
                <c:pt idx="5">
                  <c:v>383</c:v>
                </c:pt>
                <c:pt idx="6">
                  <c:v>403</c:v>
                </c:pt>
              </c:numCache>
            </c:numRef>
          </c:val>
          <c:extLst xmlns:c16r2="http://schemas.microsoft.com/office/drawing/2015/06/chart">
            <c:ext xmlns:c16="http://schemas.microsoft.com/office/drawing/2014/chart" uri="{C3380CC4-5D6E-409C-BE32-E72D297353CC}">
              <c16:uniqueId val="{00000010-E2ED-4395-ADC6-30FA7915681E}"/>
            </c:ext>
          </c:extLst>
        </c:ser>
        <c:dLbls>
          <c:showLegendKey val="0"/>
          <c:showVal val="0"/>
          <c:showCatName val="0"/>
          <c:showSerName val="0"/>
          <c:showPercent val="0"/>
          <c:showBubbleSize val="0"/>
        </c:dLbls>
        <c:gapWidth val="100"/>
        <c:overlap val="100"/>
        <c:axId val="935374912"/>
        <c:axId val="935369816"/>
      </c:barChart>
      <c:catAx>
        <c:axId val="935374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5369816"/>
        <c:crosses val="autoZero"/>
        <c:auto val="1"/>
        <c:lblAlgn val="ctr"/>
        <c:lblOffset val="100"/>
        <c:noMultiLvlLbl val="0"/>
      </c:catAx>
      <c:valAx>
        <c:axId val="935369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Water Quality Contacts (000s)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5374912"/>
        <c:crosses val="autoZero"/>
        <c:crossBetween val="between"/>
        <c:dispUnits>
          <c:builtInUnit val="thousands"/>
        </c:dispUnits>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10"/>
            <c:invertIfNegative val="0"/>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1-294C-4A8F-8F0F-4C8B80CC52C0}"/>
              </c:ext>
            </c:extLst>
          </c:dPt>
          <c:cat>
            <c:strRef>
              <c:f>'OUTPUT│Outcomes Trends'!$D$318:$D$328</c:f>
              <c:strCache>
                <c:ptCount val="11"/>
                <c:pt idx="0">
                  <c:v>NES</c:v>
                </c:pt>
                <c:pt idx="1">
                  <c:v>SRN</c:v>
                </c:pt>
                <c:pt idx="2">
                  <c:v>ANH</c:v>
                </c:pt>
                <c:pt idx="3">
                  <c:v>WSH</c:v>
                </c:pt>
                <c:pt idx="4">
                  <c:v>UU</c:v>
                </c:pt>
                <c:pt idx="5">
                  <c:v>TMS</c:v>
                </c:pt>
                <c:pt idx="6">
                  <c:v>SVE</c:v>
                </c:pt>
                <c:pt idx="7">
                  <c:v>SWB</c:v>
                </c:pt>
                <c:pt idx="8">
                  <c:v>YKY</c:v>
                </c:pt>
                <c:pt idx="9">
                  <c:v>WSX</c:v>
                </c:pt>
                <c:pt idx="10">
                  <c:v>Industry</c:v>
                </c:pt>
              </c:strCache>
            </c:strRef>
          </c:cat>
          <c:val>
            <c:numRef>
              <c:f>'OUTPUT│Outcomes Trends'!$E$318:$E$328</c:f>
              <c:numCache>
                <c:formatCode>0.0%</c:formatCode>
                <c:ptCount val="11"/>
                <c:pt idx="0">
                  <c:v>-0.80729166666666663</c:v>
                </c:pt>
                <c:pt idx="1">
                  <c:v>-0.63569682151589246</c:v>
                </c:pt>
                <c:pt idx="2">
                  <c:v>-0.57623318385650224</c:v>
                </c:pt>
                <c:pt idx="3">
                  <c:v>-0.49222797927461137</c:v>
                </c:pt>
                <c:pt idx="4">
                  <c:v>-0.44753086419753085</c:v>
                </c:pt>
                <c:pt idx="5">
                  <c:v>-0.36538461538461536</c:v>
                </c:pt>
                <c:pt idx="6">
                  <c:v>-0.23561643835616439</c:v>
                </c:pt>
                <c:pt idx="7">
                  <c:v>-0.18446601941747573</c:v>
                </c:pt>
                <c:pt idx="8">
                  <c:v>-0.11462450592885376</c:v>
                </c:pt>
                <c:pt idx="9">
                  <c:v>0.34426229508196721</c:v>
                </c:pt>
                <c:pt idx="10">
                  <c:v>-0.41515255399382928</c:v>
                </c:pt>
              </c:numCache>
            </c:numRef>
          </c:val>
          <c:extLst xmlns:c16r2="http://schemas.microsoft.com/office/drawing/2015/06/chart">
            <c:ext xmlns:c16="http://schemas.microsoft.com/office/drawing/2014/chart" uri="{C3380CC4-5D6E-409C-BE32-E72D297353CC}">
              <c16:uniqueId val="{00000002-294C-4A8F-8F0F-4C8B80CC52C0}"/>
            </c:ext>
          </c:extLst>
        </c:ser>
        <c:dLbls>
          <c:showLegendKey val="0"/>
          <c:showVal val="0"/>
          <c:showCatName val="0"/>
          <c:showSerName val="0"/>
          <c:showPercent val="0"/>
          <c:showBubbleSize val="0"/>
        </c:dLbls>
        <c:gapWidth val="150"/>
        <c:overlap val="-27"/>
        <c:axId val="935376480"/>
        <c:axId val="935372168"/>
      </c:barChart>
      <c:catAx>
        <c:axId val="93537648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5372168"/>
        <c:crosses val="autoZero"/>
        <c:auto val="1"/>
        <c:lblAlgn val="ctr"/>
        <c:lblOffset val="100"/>
        <c:noMultiLvlLbl val="0"/>
      </c:catAx>
      <c:valAx>
        <c:axId val="935372168"/>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5376480"/>
        <c:crosses val="autoZero"/>
        <c:crossBetween val="between"/>
      </c:valAx>
      <c:spPr>
        <a:noFill/>
        <a:ln>
          <a:noFill/>
        </a:ln>
        <a:effectLst/>
      </c:spPr>
    </c:plotArea>
    <c:plotVisOnly val="0"/>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0.xml"/><Relationship Id="rId13" Type="http://schemas.openxmlformats.org/officeDocument/2006/relationships/chart" Target="../charts/chart15.xml"/><Relationship Id="rId3" Type="http://schemas.openxmlformats.org/officeDocument/2006/relationships/chart" Target="../charts/chart5.xml"/><Relationship Id="rId7" Type="http://schemas.openxmlformats.org/officeDocument/2006/relationships/chart" Target="../charts/chart9.xml"/><Relationship Id="rId12" Type="http://schemas.openxmlformats.org/officeDocument/2006/relationships/chart" Target="../charts/chart14.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chart" Target="../charts/chart13.xml"/><Relationship Id="rId5" Type="http://schemas.openxmlformats.org/officeDocument/2006/relationships/chart" Target="../charts/chart7.xml"/><Relationship Id="rId10" Type="http://schemas.openxmlformats.org/officeDocument/2006/relationships/chart" Target="../charts/chart12.xml"/><Relationship Id="rId4" Type="http://schemas.openxmlformats.org/officeDocument/2006/relationships/chart" Target="../charts/chart6.xml"/><Relationship Id="rId9" Type="http://schemas.openxmlformats.org/officeDocument/2006/relationships/chart" Target="../charts/chart11.xml"/><Relationship Id="rId1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editAs="oneCell">
    <xdr:from>
      <xdr:col>7</xdr:col>
      <xdr:colOff>381000</xdr:colOff>
      <xdr:row>4</xdr:row>
      <xdr:rowOff>133350</xdr:rowOff>
    </xdr:from>
    <xdr:to>
      <xdr:col>11</xdr:col>
      <xdr:colOff>295767</xdr:colOff>
      <xdr:row>8</xdr:row>
      <xdr:rowOff>78584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24575" y="1085850"/>
          <a:ext cx="2619867" cy="783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180975</xdr:colOff>
      <xdr:row>4</xdr:row>
      <xdr:rowOff>142875</xdr:rowOff>
    </xdr:from>
    <xdr:to>
      <xdr:col>11</xdr:col>
      <xdr:colOff>614929</xdr:colOff>
      <xdr:row>24</xdr:row>
      <xdr:rowOff>157176</xdr:rowOff>
    </xdr:to>
    <xdr:grpSp>
      <xdr:nvGrpSpPr>
        <xdr:cNvPr id="2" name="Group 1">
          <a:extLst>
            <a:ext uri="{FF2B5EF4-FFF2-40B4-BE49-F238E27FC236}">
              <a16:creationId xmlns="" xmlns:a16="http://schemas.microsoft.com/office/drawing/2014/main" id="{00000000-0008-0000-0100-000002000000}"/>
            </a:ext>
          </a:extLst>
        </xdr:cNvPr>
        <xdr:cNvGrpSpPr/>
      </xdr:nvGrpSpPr>
      <xdr:grpSpPr>
        <a:xfrm>
          <a:off x="381000" y="809625"/>
          <a:ext cx="6930004" cy="3252801"/>
          <a:chOff x="400050" y="828675"/>
          <a:chExt cx="6930004" cy="3252801"/>
        </a:xfrm>
      </xdr:grpSpPr>
      <xdr:sp macro="" textlink="">
        <xdr:nvSpPr>
          <xdr:cNvPr id="28" name="Rectangle 27">
            <a:extLst>
              <a:ext uri="{FF2B5EF4-FFF2-40B4-BE49-F238E27FC236}">
                <a16:creationId xmlns="" xmlns:a16="http://schemas.microsoft.com/office/drawing/2014/main" id="{00000000-0008-0000-0100-00001C000000}"/>
              </a:ext>
            </a:extLst>
          </xdr:cNvPr>
          <xdr:cNvSpPr/>
        </xdr:nvSpPr>
        <xdr:spPr>
          <a:xfrm>
            <a:off x="2188565" y="1347803"/>
            <a:ext cx="1714983" cy="1989075"/>
          </a:xfrm>
          <a:prstGeom prst="rect">
            <a:avLst/>
          </a:prstGeom>
          <a:solidFill>
            <a:schemeClr val="accent2">
              <a:lumMod val="20000"/>
              <a:lumOff val="80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sz="1000">
              <a:solidFill>
                <a:schemeClr val="tx1"/>
              </a:solidFill>
            </a:endParaRPr>
          </a:p>
        </xdr:txBody>
      </xdr:sp>
      <xdr:sp macro="" textlink="">
        <xdr:nvSpPr>
          <xdr:cNvPr id="29" name="Rectangle 28">
            <a:extLst>
              <a:ext uri="{FF2B5EF4-FFF2-40B4-BE49-F238E27FC236}">
                <a16:creationId xmlns="" xmlns:a16="http://schemas.microsoft.com/office/drawing/2014/main" id="{00000000-0008-0000-0100-00001D000000}"/>
              </a:ext>
            </a:extLst>
          </xdr:cNvPr>
          <xdr:cNvSpPr/>
        </xdr:nvSpPr>
        <xdr:spPr>
          <a:xfrm>
            <a:off x="400050" y="1476675"/>
            <a:ext cx="1512000" cy="432000"/>
          </a:xfrm>
          <a:prstGeom prst="rect">
            <a:avLst/>
          </a:prstGeom>
          <a:solidFill>
            <a:srgbClr val="FFFFCC"/>
          </a:solidFill>
          <a:ln w="635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000">
                <a:solidFill>
                  <a:schemeClr val="tx1"/>
                </a:solidFill>
              </a:rPr>
              <a:t>INPUTS│Wholesale Totex</a:t>
            </a:r>
          </a:p>
        </xdr:txBody>
      </xdr:sp>
      <xdr:sp macro="" textlink="">
        <xdr:nvSpPr>
          <xdr:cNvPr id="30" name="Rectangle 29">
            <a:extLst>
              <a:ext uri="{FF2B5EF4-FFF2-40B4-BE49-F238E27FC236}">
                <a16:creationId xmlns="" xmlns:a16="http://schemas.microsoft.com/office/drawing/2014/main" id="{00000000-0008-0000-0100-00001E000000}"/>
              </a:ext>
            </a:extLst>
          </xdr:cNvPr>
          <xdr:cNvSpPr/>
        </xdr:nvSpPr>
        <xdr:spPr>
          <a:xfrm>
            <a:off x="400050" y="2124675"/>
            <a:ext cx="1512000" cy="432000"/>
          </a:xfrm>
          <a:prstGeom prst="rect">
            <a:avLst/>
          </a:prstGeom>
          <a:solidFill>
            <a:srgbClr val="FFFFCC"/>
          </a:solidFill>
          <a:ln w="635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000">
                <a:solidFill>
                  <a:schemeClr val="tx1"/>
                </a:solidFill>
              </a:rPr>
              <a:t>INPUTS│Residential Retail</a:t>
            </a:r>
          </a:p>
        </xdr:txBody>
      </xdr:sp>
      <xdr:sp macro="" textlink="">
        <xdr:nvSpPr>
          <xdr:cNvPr id="31" name="Rectangle 30">
            <a:extLst>
              <a:ext uri="{FF2B5EF4-FFF2-40B4-BE49-F238E27FC236}">
                <a16:creationId xmlns="" xmlns:a16="http://schemas.microsoft.com/office/drawing/2014/main" id="{00000000-0008-0000-0100-00001F000000}"/>
              </a:ext>
            </a:extLst>
          </xdr:cNvPr>
          <xdr:cNvSpPr/>
        </xdr:nvSpPr>
        <xdr:spPr>
          <a:xfrm>
            <a:off x="400050" y="2772672"/>
            <a:ext cx="1512000" cy="432000"/>
          </a:xfrm>
          <a:prstGeom prst="rect">
            <a:avLst/>
          </a:prstGeom>
          <a:solidFill>
            <a:srgbClr val="FFFFCC"/>
          </a:solidFill>
          <a:ln w="635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000">
                <a:solidFill>
                  <a:schemeClr val="tx1"/>
                </a:solidFill>
              </a:rPr>
              <a:t>INPUTS│Outcomes</a:t>
            </a:r>
          </a:p>
        </xdr:txBody>
      </xdr:sp>
      <xdr:sp macro="" textlink="">
        <xdr:nvSpPr>
          <xdr:cNvPr id="32" name="Rectangle 31">
            <a:extLst>
              <a:ext uri="{FF2B5EF4-FFF2-40B4-BE49-F238E27FC236}">
                <a16:creationId xmlns="" xmlns:a16="http://schemas.microsoft.com/office/drawing/2014/main" id="{00000000-0008-0000-0100-000020000000}"/>
              </a:ext>
            </a:extLst>
          </xdr:cNvPr>
          <xdr:cNvSpPr/>
        </xdr:nvSpPr>
        <xdr:spPr>
          <a:xfrm>
            <a:off x="400050" y="3649476"/>
            <a:ext cx="1512000" cy="432000"/>
          </a:xfrm>
          <a:prstGeom prst="rect">
            <a:avLst/>
          </a:prstGeom>
          <a:solidFill>
            <a:srgbClr val="FFFFCC"/>
          </a:solidFill>
          <a:ln w="635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000">
                <a:solidFill>
                  <a:schemeClr val="tx1"/>
                </a:solidFill>
              </a:rPr>
              <a:t>INPUTS│Performance Commitments</a:t>
            </a:r>
          </a:p>
        </xdr:txBody>
      </xdr:sp>
      <xdr:sp macro="" textlink="">
        <xdr:nvSpPr>
          <xdr:cNvPr id="33" name="Rectangle 32">
            <a:extLst>
              <a:ext uri="{FF2B5EF4-FFF2-40B4-BE49-F238E27FC236}">
                <a16:creationId xmlns="" xmlns:a16="http://schemas.microsoft.com/office/drawing/2014/main" id="{00000000-0008-0000-0100-000021000000}"/>
              </a:ext>
            </a:extLst>
          </xdr:cNvPr>
          <xdr:cNvSpPr/>
        </xdr:nvSpPr>
        <xdr:spPr>
          <a:xfrm>
            <a:off x="2290050" y="1476675"/>
            <a:ext cx="1512000" cy="432000"/>
          </a:xfrm>
          <a:prstGeom prst="rect">
            <a:avLst/>
          </a:prstGeom>
          <a:solidFill>
            <a:schemeClr val="bg1">
              <a:lumMod val="95000"/>
            </a:schemeClr>
          </a:solidFill>
          <a:ln w="635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000">
                <a:solidFill>
                  <a:schemeClr val="tx1"/>
                </a:solidFill>
              </a:rPr>
              <a:t>CALCS│Wholesale Totex</a:t>
            </a:r>
          </a:p>
        </xdr:txBody>
      </xdr:sp>
      <xdr:sp macro="" textlink="">
        <xdr:nvSpPr>
          <xdr:cNvPr id="34" name="Rectangle 33">
            <a:extLst>
              <a:ext uri="{FF2B5EF4-FFF2-40B4-BE49-F238E27FC236}">
                <a16:creationId xmlns="" xmlns:a16="http://schemas.microsoft.com/office/drawing/2014/main" id="{00000000-0008-0000-0100-000022000000}"/>
              </a:ext>
            </a:extLst>
          </xdr:cNvPr>
          <xdr:cNvSpPr/>
        </xdr:nvSpPr>
        <xdr:spPr>
          <a:xfrm>
            <a:off x="2290050" y="2124675"/>
            <a:ext cx="1512000" cy="432000"/>
          </a:xfrm>
          <a:prstGeom prst="rect">
            <a:avLst/>
          </a:prstGeom>
          <a:solidFill>
            <a:schemeClr val="bg1">
              <a:lumMod val="95000"/>
            </a:schemeClr>
          </a:solidFill>
          <a:ln w="635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000">
                <a:solidFill>
                  <a:schemeClr val="tx1"/>
                </a:solidFill>
              </a:rPr>
              <a:t>CALCS│Residential Retail</a:t>
            </a:r>
          </a:p>
        </xdr:txBody>
      </xdr:sp>
      <xdr:sp macro="" textlink="">
        <xdr:nvSpPr>
          <xdr:cNvPr id="35" name="Rectangle 34">
            <a:extLst>
              <a:ext uri="{FF2B5EF4-FFF2-40B4-BE49-F238E27FC236}">
                <a16:creationId xmlns="" xmlns:a16="http://schemas.microsoft.com/office/drawing/2014/main" id="{00000000-0008-0000-0100-000023000000}"/>
              </a:ext>
            </a:extLst>
          </xdr:cNvPr>
          <xdr:cNvSpPr/>
        </xdr:nvSpPr>
        <xdr:spPr>
          <a:xfrm>
            <a:off x="2290050" y="2772672"/>
            <a:ext cx="1512000" cy="432000"/>
          </a:xfrm>
          <a:prstGeom prst="rect">
            <a:avLst/>
          </a:prstGeom>
          <a:solidFill>
            <a:schemeClr val="bg1">
              <a:lumMod val="95000"/>
            </a:schemeClr>
          </a:solidFill>
          <a:ln w="635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000">
                <a:solidFill>
                  <a:schemeClr val="tx1"/>
                </a:solidFill>
              </a:rPr>
              <a:t>CALCS│Outcomes</a:t>
            </a:r>
          </a:p>
        </xdr:txBody>
      </xdr:sp>
      <xdr:sp macro="" textlink="">
        <xdr:nvSpPr>
          <xdr:cNvPr id="36" name="Rectangle 35">
            <a:extLst>
              <a:ext uri="{FF2B5EF4-FFF2-40B4-BE49-F238E27FC236}">
                <a16:creationId xmlns="" xmlns:a16="http://schemas.microsoft.com/office/drawing/2014/main" id="{00000000-0008-0000-0100-000024000000}"/>
              </a:ext>
            </a:extLst>
          </xdr:cNvPr>
          <xdr:cNvSpPr/>
        </xdr:nvSpPr>
        <xdr:spPr>
          <a:xfrm>
            <a:off x="2290050" y="3649476"/>
            <a:ext cx="1512000" cy="432000"/>
          </a:xfrm>
          <a:prstGeom prst="rect">
            <a:avLst/>
          </a:prstGeom>
          <a:solidFill>
            <a:schemeClr val="bg1">
              <a:lumMod val="95000"/>
            </a:schemeClr>
          </a:solidFill>
          <a:ln w="635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000">
                <a:solidFill>
                  <a:schemeClr val="tx1"/>
                </a:solidFill>
              </a:rPr>
              <a:t>CALCS│Performance Commitments</a:t>
            </a:r>
          </a:p>
        </xdr:txBody>
      </xdr:sp>
      <xdr:sp macro="" textlink="">
        <xdr:nvSpPr>
          <xdr:cNvPr id="37" name="Rectangle 36">
            <a:extLst>
              <a:ext uri="{FF2B5EF4-FFF2-40B4-BE49-F238E27FC236}">
                <a16:creationId xmlns="" xmlns:a16="http://schemas.microsoft.com/office/drawing/2014/main" id="{00000000-0008-0000-0100-000025000000}"/>
              </a:ext>
            </a:extLst>
          </xdr:cNvPr>
          <xdr:cNvSpPr/>
        </xdr:nvSpPr>
        <xdr:spPr>
          <a:xfrm>
            <a:off x="4180055" y="828675"/>
            <a:ext cx="1260000" cy="432000"/>
          </a:xfrm>
          <a:prstGeom prst="rect">
            <a:avLst/>
          </a:prstGeom>
          <a:solidFill>
            <a:schemeClr val="bg1">
              <a:lumMod val="95000"/>
            </a:schemeClr>
          </a:solidFill>
          <a:ln w="635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000">
                <a:solidFill>
                  <a:schemeClr val="tx1"/>
                </a:solidFill>
              </a:rPr>
              <a:t>CALCS│Summary</a:t>
            </a:r>
          </a:p>
        </xdr:txBody>
      </xdr:sp>
      <xdr:sp macro="" textlink="">
        <xdr:nvSpPr>
          <xdr:cNvPr id="38" name="Rectangle 37">
            <a:extLst>
              <a:ext uri="{FF2B5EF4-FFF2-40B4-BE49-F238E27FC236}">
                <a16:creationId xmlns="" xmlns:a16="http://schemas.microsoft.com/office/drawing/2014/main" id="{00000000-0008-0000-0100-000026000000}"/>
              </a:ext>
            </a:extLst>
          </xdr:cNvPr>
          <xdr:cNvSpPr/>
        </xdr:nvSpPr>
        <xdr:spPr>
          <a:xfrm>
            <a:off x="5818054" y="828675"/>
            <a:ext cx="1512000" cy="432000"/>
          </a:xfrm>
          <a:prstGeom prst="rect">
            <a:avLst/>
          </a:prstGeom>
          <a:solidFill>
            <a:schemeClr val="tx2">
              <a:lumMod val="20000"/>
              <a:lumOff val="80000"/>
            </a:schemeClr>
          </a:solidFill>
          <a:ln w="635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000">
                <a:solidFill>
                  <a:schemeClr val="tx1"/>
                </a:solidFill>
              </a:rPr>
              <a:t>OUTPUT│Summary</a:t>
            </a:r>
          </a:p>
        </xdr:txBody>
      </xdr:sp>
      <xdr:sp macro="" textlink="">
        <xdr:nvSpPr>
          <xdr:cNvPr id="39" name="Rectangle 38">
            <a:extLst>
              <a:ext uri="{FF2B5EF4-FFF2-40B4-BE49-F238E27FC236}">
                <a16:creationId xmlns="" xmlns:a16="http://schemas.microsoft.com/office/drawing/2014/main" id="{00000000-0008-0000-0100-000027000000}"/>
              </a:ext>
            </a:extLst>
          </xdr:cNvPr>
          <xdr:cNvSpPr/>
        </xdr:nvSpPr>
        <xdr:spPr>
          <a:xfrm>
            <a:off x="5818054" y="1800675"/>
            <a:ext cx="1512000" cy="432000"/>
          </a:xfrm>
          <a:prstGeom prst="rect">
            <a:avLst/>
          </a:prstGeom>
          <a:solidFill>
            <a:schemeClr val="tx2">
              <a:lumMod val="20000"/>
              <a:lumOff val="80000"/>
            </a:schemeClr>
          </a:solidFill>
          <a:ln w="635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000">
                <a:solidFill>
                  <a:schemeClr val="tx1"/>
                </a:solidFill>
              </a:rPr>
              <a:t>OUTPUT│Totex</a:t>
            </a:r>
          </a:p>
        </xdr:txBody>
      </xdr:sp>
      <xdr:sp macro="" textlink="">
        <xdr:nvSpPr>
          <xdr:cNvPr id="40" name="Rectangle 39">
            <a:extLst>
              <a:ext uri="{FF2B5EF4-FFF2-40B4-BE49-F238E27FC236}">
                <a16:creationId xmlns="" xmlns:a16="http://schemas.microsoft.com/office/drawing/2014/main" id="{00000000-0008-0000-0100-000028000000}"/>
              </a:ext>
            </a:extLst>
          </xdr:cNvPr>
          <xdr:cNvSpPr/>
        </xdr:nvSpPr>
        <xdr:spPr>
          <a:xfrm>
            <a:off x="5818054" y="2772672"/>
            <a:ext cx="1512000" cy="432000"/>
          </a:xfrm>
          <a:prstGeom prst="rect">
            <a:avLst/>
          </a:prstGeom>
          <a:solidFill>
            <a:schemeClr val="tx2">
              <a:lumMod val="20000"/>
              <a:lumOff val="80000"/>
            </a:schemeClr>
          </a:solidFill>
          <a:ln w="635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000">
                <a:solidFill>
                  <a:schemeClr val="tx1"/>
                </a:solidFill>
              </a:rPr>
              <a:t>OUTPUT│Outcomes Trends</a:t>
            </a:r>
          </a:p>
        </xdr:txBody>
      </xdr:sp>
      <xdr:sp macro="" textlink="">
        <xdr:nvSpPr>
          <xdr:cNvPr id="41" name="Rectangle 40">
            <a:extLst>
              <a:ext uri="{FF2B5EF4-FFF2-40B4-BE49-F238E27FC236}">
                <a16:creationId xmlns="" xmlns:a16="http://schemas.microsoft.com/office/drawing/2014/main" id="{00000000-0008-0000-0100-000029000000}"/>
              </a:ext>
            </a:extLst>
          </xdr:cNvPr>
          <xdr:cNvSpPr/>
        </xdr:nvSpPr>
        <xdr:spPr>
          <a:xfrm>
            <a:off x="5818054" y="3649476"/>
            <a:ext cx="1512000" cy="432000"/>
          </a:xfrm>
          <a:prstGeom prst="rect">
            <a:avLst/>
          </a:prstGeom>
          <a:solidFill>
            <a:schemeClr val="tx2">
              <a:lumMod val="20000"/>
              <a:lumOff val="80000"/>
            </a:schemeClr>
          </a:solidFill>
          <a:ln w="635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000">
                <a:solidFill>
                  <a:schemeClr val="tx1"/>
                </a:solidFill>
              </a:rPr>
              <a:t>OUTPUT│Performance Commitments</a:t>
            </a:r>
          </a:p>
        </xdr:txBody>
      </xdr:sp>
      <xdr:cxnSp macro="">
        <xdr:nvCxnSpPr>
          <xdr:cNvPr id="42" name="Straight Arrow Connector 41">
            <a:extLst>
              <a:ext uri="{FF2B5EF4-FFF2-40B4-BE49-F238E27FC236}">
                <a16:creationId xmlns="" xmlns:a16="http://schemas.microsoft.com/office/drawing/2014/main" id="{00000000-0008-0000-0100-00002A000000}"/>
              </a:ext>
            </a:extLst>
          </xdr:cNvPr>
          <xdr:cNvCxnSpPr>
            <a:stCxn id="29" idx="3"/>
            <a:endCxn id="33" idx="1"/>
          </xdr:cNvCxnSpPr>
        </xdr:nvCxnSpPr>
        <xdr:spPr>
          <a:xfrm>
            <a:off x="1912050" y="1692675"/>
            <a:ext cx="378000" cy="0"/>
          </a:xfrm>
          <a:prstGeom prst="straightConnector1">
            <a:avLst/>
          </a:prstGeom>
          <a:ln w="190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3" name="Straight Arrow Connector 42">
            <a:extLst>
              <a:ext uri="{FF2B5EF4-FFF2-40B4-BE49-F238E27FC236}">
                <a16:creationId xmlns="" xmlns:a16="http://schemas.microsoft.com/office/drawing/2014/main" id="{00000000-0008-0000-0100-00002B000000}"/>
              </a:ext>
            </a:extLst>
          </xdr:cNvPr>
          <xdr:cNvCxnSpPr>
            <a:stCxn id="30" idx="3"/>
            <a:endCxn id="34" idx="1"/>
          </xdr:cNvCxnSpPr>
        </xdr:nvCxnSpPr>
        <xdr:spPr>
          <a:xfrm>
            <a:off x="1912050" y="2340675"/>
            <a:ext cx="378000" cy="0"/>
          </a:xfrm>
          <a:prstGeom prst="straightConnector1">
            <a:avLst/>
          </a:prstGeom>
          <a:ln w="190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4" name="Straight Arrow Connector 43">
            <a:extLst>
              <a:ext uri="{FF2B5EF4-FFF2-40B4-BE49-F238E27FC236}">
                <a16:creationId xmlns="" xmlns:a16="http://schemas.microsoft.com/office/drawing/2014/main" id="{00000000-0008-0000-0100-00002C000000}"/>
              </a:ext>
            </a:extLst>
          </xdr:cNvPr>
          <xdr:cNvCxnSpPr>
            <a:stCxn id="31" idx="3"/>
            <a:endCxn id="35" idx="1"/>
          </xdr:cNvCxnSpPr>
        </xdr:nvCxnSpPr>
        <xdr:spPr>
          <a:xfrm>
            <a:off x="1912050" y="2988672"/>
            <a:ext cx="378000" cy="0"/>
          </a:xfrm>
          <a:prstGeom prst="straightConnector1">
            <a:avLst/>
          </a:prstGeom>
          <a:ln w="190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5" name="Straight Arrow Connector 44">
            <a:extLst>
              <a:ext uri="{FF2B5EF4-FFF2-40B4-BE49-F238E27FC236}">
                <a16:creationId xmlns="" xmlns:a16="http://schemas.microsoft.com/office/drawing/2014/main" id="{00000000-0008-0000-0100-00002D000000}"/>
              </a:ext>
            </a:extLst>
          </xdr:cNvPr>
          <xdr:cNvCxnSpPr>
            <a:stCxn id="32" idx="3"/>
            <a:endCxn id="36" idx="1"/>
          </xdr:cNvCxnSpPr>
        </xdr:nvCxnSpPr>
        <xdr:spPr>
          <a:xfrm>
            <a:off x="1912050" y="3865476"/>
            <a:ext cx="378000" cy="0"/>
          </a:xfrm>
          <a:prstGeom prst="straightConnector1">
            <a:avLst/>
          </a:prstGeom>
          <a:ln w="190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6" name="Straight Arrow Connector 45">
            <a:extLst>
              <a:ext uri="{FF2B5EF4-FFF2-40B4-BE49-F238E27FC236}">
                <a16:creationId xmlns="" xmlns:a16="http://schemas.microsoft.com/office/drawing/2014/main" id="{00000000-0008-0000-0100-00002E000000}"/>
              </a:ext>
            </a:extLst>
          </xdr:cNvPr>
          <xdr:cNvCxnSpPr>
            <a:stCxn id="35" idx="3"/>
            <a:endCxn id="40" idx="1"/>
          </xdr:cNvCxnSpPr>
        </xdr:nvCxnSpPr>
        <xdr:spPr>
          <a:xfrm>
            <a:off x="3802050" y="2988672"/>
            <a:ext cx="2016004" cy="0"/>
          </a:xfrm>
          <a:prstGeom prst="straightConnector1">
            <a:avLst/>
          </a:prstGeom>
          <a:ln w="190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7" name="Straight Arrow Connector 46">
            <a:extLst>
              <a:ext uri="{FF2B5EF4-FFF2-40B4-BE49-F238E27FC236}">
                <a16:creationId xmlns="" xmlns:a16="http://schemas.microsoft.com/office/drawing/2014/main" id="{00000000-0008-0000-0100-00002F000000}"/>
              </a:ext>
            </a:extLst>
          </xdr:cNvPr>
          <xdr:cNvCxnSpPr>
            <a:stCxn id="36" idx="3"/>
            <a:endCxn id="41" idx="1"/>
          </xdr:cNvCxnSpPr>
        </xdr:nvCxnSpPr>
        <xdr:spPr>
          <a:xfrm>
            <a:off x="3802050" y="3865476"/>
            <a:ext cx="2016004" cy="0"/>
          </a:xfrm>
          <a:prstGeom prst="straightConnector1">
            <a:avLst/>
          </a:prstGeom>
          <a:ln w="190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8" name="Straight Arrow Connector 47">
            <a:extLst>
              <a:ext uri="{FF2B5EF4-FFF2-40B4-BE49-F238E27FC236}">
                <a16:creationId xmlns="" xmlns:a16="http://schemas.microsoft.com/office/drawing/2014/main" id="{00000000-0008-0000-0100-000030000000}"/>
              </a:ext>
            </a:extLst>
          </xdr:cNvPr>
          <xdr:cNvCxnSpPr>
            <a:stCxn id="37" idx="3"/>
            <a:endCxn id="38" idx="1"/>
          </xdr:cNvCxnSpPr>
        </xdr:nvCxnSpPr>
        <xdr:spPr>
          <a:xfrm>
            <a:off x="5440055" y="1044675"/>
            <a:ext cx="377999" cy="0"/>
          </a:xfrm>
          <a:prstGeom prst="straightConnector1">
            <a:avLst/>
          </a:prstGeom>
          <a:ln w="190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9" name="Straight Arrow Connector 48">
            <a:extLst>
              <a:ext uri="{FF2B5EF4-FFF2-40B4-BE49-F238E27FC236}">
                <a16:creationId xmlns="" xmlns:a16="http://schemas.microsoft.com/office/drawing/2014/main" id="{00000000-0008-0000-0100-000031000000}"/>
              </a:ext>
            </a:extLst>
          </xdr:cNvPr>
          <xdr:cNvCxnSpPr>
            <a:stCxn id="39" idx="0"/>
            <a:endCxn id="38" idx="2"/>
          </xdr:cNvCxnSpPr>
        </xdr:nvCxnSpPr>
        <xdr:spPr>
          <a:xfrm flipV="1">
            <a:off x="6574054" y="1260675"/>
            <a:ext cx="0" cy="540000"/>
          </a:xfrm>
          <a:prstGeom prst="straightConnector1">
            <a:avLst/>
          </a:prstGeom>
          <a:ln w="190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0" name="Straight Arrow Connector 49">
            <a:extLst>
              <a:ext uri="{FF2B5EF4-FFF2-40B4-BE49-F238E27FC236}">
                <a16:creationId xmlns="" xmlns:a16="http://schemas.microsoft.com/office/drawing/2014/main" id="{00000000-0008-0000-0100-000032000000}"/>
              </a:ext>
            </a:extLst>
          </xdr:cNvPr>
          <xdr:cNvCxnSpPr>
            <a:stCxn id="35" idx="3"/>
            <a:endCxn id="41" idx="1"/>
          </xdr:cNvCxnSpPr>
        </xdr:nvCxnSpPr>
        <xdr:spPr>
          <a:xfrm>
            <a:off x="3802050" y="2988672"/>
            <a:ext cx="2016004" cy="876804"/>
          </a:xfrm>
          <a:prstGeom prst="straightConnector1">
            <a:avLst/>
          </a:prstGeom>
          <a:ln w="190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1" name="Elbow Connector 50">
            <a:extLst>
              <a:ext uri="{FF2B5EF4-FFF2-40B4-BE49-F238E27FC236}">
                <a16:creationId xmlns="" xmlns:a16="http://schemas.microsoft.com/office/drawing/2014/main" id="{00000000-0008-0000-0100-000033000000}"/>
              </a:ext>
            </a:extLst>
          </xdr:cNvPr>
          <xdr:cNvCxnSpPr>
            <a:stCxn id="28" idx="0"/>
            <a:endCxn id="37" idx="1"/>
          </xdr:cNvCxnSpPr>
        </xdr:nvCxnSpPr>
        <xdr:spPr>
          <a:xfrm rot="5400000" flipH="1" flipV="1">
            <a:off x="3461492" y="629240"/>
            <a:ext cx="303128" cy="1133998"/>
          </a:xfrm>
          <a:prstGeom prst="bentConnector2">
            <a:avLst/>
          </a:prstGeom>
          <a:ln w="190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2" name="Elbow Connector 51">
            <a:extLst>
              <a:ext uri="{FF2B5EF4-FFF2-40B4-BE49-F238E27FC236}">
                <a16:creationId xmlns="" xmlns:a16="http://schemas.microsoft.com/office/drawing/2014/main" id="{00000000-0008-0000-0100-000034000000}"/>
              </a:ext>
            </a:extLst>
          </xdr:cNvPr>
          <xdr:cNvCxnSpPr>
            <a:stCxn id="33" idx="3"/>
            <a:endCxn id="39" idx="1"/>
          </xdr:cNvCxnSpPr>
        </xdr:nvCxnSpPr>
        <xdr:spPr>
          <a:xfrm>
            <a:off x="3802050" y="1692675"/>
            <a:ext cx="2016004" cy="324000"/>
          </a:xfrm>
          <a:prstGeom prst="bentConnector3">
            <a:avLst>
              <a:gd name="adj1" fmla="val 50000"/>
            </a:avLst>
          </a:prstGeom>
          <a:ln w="190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3" name="Elbow Connector 52">
            <a:extLst>
              <a:ext uri="{FF2B5EF4-FFF2-40B4-BE49-F238E27FC236}">
                <a16:creationId xmlns="" xmlns:a16="http://schemas.microsoft.com/office/drawing/2014/main" id="{00000000-0008-0000-0100-000035000000}"/>
              </a:ext>
            </a:extLst>
          </xdr:cNvPr>
          <xdr:cNvCxnSpPr>
            <a:stCxn id="34" idx="3"/>
            <a:endCxn id="39" idx="1"/>
          </xdr:cNvCxnSpPr>
        </xdr:nvCxnSpPr>
        <xdr:spPr>
          <a:xfrm flipV="1">
            <a:off x="3802050" y="2016675"/>
            <a:ext cx="2016004" cy="324000"/>
          </a:xfrm>
          <a:prstGeom prst="bentConnector3">
            <a:avLst>
              <a:gd name="adj1" fmla="val 50000"/>
            </a:avLst>
          </a:prstGeom>
          <a:ln w="190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142875</xdr:colOff>
      <xdr:row>32</xdr:row>
      <xdr:rowOff>19050</xdr:rowOff>
    </xdr:from>
    <xdr:to>
      <xdr:col>13</xdr:col>
      <xdr:colOff>553725</xdr:colOff>
      <xdr:row>48</xdr:row>
      <xdr:rowOff>128250</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180975</xdr:colOff>
      <xdr:row>54</xdr:row>
      <xdr:rowOff>114300</xdr:rowOff>
    </xdr:from>
    <xdr:to>
      <xdr:col>13</xdr:col>
      <xdr:colOff>591825</xdr:colOff>
      <xdr:row>71</xdr:row>
      <xdr:rowOff>61575</xdr:rowOff>
    </xdr:to>
    <xdr:graphicFrame macro="">
      <xdr:nvGraphicFramePr>
        <xdr:cNvPr id="3" name="Chart 2">
          <a:extLst>
            <a:ext uri="{FF2B5EF4-FFF2-40B4-BE49-F238E27FC236}">
              <a16:creationId xmlns=""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144</xdr:row>
      <xdr:rowOff>0</xdr:rowOff>
    </xdr:from>
    <xdr:to>
      <xdr:col>13</xdr:col>
      <xdr:colOff>239400</xdr:colOff>
      <xdr:row>160</xdr:row>
      <xdr:rowOff>109200</xdr:rowOff>
    </xdr:to>
    <xdr:graphicFrame macro="">
      <xdr:nvGraphicFramePr>
        <xdr:cNvPr id="6" name="Chart 5">
          <a:extLst>
            <a:ext uri="{FF2B5EF4-FFF2-40B4-BE49-F238E27FC236}">
              <a16:creationId xmlns=""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123</xdr:row>
      <xdr:rowOff>0</xdr:rowOff>
    </xdr:from>
    <xdr:to>
      <xdr:col>9</xdr:col>
      <xdr:colOff>163200</xdr:colOff>
      <xdr:row>139</xdr:row>
      <xdr:rowOff>109200</xdr:rowOff>
    </xdr:to>
    <xdr:graphicFrame macro="">
      <xdr:nvGraphicFramePr>
        <xdr:cNvPr id="7" name="Chart 6">
          <a:extLst>
            <a:ext uri="{FF2B5EF4-FFF2-40B4-BE49-F238E27FC236}">
              <a16:creationId xmlns=""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188</xdr:row>
      <xdr:rowOff>0</xdr:rowOff>
    </xdr:from>
    <xdr:to>
      <xdr:col>13</xdr:col>
      <xdr:colOff>239400</xdr:colOff>
      <xdr:row>204</xdr:row>
      <xdr:rowOff>109200</xdr:rowOff>
    </xdr:to>
    <xdr:graphicFrame macro="">
      <xdr:nvGraphicFramePr>
        <xdr:cNvPr id="8" name="Chart 7">
          <a:extLst>
            <a:ext uri="{FF2B5EF4-FFF2-40B4-BE49-F238E27FC236}">
              <a16:creationId xmlns="" xmlns:a16="http://schemas.microsoft.com/office/drawing/2014/main" id="{00000000-0008-0000-0B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167</xdr:row>
      <xdr:rowOff>0</xdr:rowOff>
    </xdr:from>
    <xdr:to>
      <xdr:col>9</xdr:col>
      <xdr:colOff>163200</xdr:colOff>
      <xdr:row>183</xdr:row>
      <xdr:rowOff>109200</xdr:rowOff>
    </xdr:to>
    <xdr:graphicFrame macro="">
      <xdr:nvGraphicFramePr>
        <xdr:cNvPr id="9" name="Chart 8">
          <a:extLst>
            <a:ext uri="{FF2B5EF4-FFF2-40B4-BE49-F238E27FC236}">
              <a16:creationId xmlns="" xmlns:a16="http://schemas.microsoft.com/office/drawing/2014/main" id="{00000000-0008-0000-0B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232</xdr:row>
      <xdr:rowOff>0</xdr:rowOff>
    </xdr:from>
    <xdr:to>
      <xdr:col>13</xdr:col>
      <xdr:colOff>239400</xdr:colOff>
      <xdr:row>248</xdr:row>
      <xdr:rowOff>109200</xdr:rowOff>
    </xdr:to>
    <xdr:graphicFrame macro="">
      <xdr:nvGraphicFramePr>
        <xdr:cNvPr id="10" name="Chart 9">
          <a:extLst>
            <a:ext uri="{FF2B5EF4-FFF2-40B4-BE49-F238E27FC236}">
              <a16:creationId xmlns=""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211</xdr:row>
      <xdr:rowOff>0</xdr:rowOff>
    </xdr:from>
    <xdr:to>
      <xdr:col>9</xdr:col>
      <xdr:colOff>163200</xdr:colOff>
      <xdr:row>227</xdr:row>
      <xdr:rowOff>109200</xdr:rowOff>
    </xdr:to>
    <xdr:graphicFrame macro="">
      <xdr:nvGraphicFramePr>
        <xdr:cNvPr id="11" name="Chart 10">
          <a:extLst>
            <a:ext uri="{FF2B5EF4-FFF2-40B4-BE49-F238E27FC236}">
              <a16:creationId xmlns="" xmlns:a16="http://schemas.microsoft.com/office/drawing/2014/main"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316</xdr:row>
      <xdr:rowOff>38100</xdr:rowOff>
    </xdr:from>
    <xdr:to>
      <xdr:col>13</xdr:col>
      <xdr:colOff>239400</xdr:colOff>
      <xdr:row>331</xdr:row>
      <xdr:rowOff>147300</xdr:rowOff>
    </xdr:to>
    <xdr:graphicFrame macro="">
      <xdr:nvGraphicFramePr>
        <xdr:cNvPr id="16" name="Chart 15">
          <a:extLst>
            <a:ext uri="{FF2B5EF4-FFF2-40B4-BE49-F238E27FC236}">
              <a16:creationId xmlns="" xmlns:a16="http://schemas.microsoft.com/office/drawing/2014/main" id="{00000000-0008-0000-0B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180975</xdr:colOff>
      <xdr:row>295</xdr:row>
      <xdr:rowOff>123825</xdr:rowOff>
    </xdr:from>
    <xdr:to>
      <xdr:col>17</xdr:col>
      <xdr:colOff>420375</xdr:colOff>
      <xdr:row>312</xdr:row>
      <xdr:rowOff>71100</xdr:rowOff>
    </xdr:to>
    <xdr:graphicFrame macro="">
      <xdr:nvGraphicFramePr>
        <xdr:cNvPr id="19" name="Chart 18">
          <a:extLst>
            <a:ext uri="{FF2B5EF4-FFF2-40B4-BE49-F238E27FC236}">
              <a16:creationId xmlns="" xmlns:a16="http://schemas.microsoft.com/office/drawing/2014/main" id="{00000000-0008-0000-0B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142875</xdr:colOff>
      <xdr:row>6</xdr:row>
      <xdr:rowOff>9525</xdr:rowOff>
    </xdr:from>
    <xdr:to>
      <xdr:col>15</xdr:col>
      <xdr:colOff>382275</xdr:colOff>
      <xdr:row>22</xdr:row>
      <xdr:rowOff>118725</xdr:rowOff>
    </xdr:to>
    <xdr:graphicFrame macro="">
      <xdr:nvGraphicFramePr>
        <xdr:cNvPr id="2" name="Chart 1">
          <a:extLst>
            <a:ext uri="{FF2B5EF4-FFF2-40B4-BE49-F238E27FC236}">
              <a16:creationId xmlns=""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238125</xdr:colOff>
      <xdr:row>255</xdr:row>
      <xdr:rowOff>0</xdr:rowOff>
    </xdr:from>
    <xdr:to>
      <xdr:col>15</xdr:col>
      <xdr:colOff>477525</xdr:colOff>
      <xdr:row>271</xdr:row>
      <xdr:rowOff>109200</xdr:rowOff>
    </xdr:to>
    <xdr:graphicFrame macro="">
      <xdr:nvGraphicFramePr>
        <xdr:cNvPr id="23" name="Chart 22">
          <a:extLst>
            <a:ext uri="{FF2B5EF4-FFF2-40B4-BE49-F238E27FC236}">
              <a16:creationId xmlns="" xmlns:a16="http://schemas.microsoft.com/office/drawing/2014/main" id="{00000000-0008-0000-0B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228600</xdr:colOff>
      <xdr:row>29</xdr:row>
      <xdr:rowOff>0</xdr:rowOff>
    </xdr:from>
    <xdr:to>
      <xdr:col>15</xdr:col>
      <xdr:colOff>468000</xdr:colOff>
      <xdr:row>45</xdr:row>
      <xdr:rowOff>109200</xdr:rowOff>
    </xdr:to>
    <xdr:graphicFrame macro="">
      <xdr:nvGraphicFramePr>
        <xdr:cNvPr id="24" name="Chart 23">
          <a:extLst>
            <a:ext uri="{FF2B5EF4-FFF2-40B4-BE49-F238E27FC236}">
              <a16:creationId xmlns="" xmlns:a16="http://schemas.microsoft.com/office/drawing/2014/main" id="{00000000-0008-0000-0B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0</xdr:colOff>
      <xdr:row>275</xdr:row>
      <xdr:rowOff>0</xdr:rowOff>
    </xdr:from>
    <xdr:to>
      <xdr:col>13</xdr:col>
      <xdr:colOff>239400</xdr:colOff>
      <xdr:row>290</xdr:row>
      <xdr:rowOff>109200</xdr:rowOff>
    </xdr:to>
    <xdr:graphicFrame macro="">
      <xdr:nvGraphicFramePr>
        <xdr:cNvPr id="14" name="Chart 13">
          <a:extLst>
            <a:ext uri="{FF2B5EF4-FFF2-40B4-BE49-F238E27FC236}">
              <a16:creationId xmlns="" xmlns:a16="http://schemas.microsoft.com/office/drawing/2014/main" id="{00000000-0008-0000-0B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0</xdr:colOff>
      <xdr:row>79</xdr:row>
      <xdr:rowOff>0</xdr:rowOff>
    </xdr:from>
    <xdr:to>
      <xdr:col>9</xdr:col>
      <xdr:colOff>163200</xdr:colOff>
      <xdr:row>95</xdr:row>
      <xdr:rowOff>109200</xdr:rowOff>
    </xdr:to>
    <xdr:graphicFrame macro="">
      <xdr:nvGraphicFramePr>
        <xdr:cNvPr id="17" name="Chart 16">
          <a:extLst>
            <a:ext uri="{FF2B5EF4-FFF2-40B4-BE49-F238E27FC236}">
              <a16:creationId xmlns="" xmlns:a16="http://schemas.microsoft.com/office/drawing/2014/main"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0</xdr:colOff>
      <xdr:row>100</xdr:row>
      <xdr:rowOff>0</xdr:rowOff>
    </xdr:from>
    <xdr:to>
      <xdr:col>13</xdr:col>
      <xdr:colOff>239400</xdr:colOff>
      <xdr:row>116</xdr:row>
      <xdr:rowOff>109200</xdr:rowOff>
    </xdr:to>
    <xdr:graphicFrame macro="">
      <xdr:nvGraphicFramePr>
        <xdr:cNvPr id="20" name="Chart 19">
          <a:extLst>
            <a:ext uri="{FF2B5EF4-FFF2-40B4-BE49-F238E27FC236}">
              <a16:creationId xmlns="" xmlns:a16="http://schemas.microsoft.com/office/drawing/2014/main" id="{00000000-0008-0000-0B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gov.uk/government/publications/water-and-sewerage-companies-in-england-environmental-performance-report" TargetMode="External"/><Relationship Id="rId7" Type="http://schemas.openxmlformats.org/officeDocument/2006/relationships/printerSettings" Target="../printerSettings/printerSettings1.bin"/><Relationship Id="rId2" Type="http://schemas.openxmlformats.org/officeDocument/2006/relationships/hyperlink" Target="https://discoverwater.co.uk/loss-of-supply" TargetMode="External"/><Relationship Id="rId1" Type="http://schemas.openxmlformats.org/officeDocument/2006/relationships/hyperlink" Target="http://www.dwi.gov.uk/about/annual-report/index.htm" TargetMode="External"/><Relationship Id="rId6" Type="http://schemas.openxmlformats.org/officeDocument/2006/relationships/hyperlink" Target="https://discoverwater.co.uk/cy/loss-of-supply" TargetMode="External"/><Relationship Id="rId5" Type="http://schemas.openxmlformats.org/officeDocument/2006/relationships/hyperlink" Target="https://naturalresources.wales/evidence-and-data/research-and-reports/water-reports/?lang=cy" TargetMode="External"/><Relationship Id="rId4" Type="http://schemas.openxmlformats.org/officeDocument/2006/relationships/hyperlink" Target="https://naturalresources.wales/evidence-and-data/research-and-reports/water-reports/?lang=e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3" Type="http://schemas.openxmlformats.org/officeDocument/2006/relationships/hyperlink" Target="http://www.dwi.gov.uk/about/annual-report/2018/company-data/swt-stats.pdf" TargetMode="External"/><Relationship Id="rId18" Type="http://schemas.openxmlformats.org/officeDocument/2006/relationships/hyperlink" Target="http://www.dwi.gov.uk/about/annual-report/2013/stats.pdf" TargetMode="External"/><Relationship Id="rId26" Type="http://schemas.openxmlformats.org/officeDocument/2006/relationships/hyperlink" Target="http://www.dwi.gov.uk/about/annual-report/2018/company-data/wsx-stats.pdf" TargetMode="External"/><Relationship Id="rId39" Type="http://schemas.openxmlformats.org/officeDocument/2006/relationships/hyperlink" Target="http://www.dwi.gov.uk/about/annual-report/2018/company-data/uut-stats.pdf" TargetMode="External"/><Relationship Id="rId21" Type="http://schemas.openxmlformats.org/officeDocument/2006/relationships/hyperlink" Target="http://www.dwi.gov.uk/about/annual-report/2013/stats.pdf" TargetMode="External"/><Relationship Id="rId34" Type="http://schemas.openxmlformats.org/officeDocument/2006/relationships/hyperlink" Target="http://www.dwi.gov.uk/about/annual-report/2018/company-data/ESK-stats.pdf" TargetMode="External"/><Relationship Id="rId42" Type="http://schemas.openxmlformats.org/officeDocument/2006/relationships/hyperlink" Target="http://www.dwi.gov.uk/about/annual-report/2018/company-data/AFW-stats.pdf" TargetMode="External"/><Relationship Id="rId47" Type="http://schemas.openxmlformats.org/officeDocument/2006/relationships/hyperlink" Target="http://www.dwi.gov.uk/about/annual-report/2018/company-data/PRT-stats.pdf" TargetMode="External"/><Relationship Id="rId50" Type="http://schemas.openxmlformats.org/officeDocument/2006/relationships/hyperlink" Target="http://www.dwi.gov.uk/about/annual-report/2018/company-data/sst-stats.pdf" TargetMode="External"/><Relationship Id="rId55" Type="http://schemas.openxmlformats.org/officeDocument/2006/relationships/hyperlink" Target="http://www.dwi.gov.uk/about/annual-report/2018/company-data/ses-stats.pdf" TargetMode="External"/><Relationship Id="rId7" Type="http://schemas.openxmlformats.org/officeDocument/2006/relationships/hyperlink" Target="http://www.dwi.gov.uk/about/annual-report/2018/company-data/DWR-stats.pdf" TargetMode="External"/><Relationship Id="rId2" Type="http://schemas.openxmlformats.org/officeDocument/2006/relationships/hyperlink" Target="https://www.ofwat.gov.uk/publication/appointee-regulatory-equity-2016-17/" TargetMode="External"/><Relationship Id="rId16" Type="http://schemas.openxmlformats.org/officeDocument/2006/relationships/hyperlink" Target="http://www.dwi.gov.uk/about/annual-report/2013/stats.pdf" TargetMode="External"/><Relationship Id="rId20" Type="http://schemas.openxmlformats.org/officeDocument/2006/relationships/hyperlink" Target="https://www.ofwat.gov.uk/regulated-companies/company-obligations/performance/companies-performance-2012-13/customers-2012-13/" TargetMode="External"/><Relationship Id="rId29" Type="http://schemas.openxmlformats.org/officeDocument/2006/relationships/hyperlink" Target="http://www.dwi.gov.uk/about/annual-report/2018/company-data/DWR-stats.pdf" TargetMode="External"/><Relationship Id="rId41" Type="http://schemas.openxmlformats.org/officeDocument/2006/relationships/hyperlink" Target="http://www.dwi.gov.uk/about/annual-report/2018/company-data/yks-stats.pdf" TargetMode="External"/><Relationship Id="rId54" Type="http://schemas.openxmlformats.org/officeDocument/2006/relationships/hyperlink" Target="http://www.dwi.gov.uk/about/annual-report/2018/company-data/ses-stats.pdf" TargetMode="External"/><Relationship Id="rId62" Type="http://schemas.openxmlformats.org/officeDocument/2006/relationships/printerSettings" Target="../printerSettings/printerSettings5.bin"/><Relationship Id="rId1" Type="http://schemas.openxmlformats.org/officeDocument/2006/relationships/hyperlink" Target="https://www.ofwat.gov.uk/publication/appointee-regulatory-equity-2015-16/" TargetMode="External"/><Relationship Id="rId6" Type="http://schemas.openxmlformats.org/officeDocument/2006/relationships/hyperlink" Target="https://www.gov.uk/government/publications/water-and-sewerage-companies-in-england-environmental-performance-report" TargetMode="External"/><Relationship Id="rId11" Type="http://schemas.openxmlformats.org/officeDocument/2006/relationships/hyperlink" Target="http://www.dwi.gov.uk/about/annual-report/2018/company-data/NNE-stats.pdf" TargetMode="External"/><Relationship Id="rId24" Type="http://schemas.openxmlformats.org/officeDocument/2006/relationships/hyperlink" Target="https://www.unitedutilities.com/corporate/about-us/performance/performance-201015/" TargetMode="External"/><Relationship Id="rId32" Type="http://schemas.openxmlformats.org/officeDocument/2006/relationships/hyperlink" Target="http://www.dwi.gov.uk/about/annual-report/2018/company-data/SVT-stats.pdf" TargetMode="External"/><Relationship Id="rId37" Type="http://schemas.openxmlformats.org/officeDocument/2006/relationships/hyperlink" Target="http://www.dwi.gov.uk/about/annual-report/2018/company-data/srn-stats.pdf" TargetMode="External"/><Relationship Id="rId40" Type="http://schemas.openxmlformats.org/officeDocument/2006/relationships/hyperlink" Target="http://www.dwi.gov.uk/about/annual-report/2018/company-data/wsx-stats.pdf" TargetMode="External"/><Relationship Id="rId45" Type="http://schemas.openxmlformats.org/officeDocument/2006/relationships/hyperlink" Target="http://www.dwi.gov.uk/about/annual-report/2018/company-data/BRL-stats.pdf" TargetMode="External"/><Relationship Id="rId53" Type="http://schemas.openxmlformats.org/officeDocument/2006/relationships/hyperlink" Target="http://www.dwi.gov.uk/about/annual-report/2018/company-data/CAM-stats.pdf" TargetMode="External"/><Relationship Id="rId58" Type="http://schemas.openxmlformats.org/officeDocument/2006/relationships/hyperlink" Target="https://naturalresources.wales/evidence-and-data/research-and-reports/water-reports/annual-performance-report-for-dwr-cymru-welsh-water/?lang=en" TargetMode="External"/><Relationship Id="rId5" Type="http://schemas.openxmlformats.org/officeDocument/2006/relationships/hyperlink" Target="http://www.dwi.gov.uk/about/annual-report/2018/company-data/ANH-stats.pdf" TargetMode="External"/><Relationship Id="rId15" Type="http://schemas.openxmlformats.org/officeDocument/2006/relationships/hyperlink" Target="http://www.dwi.gov.uk/about/annual-report/2018/company-data/srn-stats.pdf" TargetMode="External"/><Relationship Id="rId23" Type="http://schemas.openxmlformats.org/officeDocument/2006/relationships/hyperlink" Target="http://www.dwi.gov.uk/about/annual-report/2018/company-data/tms-stats.pdf" TargetMode="External"/><Relationship Id="rId28" Type="http://schemas.openxmlformats.org/officeDocument/2006/relationships/hyperlink" Target="http://www.dwi.gov.uk/about/annual-report/2018/company-data/ANH-stats.pdf" TargetMode="External"/><Relationship Id="rId36" Type="http://schemas.openxmlformats.org/officeDocument/2006/relationships/hyperlink" Target="http://www.dwi.gov.uk/about/annual-report/2018/company-data/SBW-stats.pdf" TargetMode="External"/><Relationship Id="rId49" Type="http://schemas.openxmlformats.org/officeDocument/2006/relationships/hyperlink" Target="http://www.dwi.gov.uk/about/annual-report/2018/company-data/sew-stats.pdf" TargetMode="External"/><Relationship Id="rId57" Type="http://schemas.openxmlformats.org/officeDocument/2006/relationships/hyperlink" Target="https://naturalresources.wales/evidence-and-data/research-and-reports/water-reports/annual-performance-report-for-dwr-cymru-welsh-water/?lang=cy" TargetMode="External"/><Relationship Id="rId61" Type="http://schemas.openxmlformats.org/officeDocument/2006/relationships/hyperlink" Target="https://naturalresources.wales/evidence-and-data/research-and-reports/water-reports/annual-performance-reports-for-hafren-dyfrdwy/?lang=cy" TargetMode="External"/><Relationship Id="rId10" Type="http://schemas.openxmlformats.org/officeDocument/2006/relationships/hyperlink" Target="http://www.dwi.gov.uk/about/annual-report/2018/company-data/SVT-stats.pdf" TargetMode="External"/><Relationship Id="rId19" Type="http://schemas.openxmlformats.org/officeDocument/2006/relationships/hyperlink" Target="http://www.dwi.gov.uk/about/annual-report/2015/stats.pdf" TargetMode="External"/><Relationship Id="rId31" Type="http://schemas.openxmlformats.org/officeDocument/2006/relationships/hyperlink" Target="http://www.dwi.gov.uk/about/annual-report/2017/company-data/DVW-stats.pdf" TargetMode="External"/><Relationship Id="rId44" Type="http://schemas.openxmlformats.org/officeDocument/2006/relationships/hyperlink" Target="http://www.dwi.gov.uk/about/annual-report/2018/company-data/BRL-stats.pdf" TargetMode="External"/><Relationship Id="rId52" Type="http://schemas.openxmlformats.org/officeDocument/2006/relationships/hyperlink" Target="http://www.dwi.gov.uk/about/annual-report/2018/company-data/sst-stats.pdf" TargetMode="External"/><Relationship Id="rId60" Type="http://schemas.openxmlformats.org/officeDocument/2006/relationships/hyperlink" Target="https://naturalresources.wales/evidence-and-data/research-and-reports/water-reports/annual-performance-reports-for-hafren-dyfrdwy/?lang=en" TargetMode="External"/><Relationship Id="rId4" Type="http://schemas.openxmlformats.org/officeDocument/2006/relationships/hyperlink" Target="https://www.ofwat.gov.uk/publication/appointee-regulatory-equity-2018-19/" TargetMode="External"/><Relationship Id="rId9" Type="http://schemas.openxmlformats.org/officeDocument/2006/relationships/hyperlink" Target="http://www.dwi.gov.uk/about/annual-report/2017/company-data/DVW-stats.pdf" TargetMode="External"/><Relationship Id="rId14" Type="http://schemas.openxmlformats.org/officeDocument/2006/relationships/hyperlink" Target="http://www.dwi.gov.uk/about/annual-report/2018/company-data/SBW-stats.pdf" TargetMode="External"/><Relationship Id="rId22" Type="http://schemas.openxmlformats.org/officeDocument/2006/relationships/hyperlink" Target="http://www.dwi.gov.uk/about/annual-report/2015/stats.pdf" TargetMode="External"/><Relationship Id="rId27" Type="http://schemas.openxmlformats.org/officeDocument/2006/relationships/hyperlink" Target="http://www.dwi.gov.uk/about/annual-report/2018/company-data/yks-stats.pdf" TargetMode="External"/><Relationship Id="rId30" Type="http://schemas.openxmlformats.org/officeDocument/2006/relationships/hyperlink" Target="http://www.dwi.gov.uk/about/annual-report/2018/company-data/HDC-stats.pdf" TargetMode="External"/><Relationship Id="rId35" Type="http://schemas.openxmlformats.org/officeDocument/2006/relationships/hyperlink" Target="http://www.dwi.gov.uk/about/annual-report/2018/company-data/swt-stats.pdf" TargetMode="External"/><Relationship Id="rId43" Type="http://schemas.openxmlformats.org/officeDocument/2006/relationships/hyperlink" Target="http://www.dwi.gov.uk/about/annual-report/2018/company-data/AFW-stats.pdf" TargetMode="External"/><Relationship Id="rId48" Type="http://schemas.openxmlformats.org/officeDocument/2006/relationships/hyperlink" Target="http://www.dwi.gov.uk/about/annual-report/2018/company-data/sew-stats.pdf" TargetMode="External"/><Relationship Id="rId56" Type="http://schemas.openxmlformats.org/officeDocument/2006/relationships/hyperlink" Target="https://naturalresources.wales/evidence-and-data/research-and-reports/water-reports/annual-performance-report-for-dwr-cymru-welsh-water/?lang=en" TargetMode="External"/><Relationship Id="rId8" Type="http://schemas.openxmlformats.org/officeDocument/2006/relationships/hyperlink" Target="http://www.dwi.gov.uk/about/annual-report/2018/company-data/HDC-stats.pdf" TargetMode="External"/><Relationship Id="rId51" Type="http://schemas.openxmlformats.org/officeDocument/2006/relationships/hyperlink" Target="http://www.dwi.gov.uk/about/annual-report/2018/company-data/CAM-stats.pdf" TargetMode="External"/><Relationship Id="rId3" Type="http://schemas.openxmlformats.org/officeDocument/2006/relationships/hyperlink" Target="https://www.ofwat.gov.uk/publication/appointee-regulatory-equity-2017-18/" TargetMode="External"/><Relationship Id="rId12" Type="http://schemas.openxmlformats.org/officeDocument/2006/relationships/hyperlink" Target="http://www.dwi.gov.uk/about/annual-report/2018/company-data/ESK-stats.pdf" TargetMode="External"/><Relationship Id="rId17" Type="http://schemas.openxmlformats.org/officeDocument/2006/relationships/hyperlink" Target="http://www.dwi.gov.uk/about/annual-report/2015/stats.pdf" TargetMode="External"/><Relationship Id="rId25" Type="http://schemas.openxmlformats.org/officeDocument/2006/relationships/hyperlink" Target="http://www.dwi.gov.uk/about/annual-report/2018/company-data/uut-stats.pdf" TargetMode="External"/><Relationship Id="rId33" Type="http://schemas.openxmlformats.org/officeDocument/2006/relationships/hyperlink" Target="http://www.dwi.gov.uk/about/annual-report/2018/company-data/NNE-stats.pdf" TargetMode="External"/><Relationship Id="rId38" Type="http://schemas.openxmlformats.org/officeDocument/2006/relationships/hyperlink" Target="http://www.dwi.gov.uk/about/annual-report/2018/company-data/tms-stats.pdf" TargetMode="External"/><Relationship Id="rId46" Type="http://schemas.openxmlformats.org/officeDocument/2006/relationships/hyperlink" Target="http://www.dwi.gov.uk/about/annual-report/2018/company-data/PRT-stats.pdf" TargetMode="External"/><Relationship Id="rId59" Type="http://schemas.openxmlformats.org/officeDocument/2006/relationships/hyperlink" Target="https://naturalresources.wales/evidence-and-data/research-and-reports/water-reports/annual-performance-report-for-dwr-cymru-welsh-water/?lang=cy"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M34"/>
  <sheetViews>
    <sheetView showGridLines="0" tabSelected="1" workbookViewId="0"/>
  </sheetViews>
  <sheetFormatPr defaultRowHeight="12.75" x14ac:dyDescent="0.2"/>
  <cols>
    <col min="1" max="1" width="1.625" style="84" customWidth="1"/>
    <col min="2" max="2" width="2.625" style="84" customWidth="1"/>
    <col min="3" max="3" width="19.875" style="84" bestFit="1" customWidth="1"/>
    <col min="4" max="5" width="13.875" style="84" customWidth="1"/>
    <col min="6" max="6" width="6.75" style="84" bestFit="1" customWidth="1"/>
    <col min="7" max="7" width="16.75" style="84" customWidth="1"/>
    <col min="8" max="8" width="11.75" style="84" customWidth="1"/>
    <col min="9" max="9" width="6.75" style="84" bestFit="1" customWidth="1"/>
    <col min="10" max="10" width="10.75" style="84" customWidth="1"/>
    <col min="11" max="11" width="6.25" style="84" customWidth="1"/>
    <col min="12" max="12" width="9" style="84"/>
    <col min="13" max="13" width="2.625" style="84" customWidth="1"/>
    <col min="14" max="14" width="1.625" style="84" customWidth="1"/>
    <col min="15" max="16384" width="9" style="84"/>
  </cols>
  <sheetData>
    <row r="1" spans="2:13" ht="9.75" customHeight="1" x14ac:dyDescent="0.2">
      <c r="B1" s="266"/>
      <c r="C1" s="266"/>
      <c r="D1" s="266"/>
      <c r="E1" s="266"/>
      <c r="F1" s="266"/>
      <c r="G1" s="266"/>
      <c r="H1" s="266"/>
      <c r="I1" s="266"/>
      <c r="J1" s="266"/>
      <c r="K1" s="266"/>
      <c r="L1" s="266"/>
      <c r="M1" s="266"/>
    </row>
    <row r="2" spans="2:13" ht="35.1" customHeight="1" thickBot="1" x14ac:dyDescent="0.25">
      <c r="B2" s="247"/>
      <c r="C2" s="248" t="s">
        <v>0</v>
      </c>
      <c r="D2" s="247"/>
      <c r="E2" s="247"/>
      <c r="F2" s="247"/>
      <c r="G2" s="247"/>
      <c r="H2" s="247"/>
      <c r="I2" s="247"/>
      <c r="J2" s="247"/>
      <c r="K2" s="247"/>
      <c r="L2" s="247"/>
      <c r="M2" s="247"/>
    </row>
    <row r="3" spans="2:13" ht="14.25" thickTop="1" x14ac:dyDescent="0.2">
      <c r="B3" s="249"/>
      <c r="C3" s="249"/>
      <c r="D3" s="249"/>
      <c r="E3" s="249"/>
      <c r="F3" s="249"/>
      <c r="G3" s="249"/>
      <c r="H3" s="249"/>
      <c r="I3" s="249"/>
      <c r="J3" s="249"/>
      <c r="K3" s="249"/>
      <c r="L3" s="249"/>
      <c r="M3" s="249"/>
    </row>
    <row r="4" spans="2:13" ht="16.5" x14ac:dyDescent="0.2">
      <c r="B4" s="249"/>
      <c r="C4" s="250" t="s">
        <v>1</v>
      </c>
      <c r="D4" s="250" t="s">
        <v>2</v>
      </c>
      <c r="E4" s="249"/>
      <c r="F4" s="249"/>
      <c r="G4" s="249"/>
      <c r="H4" s="234"/>
      <c r="I4" s="234"/>
      <c r="J4" s="234"/>
      <c r="K4" s="234"/>
      <c r="L4" s="234"/>
      <c r="M4" s="249"/>
    </row>
    <row r="5" spans="2:13" ht="16.5" x14ac:dyDescent="0.2">
      <c r="B5" s="249"/>
      <c r="C5" s="250" t="s">
        <v>3</v>
      </c>
      <c r="D5" s="251">
        <f>MAX($D$19:$D$25)</f>
        <v>1</v>
      </c>
      <c r="E5" s="249"/>
      <c r="F5" s="249"/>
      <c r="G5" s="249"/>
      <c r="H5" s="234"/>
      <c r="I5" s="234"/>
      <c r="J5" s="234"/>
      <c r="K5" s="234"/>
      <c r="L5" s="234"/>
      <c r="M5" s="249"/>
    </row>
    <row r="6" spans="2:13" ht="16.5" x14ac:dyDescent="0.2">
      <c r="B6" s="249"/>
      <c r="C6" s="250" t="s">
        <v>4</v>
      </c>
      <c r="D6" s="250" t="str">
        <f ca="1" xml:space="preserve"> MID( CELL( "filename", $A$1 ), FIND( "[", CELL( "filename", $A$1 ) ) + 1, FIND( "]", CELL( "filename", $A$1 ) ) - FIND( "[", CELL( "filename", $A$1 ) ) - 1 )</f>
        <v>Service Delivery Report Analysis Model.xlsx</v>
      </c>
      <c r="E6" s="249"/>
      <c r="F6" s="249"/>
      <c r="G6" s="249"/>
      <c r="H6" s="234"/>
      <c r="I6" s="234"/>
      <c r="J6" s="234"/>
      <c r="K6" s="234"/>
      <c r="L6" s="234"/>
      <c r="M6" s="249"/>
    </row>
    <row r="7" spans="2:13" ht="16.5" x14ac:dyDescent="0.2">
      <c r="B7" s="249"/>
      <c r="C7" s="250" t="s">
        <v>5</v>
      </c>
      <c r="D7" s="252">
        <f>MAX($E$19:$E$25)</f>
        <v>43762</v>
      </c>
      <c r="E7" s="249"/>
      <c r="F7" s="249"/>
      <c r="G7" s="249"/>
      <c r="H7" s="234"/>
      <c r="I7" s="234"/>
      <c r="J7" s="234"/>
      <c r="K7" s="234"/>
      <c r="L7" s="234"/>
      <c r="M7" s="249"/>
    </row>
    <row r="8" spans="2:13" ht="16.5" x14ac:dyDescent="0.2">
      <c r="B8" s="249"/>
      <c r="C8" s="250" t="s">
        <v>6</v>
      </c>
      <c r="D8" s="250" t="s">
        <v>7</v>
      </c>
      <c r="E8" s="249"/>
      <c r="F8" s="249"/>
      <c r="G8" s="249"/>
      <c r="H8" s="234"/>
      <c r="I8" s="234"/>
      <c r="J8" s="234"/>
      <c r="K8" s="234"/>
      <c r="L8" s="234"/>
      <c r="M8" s="249"/>
    </row>
    <row r="9" spans="2:13" ht="16.5" x14ac:dyDescent="0.2">
      <c r="B9" s="249"/>
      <c r="C9" s="250"/>
      <c r="D9" s="255"/>
      <c r="E9" s="249"/>
      <c r="F9" s="249"/>
      <c r="G9" s="249"/>
      <c r="H9" s="234"/>
      <c r="I9" s="234"/>
      <c r="J9" s="234"/>
      <c r="K9" s="234"/>
      <c r="L9" s="234"/>
      <c r="M9" s="249"/>
    </row>
    <row r="10" spans="2:13" ht="13.5" x14ac:dyDescent="0.2">
      <c r="B10" s="249"/>
      <c r="C10" s="249"/>
      <c r="D10" s="249"/>
      <c r="E10" s="249"/>
      <c r="F10" s="249"/>
      <c r="G10" s="249"/>
      <c r="H10" s="234"/>
      <c r="I10" s="234"/>
      <c r="J10" s="234"/>
      <c r="K10" s="234"/>
      <c r="L10" s="234"/>
      <c r="M10" s="249"/>
    </row>
    <row r="11" spans="2:13" ht="13.5" x14ac:dyDescent="0.2">
      <c r="B11" s="249"/>
      <c r="C11" s="249"/>
      <c r="D11" s="249"/>
      <c r="E11" s="249"/>
      <c r="F11" s="249"/>
      <c r="G11" s="249"/>
      <c r="H11" s="249"/>
      <c r="I11" s="249"/>
      <c r="J11" s="249"/>
      <c r="K11" s="249"/>
      <c r="L11" s="249"/>
      <c r="M11" s="249"/>
    </row>
    <row r="13" spans="2:13" ht="16.5" customHeight="1" x14ac:dyDescent="0.2">
      <c r="B13" s="266"/>
      <c r="C13" s="235" t="s">
        <v>8</v>
      </c>
      <c r="D13" s="306" t="s">
        <v>9</v>
      </c>
      <c r="E13" s="307"/>
      <c r="F13" s="307"/>
      <c r="G13" s="307"/>
      <c r="H13" s="307"/>
      <c r="I13" s="307"/>
      <c r="J13" s="307"/>
      <c r="K13" s="307"/>
      <c r="L13" s="307"/>
      <c r="M13" s="266"/>
    </row>
    <row r="14" spans="2:13" ht="16.5" customHeight="1" x14ac:dyDescent="0.2">
      <c r="B14" s="266"/>
      <c r="C14" s="266"/>
      <c r="D14" s="307"/>
      <c r="E14" s="307"/>
      <c r="F14" s="307"/>
      <c r="G14" s="307"/>
      <c r="H14" s="307"/>
      <c r="I14" s="307"/>
      <c r="J14" s="307"/>
      <c r="K14" s="307"/>
      <c r="L14" s="307"/>
      <c r="M14" s="266"/>
    </row>
    <row r="15" spans="2:13" ht="16.5" customHeight="1" x14ac:dyDescent="0.2">
      <c r="B15" s="266"/>
      <c r="C15" s="266"/>
      <c r="D15" s="307"/>
      <c r="E15" s="307"/>
      <c r="F15" s="307"/>
      <c r="G15" s="307"/>
      <c r="H15" s="307"/>
      <c r="I15" s="307"/>
      <c r="J15" s="307"/>
      <c r="K15" s="307"/>
      <c r="L15" s="307"/>
      <c r="M15" s="266"/>
    </row>
    <row r="16" spans="2:13" ht="16.5" customHeight="1" x14ac:dyDescent="0.2">
      <c r="B16" s="266"/>
      <c r="C16" s="266"/>
      <c r="D16" s="307"/>
      <c r="E16" s="307"/>
      <c r="F16" s="307"/>
      <c r="G16" s="307"/>
      <c r="H16" s="307"/>
      <c r="I16" s="307"/>
      <c r="J16" s="307"/>
      <c r="K16" s="307"/>
      <c r="L16" s="307"/>
      <c r="M16" s="266"/>
    </row>
    <row r="17" spans="3:12" ht="16.5" customHeight="1" x14ac:dyDescent="0.2">
      <c r="C17" s="266"/>
      <c r="D17" s="307"/>
      <c r="E17" s="307"/>
      <c r="F17" s="307"/>
      <c r="G17" s="307"/>
      <c r="H17" s="307"/>
      <c r="I17" s="307"/>
      <c r="J17" s="307"/>
      <c r="K17" s="307"/>
      <c r="L17" s="307"/>
    </row>
    <row r="19" spans="3:12" ht="16.5" x14ac:dyDescent="0.2">
      <c r="C19" s="235" t="s">
        <v>10</v>
      </c>
      <c r="D19" s="372" t="s">
        <v>11</v>
      </c>
      <c r="E19" s="372" t="s">
        <v>12</v>
      </c>
      <c r="F19" s="373" t="s">
        <v>13</v>
      </c>
      <c r="G19" s="373"/>
      <c r="H19" s="373"/>
      <c r="I19" s="373"/>
      <c r="J19" s="373"/>
      <c r="K19" s="373"/>
      <c r="L19" s="373"/>
    </row>
    <row r="20" spans="3:12" ht="15.95" customHeight="1" x14ac:dyDescent="0.2">
      <c r="C20" s="266"/>
      <c r="D20" s="231">
        <v>1</v>
      </c>
      <c r="E20" s="232">
        <v>43762</v>
      </c>
      <c r="F20" s="305" t="s">
        <v>14</v>
      </c>
      <c r="G20" s="305"/>
      <c r="H20" s="305"/>
      <c r="I20" s="305"/>
      <c r="J20" s="305"/>
      <c r="K20" s="305"/>
      <c r="L20" s="305"/>
    </row>
    <row r="21" spans="3:12" ht="15.95" customHeight="1" x14ac:dyDescent="0.2">
      <c r="C21" s="266"/>
      <c r="D21" s="231"/>
      <c r="E21" s="232"/>
      <c r="F21" s="305"/>
      <c r="G21" s="305"/>
      <c r="H21" s="305"/>
      <c r="I21" s="305"/>
      <c r="J21" s="305"/>
      <c r="K21" s="305"/>
      <c r="L21" s="305"/>
    </row>
    <row r="22" spans="3:12" ht="15.95" customHeight="1" x14ac:dyDescent="0.2">
      <c r="C22" s="266"/>
      <c r="D22" s="231"/>
      <c r="E22" s="232"/>
      <c r="F22" s="305"/>
      <c r="G22" s="305"/>
      <c r="H22" s="305"/>
      <c r="I22" s="305"/>
      <c r="J22" s="305"/>
      <c r="K22" s="305"/>
      <c r="L22" s="305"/>
    </row>
    <row r="23" spans="3:12" ht="15.95" customHeight="1" x14ac:dyDescent="0.2">
      <c r="C23" s="266"/>
      <c r="D23" s="231"/>
      <c r="E23" s="232"/>
      <c r="F23" s="305"/>
      <c r="G23" s="305"/>
      <c r="H23" s="305"/>
      <c r="I23" s="305"/>
      <c r="J23" s="305"/>
      <c r="K23" s="305"/>
      <c r="L23" s="305"/>
    </row>
    <row r="24" spans="3:12" ht="15.95" customHeight="1" x14ac:dyDescent="0.2">
      <c r="C24" s="266"/>
      <c r="D24" s="231"/>
      <c r="E24" s="232"/>
      <c r="F24" s="305"/>
      <c r="G24" s="305"/>
      <c r="H24" s="305"/>
      <c r="I24" s="305"/>
      <c r="J24" s="305"/>
      <c r="K24" s="305"/>
      <c r="L24" s="305"/>
    </row>
    <row r="26" spans="3:12" ht="16.5" customHeight="1" x14ac:dyDescent="0.2">
      <c r="C26" s="235" t="s">
        <v>15</v>
      </c>
      <c r="D26" s="243" t="s">
        <v>16</v>
      </c>
      <c r="E26" s="237"/>
      <c r="F26" s="237"/>
      <c r="G26" s="237"/>
      <c r="H26" s="237"/>
      <c r="I26" s="237"/>
      <c r="J26" s="237"/>
      <c r="K26" s="237"/>
      <c r="L26" s="238"/>
    </row>
    <row r="27" spans="3:12" ht="16.5" customHeight="1" x14ac:dyDescent="0.2">
      <c r="C27" s="266"/>
      <c r="D27" s="244" t="s">
        <v>17</v>
      </c>
      <c r="E27" s="233"/>
      <c r="F27" s="233"/>
      <c r="G27" s="233"/>
      <c r="H27" s="233"/>
      <c r="I27" s="233"/>
      <c r="J27" s="233"/>
      <c r="K27" s="233"/>
      <c r="L27" s="209"/>
    </row>
    <row r="28" spans="3:12" ht="16.5" customHeight="1" x14ac:dyDescent="0.2">
      <c r="C28" s="266"/>
      <c r="D28" s="244" t="s">
        <v>18</v>
      </c>
      <c r="E28" s="233"/>
      <c r="F28" s="233"/>
      <c r="G28" s="233"/>
      <c r="H28" s="233"/>
      <c r="I28" s="233"/>
      <c r="J28" s="233"/>
      <c r="K28" s="233"/>
      <c r="L28" s="209"/>
    </row>
    <row r="29" spans="3:12" ht="16.5" customHeight="1" x14ac:dyDescent="0.2">
      <c r="C29" s="266"/>
      <c r="D29" s="244" t="s">
        <v>19</v>
      </c>
      <c r="E29" s="233"/>
      <c r="F29" s="239" t="s">
        <v>20</v>
      </c>
      <c r="G29" s="239" t="s">
        <v>21</v>
      </c>
      <c r="H29" s="233"/>
      <c r="I29" s="233"/>
      <c r="J29" s="233"/>
      <c r="K29" s="233"/>
      <c r="L29" s="209"/>
    </row>
    <row r="30" spans="3:12" ht="16.5" customHeight="1" x14ac:dyDescent="0.2">
      <c r="C30" s="266"/>
      <c r="D30" s="244" t="s">
        <v>22</v>
      </c>
      <c r="E30" s="233"/>
      <c r="F30" s="233"/>
      <c r="G30" s="233"/>
      <c r="H30" s="233"/>
      <c r="I30" s="233"/>
      <c r="J30" s="233"/>
      <c r="K30" s="239" t="s">
        <v>23</v>
      </c>
      <c r="L30" s="209"/>
    </row>
    <row r="31" spans="3:12" ht="16.5" customHeight="1" x14ac:dyDescent="0.2">
      <c r="C31" s="266"/>
      <c r="D31" s="244" t="s">
        <v>24</v>
      </c>
      <c r="E31" s="233"/>
      <c r="F31" s="233"/>
      <c r="G31" s="233"/>
      <c r="H31" s="239" t="s">
        <v>23</v>
      </c>
      <c r="I31" s="233"/>
      <c r="J31" s="233"/>
      <c r="K31" s="239"/>
      <c r="L31" s="209"/>
    </row>
    <row r="32" spans="3:12" ht="16.5" customHeight="1" x14ac:dyDescent="0.2">
      <c r="C32" s="266"/>
      <c r="D32" s="245" t="s">
        <v>25</v>
      </c>
      <c r="E32" s="240"/>
      <c r="F32" s="240"/>
      <c r="G32" s="240"/>
      <c r="H32" s="241"/>
      <c r="I32" s="241" t="s">
        <v>20</v>
      </c>
      <c r="J32" s="241" t="s">
        <v>21</v>
      </c>
      <c r="K32" s="240"/>
      <c r="L32" s="242"/>
    </row>
    <row r="33" spans="2:13" ht="9.75" customHeight="1" x14ac:dyDescent="0.2">
      <c r="B33" s="266"/>
      <c r="C33" s="266"/>
      <c r="D33" s="266"/>
      <c r="E33" s="266"/>
      <c r="F33" s="266"/>
      <c r="G33" s="266"/>
      <c r="H33" s="266"/>
      <c r="I33" s="266"/>
      <c r="J33" s="266"/>
      <c r="K33" s="266"/>
      <c r="L33" s="266"/>
      <c r="M33" s="266"/>
    </row>
    <row r="34" spans="2:13" x14ac:dyDescent="0.2">
      <c r="B34" s="236" t="s">
        <v>26</v>
      </c>
      <c r="C34" s="236"/>
      <c r="D34" s="236"/>
      <c r="E34" s="236"/>
      <c r="F34" s="236"/>
      <c r="G34" s="236"/>
      <c r="H34" s="236"/>
      <c r="I34" s="236"/>
      <c r="J34" s="236"/>
      <c r="K34" s="236"/>
      <c r="L34" s="236"/>
      <c r="M34" s="236"/>
    </row>
  </sheetData>
  <mergeCells count="7">
    <mergeCell ref="F24:L24"/>
    <mergeCell ref="D13:L17"/>
    <mergeCell ref="F19:L19"/>
    <mergeCell ref="F20:L20"/>
    <mergeCell ref="F21:L21"/>
    <mergeCell ref="F22:L22"/>
    <mergeCell ref="F23:L23"/>
  </mergeCells>
  <hyperlinks>
    <hyperlink ref="K30" r:id="rId1"/>
    <hyperlink ref="F29" r:id="rId2" display="Link"/>
    <hyperlink ref="H31" r:id="rId3"/>
    <hyperlink ref="I32" r:id="rId4"/>
    <hyperlink ref="J32" r:id="rId5"/>
    <hyperlink ref="G29" r:id="rId6"/>
  </hyperlinks>
  <pageMargins left="0.7" right="0.7" top="0.75" bottom="0.75" header="0.3" footer="0.3"/>
  <pageSetup paperSize="9" scale="65" fitToHeight="0" orientation="portrait"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B2:P393"/>
  <sheetViews>
    <sheetView showGridLines="0" workbookViewId="0">
      <pane ySplit="3" topLeftCell="A4" activePane="bottomLeft" state="frozen"/>
      <selection pane="bottomLeft" activeCell="A4" sqref="A4"/>
    </sheetView>
  </sheetViews>
  <sheetFormatPr defaultRowHeight="12.75" outlineLevelRow="1" x14ac:dyDescent="0.2"/>
  <cols>
    <col min="1" max="2" width="2.625" style="8" customWidth="1"/>
    <col min="3" max="3" width="23.375" style="8" bestFit="1" customWidth="1"/>
    <col min="4" max="4" width="9" style="11" customWidth="1"/>
    <col min="5" max="12" width="7.625" style="8" customWidth="1"/>
    <col min="13" max="13" width="2.625" style="8" customWidth="1"/>
    <col min="14" max="14" width="11.25" style="8" bestFit="1" customWidth="1"/>
    <col min="15" max="15" width="7.625" style="51" customWidth="1"/>
    <col min="16" max="16" width="2.625" style="8" customWidth="1"/>
    <col min="17" max="16384" width="9" style="8"/>
  </cols>
  <sheetData>
    <row r="2" spans="2:16" s="1" customFormat="1" x14ac:dyDescent="0.2">
      <c r="B2" s="2"/>
      <c r="C2" s="2" t="s">
        <v>169</v>
      </c>
      <c r="D2" s="3" t="s">
        <v>170</v>
      </c>
      <c r="E2" s="4" t="s">
        <v>251</v>
      </c>
      <c r="F2" s="4" t="s">
        <v>252</v>
      </c>
      <c r="G2" s="4" t="s">
        <v>253</v>
      </c>
      <c r="H2" s="4" t="s">
        <v>171</v>
      </c>
      <c r="I2" s="4" t="s">
        <v>172</v>
      </c>
      <c r="J2" s="4" t="s">
        <v>173</v>
      </c>
      <c r="K2" s="4" t="s">
        <v>150</v>
      </c>
      <c r="L2" s="4" t="s">
        <v>174</v>
      </c>
      <c r="N2" s="345" t="s">
        <v>491</v>
      </c>
      <c r="O2" s="345"/>
    </row>
    <row r="3" spans="2:16" s="6" customFormat="1" x14ac:dyDescent="0.2">
      <c r="B3" s="7"/>
      <c r="C3" s="6" t="s">
        <v>175</v>
      </c>
      <c r="E3" s="298">
        <v>3</v>
      </c>
      <c r="F3" s="298">
        <v>4</v>
      </c>
      <c r="G3" s="298">
        <v>5</v>
      </c>
      <c r="H3" s="298">
        <v>6</v>
      </c>
      <c r="I3" s="298">
        <v>7</v>
      </c>
      <c r="J3" s="298">
        <v>8</v>
      </c>
      <c r="K3" s="298">
        <v>9</v>
      </c>
      <c r="L3" s="298">
        <v>10</v>
      </c>
      <c r="N3" s="298">
        <v>12</v>
      </c>
      <c r="O3" s="299">
        <v>13</v>
      </c>
    </row>
    <row r="5" spans="2:16" ht="13.5" x14ac:dyDescent="0.25">
      <c r="B5" s="9" t="s">
        <v>160</v>
      </c>
      <c r="C5" s="9"/>
      <c r="D5" s="10"/>
      <c r="E5" s="9"/>
      <c r="F5" s="9"/>
      <c r="G5" s="9"/>
      <c r="H5" s="9"/>
      <c r="I5" s="9"/>
      <c r="J5" s="9"/>
      <c r="K5" s="9"/>
      <c r="L5" s="9"/>
      <c r="M5" s="9"/>
      <c r="N5" s="9"/>
      <c r="O5" s="60"/>
      <c r="P5" s="9"/>
    </row>
    <row r="6" spans="2:16" outlineLevel="1" x14ac:dyDescent="0.2"/>
    <row r="7" spans="2:16" ht="13.5" outlineLevel="1" x14ac:dyDescent="0.25">
      <c r="B7" s="35" t="s">
        <v>254</v>
      </c>
      <c r="C7" s="35"/>
      <c r="D7" s="32"/>
      <c r="E7" s="32"/>
      <c r="F7" s="32"/>
      <c r="G7" s="32"/>
      <c r="H7" s="32"/>
      <c r="I7" s="32"/>
      <c r="J7" s="32"/>
      <c r="K7" s="32"/>
      <c r="L7" s="32"/>
      <c r="M7" s="32"/>
      <c r="N7" s="32"/>
      <c r="O7" s="61"/>
      <c r="P7" s="32"/>
    </row>
    <row r="8" spans="2:16" outlineLevel="1" x14ac:dyDescent="0.2"/>
    <row r="9" spans="2:16" s="53" customFormat="1" ht="38.25" outlineLevel="1" x14ac:dyDescent="0.2">
      <c r="D9" s="54"/>
      <c r="N9" s="55" t="s">
        <v>492</v>
      </c>
      <c r="O9" s="169" t="s">
        <v>493</v>
      </c>
    </row>
    <row r="10" spans="2:16" outlineLevel="1" x14ac:dyDescent="0.2">
      <c r="C10" s="8" t="s">
        <v>79</v>
      </c>
      <c r="D10" s="11" t="s">
        <v>134</v>
      </c>
      <c r="E10" s="277">
        <f xml:space="preserve"> INPUTS│Outcomes!E9</f>
        <v>189.14430877213201</v>
      </c>
      <c r="F10" s="277">
        <f xml:space="preserve"> INPUTS│Outcomes!F9</f>
        <v>192.720797385862</v>
      </c>
      <c r="G10" s="277">
        <f xml:space="preserve"> INPUTS│Outcomes!G9</f>
        <v>191.99886023438</v>
      </c>
      <c r="H10" s="277">
        <f xml:space="preserve"> INPUTS│Outcomes!H9</f>
        <v>182.64590090873199</v>
      </c>
      <c r="I10" s="277">
        <f xml:space="preserve"> INPUTS│Outcomes!I9</f>
        <v>184.716123345873</v>
      </c>
      <c r="J10" s="277">
        <f xml:space="preserve"> INPUTS│Outcomes!J9</f>
        <v>182.66</v>
      </c>
      <c r="K10" s="277">
        <f xml:space="preserve"> INPUTS│Outcomes!K9</f>
        <v>191.24007283985699</v>
      </c>
      <c r="L10" s="277">
        <f xml:space="preserve"> INPUTS│Outcomes!L9</f>
        <v>0</v>
      </c>
      <c r="N10" s="15">
        <f t="shared" ref="N10:N25" si="0" xml:space="preserve"> INDEX( E10:L10, 1, MATCH( Year, $E$2:$L$2, 0 ) ) - E10</f>
        <v>2.0957640677249856</v>
      </c>
      <c r="O10" s="279">
        <f xml:space="preserve"> IF( E$28 = 0, "-", N10 / E$28 )</f>
        <v>6.7674819701276495E-4</v>
      </c>
    </row>
    <row r="11" spans="2:16" outlineLevel="1" x14ac:dyDescent="0.2">
      <c r="C11" s="8" t="s">
        <v>81</v>
      </c>
      <c r="D11" s="11" t="s">
        <v>134</v>
      </c>
      <c r="E11" s="277">
        <f xml:space="preserve"> INPUTS│Outcomes!E10</f>
        <v>184.8</v>
      </c>
      <c r="F11" s="277">
        <f xml:space="preserve"> INPUTS│Outcomes!F10</f>
        <v>183.75</v>
      </c>
      <c r="G11" s="277">
        <f xml:space="preserve"> INPUTS│Outcomes!G10</f>
        <v>179.52</v>
      </c>
      <c r="H11" s="277">
        <f xml:space="preserve"> INPUTS│Outcomes!H10</f>
        <v>179.86</v>
      </c>
      <c r="I11" s="277">
        <f xml:space="preserve"> INPUTS│Outcomes!I10</f>
        <v>175.43</v>
      </c>
      <c r="J11" s="277">
        <f xml:space="preserve"> INPUTS│Outcomes!J10</f>
        <v>172.84899999999999</v>
      </c>
      <c r="K11" s="277">
        <f xml:space="preserve"> INPUTS│Outcomes!K10</f>
        <v>169.54</v>
      </c>
      <c r="L11" s="277">
        <f xml:space="preserve"> INPUTS│Outcomes!L10</f>
        <v>0</v>
      </c>
      <c r="N11" s="15">
        <f t="shared" si="0"/>
        <v>-15.260000000000019</v>
      </c>
      <c r="O11" s="279">
        <f t="shared" ref="O11:O26" si="1" xml:space="preserve"> IF( E$28 = 0, "-", N11 / E$28 )</f>
        <v>-4.9276431662583402E-3</v>
      </c>
    </row>
    <row r="12" spans="2:16" outlineLevel="1" x14ac:dyDescent="0.2">
      <c r="C12" s="8" t="s">
        <v>84</v>
      </c>
      <c r="D12" s="11" t="s">
        <v>134</v>
      </c>
      <c r="E12" s="277">
        <f xml:space="preserve"> INPUTS│Outcomes!E11</f>
        <v>14.132034121401718</v>
      </c>
      <c r="F12" s="277">
        <f xml:space="preserve"> INPUTS│Outcomes!F11</f>
        <v>14.163946763937787</v>
      </c>
      <c r="G12" s="277">
        <f xml:space="preserve"> INPUTS│Outcomes!G11</f>
        <v>14.226090648011846</v>
      </c>
      <c r="H12" s="277">
        <f xml:space="preserve"> INPUTS│Outcomes!H11</f>
        <v>11.652000000000001</v>
      </c>
      <c r="I12" s="277">
        <f xml:space="preserve"> INPUTS│Outcomes!I11</f>
        <v>14.37</v>
      </c>
      <c r="J12" s="277">
        <f xml:space="preserve"> INPUTS│Outcomes!J11</f>
        <v>14.619861664762418</v>
      </c>
      <c r="K12" s="277">
        <f xml:space="preserve"> INPUTS│Outcomes!K11</f>
        <v>15.271547781797601</v>
      </c>
      <c r="L12" s="277">
        <f xml:space="preserve"> INPUTS│Outcomes!L11</f>
        <v>0</v>
      </c>
      <c r="N12" s="15">
        <f t="shared" si="0"/>
        <v>1.1395136603958829</v>
      </c>
      <c r="O12" s="279">
        <f t="shared" si="1"/>
        <v>3.679630865994621E-4</v>
      </c>
    </row>
    <row r="13" spans="2:16" outlineLevel="1" x14ac:dyDescent="0.2">
      <c r="C13" s="8" t="s">
        <v>86</v>
      </c>
      <c r="D13" s="11" t="s">
        <v>134</v>
      </c>
      <c r="E13" s="277">
        <f xml:space="preserve"> INPUTS│Outcomes!E12</f>
        <v>189.88</v>
      </c>
      <c r="F13" s="277">
        <f xml:space="preserve"> INPUTS│Outcomes!F12</f>
        <v>192.42</v>
      </c>
      <c r="G13" s="277">
        <f xml:space="preserve"> INPUTS│Outcomes!G12</f>
        <v>197.63</v>
      </c>
      <c r="H13" s="277">
        <f xml:space="preserve"> INPUTS│Outcomes!H12</f>
        <v>197.08</v>
      </c>
      <c r="I13" s="277">
        <f xml:space="preserve"> INPUTS│Outcomes!I12</f>
        <v>201.9</v>
      </c>
      <c r="J13" s="277">
        <f xml:space="preserve"> INPUTS│Outcomes!J12</f>
        <v>203.21</v>
      </c>
      <c r="K13" s="277">
        <f xml:space="preserve"> INPUTS│Outcomes!K12</f>
        <v>200.44</v>
      </c>
      <c r="L13" s="277">
        <f xml:space="preserve"> INPUTS│Outcomes!L12</f>
        <v>0</v>
      </c>
      <c r="N13" s="15">
        <f t="shared" si="0"/>
        <v>10.560000000000002</v>
      </c>
      <c r="O13" s="279">
        <f t="shared" si="1"/>
        <v>3.4099549040424648E-3</v>
      </c>
    </row>
    <row r="14" spans="2:16" outlineLevel="1" x14ac:dyDescent="0.2">
      <c r="C14" s="8" t="s">
        <v>88</v>
      </c>
      <c r="D14" s="11" t="s">
        <v>134</v>
      </c>
      <c r="E14" s="277">
        <f xml:space="preserve"> INPUTS│Outcomes!E13</f>
        <v>436.27311311579626</v>
      </c>
      <c r="F14" s="277">
        <f xml:space="preserve"> INPUTS│Outcomes!F13</f>
        <v>437.25829527622415</v>
      </c>
      <c r="G14" s="277">
        <f xml:space="preserve"> INPUTS│Outcomes!G13</f>
        <v>439.17675269949331</v>
      </c>
      <c r="H14" s="277">
        <f xml:space="preserve"> INPUTS│Outcomes!H13</f>
        <v>432.18</v>
      </c>
      <c r="I14" s="277">
        <f xml:space="preserve"> INPUTS│Outcomes!I13</f>
        <v>430.5</v>
      </c>
      <c r="J14" s="277">
        <f xml:space="preserve"> INPUTS│Outcomes!J13</f>
        <v>439.21999999999997</v>
      </c>
      <c r="K14" s="277">
        <f xml:space="preserve"> INPUTS│Outcomes!K13</f>
        <v>424.36652485424298</v>
      </c>
      <c r="L14" s="277">
        <f xml:space="preserve"> INPUTS│Outcomes!L13</f>
        <v>0</v>
      </c>
      <c r="N14" s="15">
        <f t="shared" si="0"/>
        <v>-11.906588261553281</v>
      </c>
      <c r="O14" s="279">
        <f t="shared" si="1"/>
        <v>-3.8447849462971639E-3</v>
      </c>
    </row>
    <row r="15" spans="2:16" outlineLevel="1" x14ac:dyDescent="0.2">
      <c r="C15" s="8" t="s">
        <v>90</v>
      </c>
      <c r="D15" s="11" t="s">
        <v>134</v>
      </c>
      <c r="E15" s="277">
        <f xml:space="preserve"> INPUTS│Outcomes!E14</f>
        <v>105.1026538608006</v>
      </c>
      <c r="F15" s="277">
        <f xml:space="preserve"> INPUTS│Outcomes!F14</f>
        <v>104.99</v>
      </c>
      <c r="G15" s="277">
        <f xml:space="preserve"> INPUTS│Outcomes!G14</f>
        <v>105.2396126565489</v>
      </c>
      <c r="H15" s="277">
        <f xml:space="preserve"> INPUTS│Outcomes!H14</f>
        <v>103.38</v>
      </c>
      <c r="I15" s="277">
        <f xml:space="preserve"> INPUTS│Outcomes!I14</f>
        <v>103.51</v>
      </c>
      <c r="J15" s="277">
        <f xml:space="preserve"> INPUTS│Outcomes!J14</f>
        <v>102.46</v>
      </c>
      <c r="K15" s="277">
        <f xml:space="preserve"> INPUTS│Outcomes!K14</f>
        <v>103.638918532283</v>
      </c>
      <c r="L15" s="277">
        <f xml:space="preserve"> INPUTS│Outcomes!L14</f>
        <v>0</v>
      </c>
      <c r="N15" s="15">
        <f t="shared" si="0"/>
        <v>-1.4637353285176005</v>
      </c>
      <c r="O15" s="279">
        <f t="shared" si="1"/>
        <v>-4.7265828235784082E-4</v>
      </c>
    </row>
    <row r="16" spans="2:16" outlineLevel="1" x14ac:dyDescent="0.2">
      <c r="C16" s="8" t="s">
        <v>93</v>
      </c>
      <c r="D16" s="11" t="s">
        <v>134</v>
      </c>
      <c r="E16" s="277">
        <f xml:space="preserve"> INPUTS│Outcomes!E15</f>
        <v>81.268901198179705</v>
      </c>
      <c r="F16" s="277">
        <f xml:space="preserve"> INPUTS│Outcomes!F15</f>
        <v>84.59</v>
      </c>
      <c r="G16" s="277">
        <f xml:space="preserve"> INPUTS│Outcomes!G15</f>
        <v>81.69</v>
      </c>
      <c r="H16" s="277">
        <f xml:space="preserve"> INPUTS│Outcomes!H15</f>
        <v>83.91</v>
      </c>
      <c r="I16" s="277">
        <f xml:space="preserve"> INPUTS│Outcomes!I15</f>
        <v>88.110156640835797</v>
      </c>
      <c r="J16" s="277">
        <f xml:space="preserve"> INPUTS│Outcomes!J15</f>
        <v>88.680494328295197</v>
      </c>
      <c r="K16" s="277">
        <f xml:space="preserve"> INPUTS│Outcomes!K15</f>
        <v>101.83</v>
      </c>
      <c r="L16" s="277">
        <f xml:space="preserve"> INPUTS│Outcomes!L15</f>
        <v>0</v>
      </c>
      <c r="N16" s="15">
        <f t="shared" si="0"/>
        <v>20.561098801820293</v>
      </c>
      <c r="O16" s="279">
        <f t="shared" si="1"/>
        <v>6.6394336829326463E-3</v>
      </c>
    </row>
    <row r="17" spans="2:16" outlineLevel="1" x14ac:dyDescent="0.2">
      <c r="C17" s="8" t="s">
        <v>95</v>
      </c>
      <c r="D17" s="11" t="s">
        <v>134</v>
      </c>
      <c r="E17" s="277">
        <f xml:space="preserve"> INPUTS│Outcomes!E16</f>
        <v>645.54282745752801</v>
      </c>
      <c r="F17" s="277">
        <f xml:space="preserve"> INPUTS│Outcomes!F16</f>
        <v>644.29999999999995</v>
      </c>
      <c r="G17" s="277">
        <f xml:space="preserve"> INPUTS│Outcomes!G16</f>
        <v>653.96</v>
      </c>
      <c r="H17" s="277">
        <f xml:space="preserve"> INPUTS│Outcomes!H16</f>
        <v>642.46</v>
      </c>
      <c r="I17" s="277">
        <f xml:space="preserve"> INPUTS│Outcomes!I16</f>
        <v>677.15227390796599</v>
      </c>
      <c r="J17" s="277">
        <f xml:space="preserve"> INPUTS│Outcomes!J16</f>
        <v>694.65</v>
      </c>
      <c r="K17" s="277">
        <f xml:space="preserve"> INPUTS│Outcomes!K16</f>
        <v>690.39</v>
      </c>
      <c r="L17" s="277">
        <f xml:space="preserve"> INPUTS│Outcomes!L16</f>
        <v>0</v>
      </c>
      <c r="N17" s="15">
        <f t="shared" si="0"/>
        <v>44.847172542471981</v>
      </c>
      <c r="O17" s="279">
        <f t="shared" si="1"/>
        <v>1.4481707949208417E-2</v>
      </c>
    </row>
    <row r="18" spans="2:16" outlineLevel="1" x14ac:dyDescent="0.2">
      <c r="C18" s="8" t="s">
        <v>97</v>
      </c>
      <c r="D18" s="11" t="s">
        <v>134</v>
      </c>
      <c r="E18" s="277">
        <f xml:space="preserve"> INPUTS│Outcomes!E17</f>
        <v>457.36316498791899</v>
      </c>
      <c r="F18" s="277">
        <f xml:space="preserve"> INPUTS│Outcomes!F17</f>
        <v>451.93281348633298</v>
      </c>
      <c r="G18" s="277">
        <f xml:space="preserve"> INPUTS│Outcomes!G17</f>
        <v>453.61355904751701</v>
      </c>
      <c r="H18" s="277">
        <f xml:space="preserve"> INPUTS│Outcomes!H17</f>
        <v>451.85689213569498</v>
      </c>
      <c r="I18" s="277">
        <f xml:space="preserve"> INPUTS│Outcomes!I17</f>
        <v>439.22019750905099</v>
      </c>
      <c r="J18" s="277">
        <f xml:space="preserve"> INPUTS│Outcomes!J17</f>
        <v>453.52338212963201</v>
      </c>
      <c r="K18" s="277">
        <f xml:space="preserve"> INPUTS│Outcomes!K17</f>
        <v>455.97429109638102</v>
      </c>
      <c r="L18" s="277">
        <f xml:space="preserve"> INPUTS│Outcomes!L17</f>
        <v>0</v>
      </c>
      <c r="N18" s="15">
        <f t="shared" si="0"/>
        <v>-1.388873891537969</v>
      </c>
      <c r="O18" s="279">
        <f t="shared" si="1"/>
        <v>-4.4848459635856428E-4</v>
      </c>
    </row>
    <row r="19" spans="2:16" outlineLevel="1" x14ac:dyDescent="0.2">
      <c r="C19" s="8" t="s">
        <v>99</v>
      </c>
      <c r="D19" s="11" t="s">
        <v>134</v>
      </c>
      <c r="E19" s="277">
        <f xml:space="preserve"> INPUTS│Outcomes!E18</f>
        <v>68.52</v>
      </c>
      <c r="F19" s="277">
        <f xml:space="preserve"> INPUTS│Outcomes!F18</f>
        <v>69.33</v>
      </c>
      <c r="G19" s="277">
        <f xml:space="preserve"> INPUTS│Outcomes!G18</f>
        <v>68.58</v>
      </c>
      <c r="H19" s="277">
        <f xml:space="preserve"> INPUTS│Outcomes!H18</f>
        <v>68.33</v>
      </c>
      <c r="I19" s="277">
        <f xml:space="preserve"> INPUTS│Outcomes!I18</f>
        <v>68.349999999999994</v>
      </c>
      <c r="J19" s="277">
        <f xml:space="preserve"> INPUTS│Outcomes!J18</f>
        <v>67.709999999999994</v>
      </c>
      <c r="K19" s="277">
        <f xml:space="preserve"> INPUTS│Outcomes!K18</f>
        <v>66.39</v>
      </c>
      <c r="L19" s="277">
        <f xml:space="preserve"> INPUTS│Outcomes!L18</f>
        <v>0</v>
      </c>
      <c r="N19" s="15">
        <f t="shared" si="0"/>
        <v>-2.1299999999999955</v>
      </c>
      <c r="O19" s="279">
        <f t="shared" si="1"/>
        <v>-6.8780340394038197E-4</v>
      </c>
    </row>
    <row r="20" spans="2:16" outlineLevel="1" x14ac:dyDescent="0.2">
      <c r="C20" s="8" t="s">
        <v>101</v>
      </c>
      <c r="D20" s="11" t="s">
        <v>134</v>
      </c>
      <c r="E20" s="277">
        <f xml:space="preserve"> INPUTS│Outcomes!E19</f>
        <v>264.62</v>
      </c>
      <c r="F20" s="277">
        <f xml:space="preserve"> INPUTS│Outcomes!F19</f>
        <v>282.27</v>
      </c>
      <c r="G20" s="277">
        <f xml:space="preserve"> INPUTS│Outcomes!G19</f>
        <v>288.41547573538099</v>
      </c>
      <c r="H20" s="277">
        <f xml:space="preserve"> INPUTS│Outcomes!H19</f>
        <v>285.120939363964</v>
      </c>
      <c r="I20" s="277">
        <f xml:space="preserve"> INPUTS│Outcomes!I19</f>
        <v>295.16000000000003</v>
      </c>
      <c r="J20" s="277">
        <f xml:space="preserve"> INPUTS│Outcomes!J19</f>
        <v>300.27999999999997</v>
      </c>
      <c r="K20" s="277">
        <f xml:space="preserve"> INPUTS│Outcomes!K19</f>
        <v>289.77</v>
      </c>
      <c r="L20" s="277">
        <f xml:space="preserve"> INPUTS│Outcomes!L19</f>
        <v>0</v>
      </c>
      <c r="N20" s="15">
        <f t="shared" si="0"/>
        <v>25.149999999999977</v>
      </c>
      <c r="O20" s="279">
        <f t="shared" si="1"/>
        <v>8.1212467648359744E-3</v>
      </c>
    </row>
    <row r="21" spans="2:16" outlineLevel="1" x14ac:dyDescent="0.2">
      <c r="C21" s="8" t="s">
        <v>103</v>
      </c>
      <c r="D21" s="11" t="s">
        <v>134</v>
      </c>
      <c r="E21" s="277">
        <f xml:space="preserve"> INPUTS│Outcomes!E20</f>
        <v>189.488144241199</v>
      </c>
      <c r="F21" s="277">
        <f xml:space="preserve"> INPUTS│Outcomes!F20</f>
        <v>180.741673275225</v>
      </c>
      <c r="G21" s="277">
        <f xml:space="preserve"> INPUTS│Outcomes!G20</f>
        <v>183.485497630921</v>
      </c>
      <c r="H21" s="277">
        <f xml:space="preserve"> INPUTS│Outcomes!H20</f>
        <v>180.88999899999999</v>
      </c>
      <c r="I21" s="277">
        <f xml:space="preserve"> INPUTS│Outcomes!I20</f>
        <v>172.986870233817</v>
      </c>
      <c r="J21" s="277">
        <f xml:space="preserve"> INPUTS│Outcomes!J20</f>
        <v>177.2</v>
      </c>
      <c r="K21" s="277">
        <f xml:space="preserve"> INPUTS│Outcomes!K20</f>
        <v>196.07640970180401</v>
      </c>
      <c r="L21" s="277">
        <f xml:space="preserve"> INPUTS│Outcomes!L20</f>
        <v>0</v>
      </c>
      <c r="N21" s="15">
        <f t="shared" si="0"/>
        <v>6.5882654606050153</v>
      </c>
      <c r="O21" s="279">
        <f t="shared" si="1"/>
        <v>2.1274325867920128E-3</v>
      </c>
    </row>
    <row r="22" spans="2:16" outlineLevel="1" x14ac:dyDescent="0.2">
      <c r="C22" s="8" t="s">
        <v>105</v>
      </c>
      <c r="D22" s="11" t="s">
        <v>134</v>
      </c>
      <c r="E22" s="277">
        <f xml:space="preserve"> INPUTS│Outcomes!E21</f>
        <v>42.1</v>
      </c>
      <c r="F22" s="277">
        <f xml:space="preserve"> INPUTS│Outcomes!F21</f>
        <v>43.686864841972898</v>
      </c>
      <c r="G22" s="277">
        <f xml:space="preserve"> INPUTS│Outcomes!G21</f>
        <v>45.117175086861799</v>
      </c>
      <c r="H22" s="277">
        <f xml:space="preserve"> INPUTS│Outcomes!H21</f>
        <v>44.220819062218197</v>
      </c>
      <c r="I22" s="277">
        <f xml:space="preserve"> INPUTS│Outcomes!I21</f>
        <v>46.42</v>
      </c>
      <c r="J22" s="277">
        <f xml:space="preserve"> INPUTS│Outcomes!J21</f>
        <v>46.64</v>
      </c>
      <c r="K22" s="277">
        <f xml:space="preserve"> INPUTS│Outcomes!K21</f>
        <v>41.71</v>
      </c>
      <c r="L22" s="277">
        <f xml:space="preserve"> INPUTS│Outcomes!L21</f>
        <v>0</v>
      </c>
      <c r="N22" s="15">
        <f t="shared" si="0"/>
        <v>-0.39000000000000057</v>
      </c>
      <c r="O22" s="279">
        <f t="shared" si="1"/>
        <v>-1.2593583452429573E-4</v>
      </c>
    </row>
    <row r="23" spans="2:16" outlineLevel="1" x14ac:dyDescent="0.2">
      <c r="C23" s="8" t="s">
        <v>107</v>
      </c>
      <c r="D23" s="11" t="s">
        <v>134</v>
      </c>
      <c r="E23" s="277">
        <f xml:space="preserve"> INPUTS│Outcomes!E22</f>
        <v>34.07</v>
      </c>
      <c r="F23" s="277">
        <f xml:space="preserve"> INPUTS│Outcomes!F22</f>
        <v>29.5</v>
      </c>
      <c r="G23" s="277">
        <f xml:space="preserve"> INPUTS│Outcomes!G22</f>
        <v>28.85</v>
      </c>
      <c r="H23" s="277">
        <f xml:space="preserve"> INPUTS│Outcomes!H22</f>
        <v>28.23</v>
      </c>
      <c r="I23" s="277">
        <f xml:space="preserve"> INPUTS│Outcomes!I22</f>
        <v>30.37</v>
      </c>
      <c r="J23" s="277">
        <f xml:space="preserve"> INPUTS│Outcomes!J22</f>
        <v>32.869999999999997</v>
      </c>
      <c r="K23" s="277">
        <f xml:space="preserve"> INPUTS│Outcomes!K22</f>
        <v>28.12</v>
      </c>
      <c r="L23" s="277">
        <f xml:space="preserve"> INPUTS│Outcomes!L22</f>
        <v>0</v>
      </c>
      <c r="N23" s="15">
        <f t="shared" si="0"/>
        <v>-5.9499999999999993</v>
      </c>
      <c r="O23" s="279">
        <f t="shared" si="1"/>
        <v>-1.9213287574860473E-3</v>
      </c>
    </row>
    <row r="24" spans="2:16" outlineLevel="1" x14ac:dyDescent="0.2">
      <c r="C24" s="8" t="s">
        <v>111</v>
      </c>
      <c r="D24" s="11" t="s">
        <v>134</v>
      </c>
      <c r="E24" s="277">
        <f xml:space="preserve"> INPUTS│Outcomes!E23</f>
        <v>93.16</v>
      </c>
      <c r="F24" s="277">
        <f xml:space="preserve"> INPUTS│Outcomes!F23</f>
        <v>92.558189507076605</v>
      </c>
      <c r="G24" s="277">
        <f xml:space="preserve"> INPUTS│Outcomes!G23</f>
        <v>92.452515149166402</v>
      </c>
      <c r="H24" s="277">
        <f xml:space="preserve"> INPUTS│Outcomes!H23</f>
        <v>88.107760204071198</v>
      </c>
      <c r="I24" s="277">
        <f xml:space="preserve"> INPUTS│Outcomes!I23</f>
        <v>88.625186521672603</v>
      </c>
      <c r="J24" s="277">
        <f xml:space="preserve"> INPUTS│Outcomes!J23</f>
        <v>87.69</v>
      </c>
      <c r="K24" s="277">
        <f xml:space="preserve"> INPUTS│Outcomes!K23</f>
        <v>86.88</v>
      </c>
      <c r="L24" s="277">
        <f xml:space="preserve"> INPUTS│Outcomes!L23</f>
        <v>0</v>
      </c>
      <c r="N24" s="15">
        <f t="shared" si="0"/>
        <v>-6.2800000000000011</v>
      </c>
      <c r="O24" s="279">
        <f t="shared" si="1"/>
        <v>-2.027889848237375E-3</v>
      </c>
    </row>
    <row r="25" spans="2:16" outlineLevel="1" x14ac:dyDescent="0.2">
      <c r="C25" s="8" t="s">
        <v>113</v>
      </c>
      <c r="D25" s="11" t="s">
        <v>134</v>
      </c>
      <c r="E25" s="277">
        <f xml:space="preserve"> INPUTS│Outcomes!E24</f>
        <v>77.61</v>
      </c>
      <c r="F25" s="277">
        <f xml:space="preserve"> INPUTS│Outcomes!F24</f>
        <v>79.594395391550506</v>
      </c>
      <c r="G25" s="277">
        <f xml:space="preserve"> INPUTS│Outcomes!G24</f>
        <v>82.748233259873899</v>
      </c>
      <c r="H25" s="277">
        <f xml:space="preserve"> INPUTS│Outcomes!H24</f>
        <v>83.119603622010601</v>
      </c>
      <c r="I25" s="277">
        <f xml:space="preserve"> INPUTS│Outcomes!I24</f>
        <v>84.17</v>
      </c>
      <c r="J25" s="277">
        <f xml:space="preserve"> INPUTS│Outcomes!J24</f>
        <v>86.8</v>
      </c>
      <c r="K25" s="277">
        <f xml:space="preserve"> INPUTS│Outcomes!K24</f>
        <v>83.74</v>
      </c>
      <c r="L25" s="277">
        <f xml:space="preserve"> INPUTS│Outcomes!L24</f>
        <v>0</v>
      </c>
      <c r="N25" s="15">
        <f t="shared" si="0"/>
        <v>6.1299999999999955</v>
      </c>
      <c r="O25" s="279">
        <f t="shared" si="1"/>
        <v>1.9794529888049516E-3</v>
      </c>
    </row>
    <row r="26" spans="2:16" outlineLevel="1" x14ac:dyDescent="0.2">
      <c r="C26" s="8" t="s">
        <v>109</v>
      </c>
      <c r="D26" s="11" t="s">
        <v>134</v>
      </c>
      <c r="E26" s="277">
        <f xml:space="preserve"> INPUTS│Outcomes!E25</f>
        <v>23.74</v>
      </c>
      <c r="F26" s="277">
        <f xml:space="preserve"> INPUTS│Outcomes!F25</f>
        <v>23.93</v>
      </c>
      <c r="G26" s="277">
        <f xml:space="preserve"> INPUTS│Outcomes!G25</f>
        <v>24.16</v>
      </c>
      <c r="H26" s="277">
        <f xml:space="preserve"> INPUTS│Outcomes!H25</f>
        <v>24.17</v>
      </c>
      <c r="I26" s="277">
        <f xml:space="preserve"> INPUTS│Outcomes!I25</f>
        <v>24.34</v>
      </c>
      <c r="J26" s="277">
        <f xml:space="preserve"> INPUTS│Outcomes!J25</f>
        <v>24.16</v>
      </c>
      <c r="K26" s="277">
        <f xml:space="preserve"> INPUTS│Outcomes!K25</f>
        <v>24.15</v>
      </c>
      <c r="L26" s="277">
        <f xml:space="preserve"> INPUTS│Outcomes!L25</f>
        <v>0</v>
      </c>
      <c r="N26" s="15">
        <f xml:space="preserve"> INDEX( E26:L26, 1, MATCH( Year, $E$2:$L$2, 0 ) ) - E26</f>
        <v>0.41000000000000014</v>
      </c>
      <c r="O26" s="279">
        <f t="shared" si="1"/>
        <v>1.3239408244861844E-4</v>
      </c>
    </row>
    <row r="27" spans="2:16" outlineLevel="1" x14ac:dyDescent="0.2"/>
    <row r="28" spans="2:16" outlineLevel="1" x14ac:dyDescent="0.2">
      <c r="C28" s="13" t="s">
        <v>257</v>
      </c>
      <c r="D28" s="14" t="s">
        <v>134</v>
      </c>
      <c r="E28" s="15">
        <f>SUM(E10:E26)</f>
        <v>3096.8151477549559</v>
      </c>
      <c r="F28" s="15">
        <f t="shared" ref="F28:L28" si="2">SUM(F10:F26)</f>
        <v>3107.7369759281814</v>
      </c>
      <c r="G28" s="15">
        <f t="shared" si="2"/>
        <v>3130.8637721481546</v>
      </c>
      <c r="H28" s="15">
        <f t="shared" si="2"/>
        <v>3087.2139142966917</v>
      </c>
      <c r="I28" s="15">
        <f t="shared" si="2"/>
        <v>3125.3308081592158</v>
      </c>
      <c r="J28" s="15">
        <f t="shared" si="2"/>
        <v>3175.2227381226894</v>
      </c>
      <c r="K28" s="15">
        <f t="shared" si="2"/>
        <v>3169.5277648063652</v>
      </c>
      <c r="L28" s="15">
        <f t="shared" si="2"/>
        <v>0</v>
      </c>
      <c r="N28" s="15">
        <f xml:space="preserve"> INDEX( E28:L28, 1, MATCH( Year, $E$2:$L$2, 0 ) ) - E28</f>
        <v>72.712617051409325</v>
      </c>
      <c r="O28" s="279">
        <f xml:space="preserve"> IF( E$28 = 0, "-", N28 / E$28 )</f>
        <v>2.3479805407217322E-2</v>
      </c>
    </row>
    <row r="29" spans="2:16" outlineLevel="1" x14ac:dyDescent="0.2"/>
    <row r="30" spans="2:16" ht="13.5" outlineLevel="1" x14ac:dyDescent="0.25">
      <c r="B30" s="35" t="s">
        <v>258</v>
      </c>
      <c r="C30" s="35"/>
      <c r="D30" s="32"/>
      <c r="E30" s="33"/>
      <c r="F30" s="33"/>
      <c r="G30" s="33"/>
      <c r="H30" s="33"/>
      <c r="I30" s="33"/>
      <c r="J30" s="33"/>
      <c r="K30" s="33"/>
      <c r="L30" s="33"/>
      <c r="M30" s="33"/>
      <c r="N30" s="33"/>
      <c r="O30" s="63"/>
      <c r="P30" s="33"/>
    </row>
    <row r="31" spans="2:16" outlineLevel="1" x14ac:dyDescent="0.2"/>
    <row r="32" spans="2:16" outlineLevel="1" x14ac:dyDescent="0.2">
      <c r="C32" s="8" t="s">
        <v>79</v>
      </c>
      <c r="D32" s="11" t="s">
        <v>136</v>
      </c>
      <c r="E32" s="57">
        <f xml:space="preserve"> INPUTS│Outcomes!E31</f>
        <v>38006.129999999997</v>
      </c>
      <c r="F32" s="57">
        <f xml:space="preserve"> INPUTS│Outcomes!F31</f>
        <v>38076.050000000003</v>
      </c>
      <c r="G32" s="57">
        <f xml:space="preserve"> INPUTS│Outcomes!G31</f>
        <v>38095.050000000003</v>
      </c>
      <c r="H32" s="57">
        <f xml:space="preserve"> INPUTS│Outcomes!H31</f>
        <v>38184.71</v>
      </c>
      <c r="I32" s="57">
        <f xml:space="preserve"> INPUTS│Outcomes!I31</f>
        <v>38325.279999999999</v>
      </c>
      <c r="J32" s="57">
        <f xml:space="preserve"> INPUTS│Outcomes!J31</f>
        <v>38419.65</v>
      </c>
      <c r="K32" s="57">
        <f xml:space="preserve"> INPUTS│Outcomes!K31</f>
        <v>38584.370000000003</v>
      </c>
      <c r="L32" s="57">
        <f xml:space="preserve"> INPUTS│Outcomes!L31</f>
        <v>0</v>
      </c>
    </row>
    <row r="33" spans="3:12" outlineLevel="1" x14ac:dyDescent="0.2">
      <c r="C33" s="8" t="s">
        <v>81</v>
      </c>
      <c r="D33" s="11" t="s">
        <v>136</v>
      </c>
      <c r="E33" s="57">
        <f xml:space="preserve"> INPUTS│Outcomes!E32</f>
        <v>27225.7</v>
      </c>
      <c r="F33" s="57">
        <f xml:space="preserve"> INPUTS│Outcomes!F32</f>
        <v>27218.7</v>
      </c>
      <c r="G33" s="57">
        <f xml:space="preserve"> INPUTS│Outcomes!G32</f>
        <v>27275.3</v>
      </c>
      <c r="H33" s="57">
        <f xml:space="preserve"> INPUTS│Outcomes!H32</f>
        <v>27359.8</v>
      </c>
      <c r="I33" s="57">
        <f xml:space="preserve"> INPUTS│Outcomes!I32</f>
        <v>27563.599999999999</v>
      </c>
      <c r="J33" s="57">
        <f xml:space="preserve"> INPUTS│Outcomes!J32</f>
        <v>27597</v>
      </c>
      <c r="K33" s="57">
        <f xml:space="preserve"> INPUTS│Outcomes!K32</f>
        <v>27644.400000000001</v>
      </c>
      <c r="L33" s="57">
        <f xml:space="preserve"> INPUTS│Outcomes!L32</f>
        <v>0</v>
      </c>
    </row>
    <row r="34" spans="3:12" outlineLevel="1" x14ac:dyDescent="0.2">
      <c r="C34" s="8" t="s">
        <v>84</v>
      </c>
      <c r="D34" s="11" t="s">
        <v>136</v>
      </c>
      <c r="E34" s="57">
        <f xml:space="preserve"> INPUTS│Outcomes!E33</f>
        <v>2577.0311208885255</v>
      </c>
      <c r="F34" s="57">
        <f xml:space="preserve"> INPUTS│Outcomes!F33</f>
        <v>2581.4933484256035</v>
      </c>
      <c r="G34" s="57">
        <f xml:space="preserve"> INPUTS│Outcomes!G33</f>
        <v>2585.5677097198404</v>
      </c>
      <c r="H34" s="57">
        <f xml:space="preserve"> INPUTS│Outcomes!H33</f>
        <v>2595.5297603449544</v>
      </c>
      <c r="I34" s="57">
        <f xml:space="preserve"> INPUTS│Outcomes!I33</f>
        <v>2603.4588473424196</v>
      </c>
      <c r="J34" s="57">
        <f xml:space="preserve"> INPUTS│Outcomes!J33</f>
        <v>2626.6137800000001</v>
      </c>
      <c r="K34" s="57">
        <f xml:space="preserve"> INPUTS│Outcomes!K33</f>
        <v>2606.0845890000001</v>
      </c>
      <c r="L34" s="57">
        <f xml:space="preserve"> INPUTS│Outcomes!L33</f>
        <v>0</v>
      </c>
    </row>
    <row r="35" spans="3:12" outlineLevel="1" x14ac:dyDescent="0.2">
      <c r="C35" s="8" t="s">
        <v>86</v>
      </c>
      <c r="D35" s="11" t="s">
        <v>136</v>
      </c>
      <c r="E35" s="57">
        <f xml:space="preserve"> INPUTS│Outcomes!E34</f>
        <v>25406.7</v>
      </c>
      <c r="F35" s="57">
        <f xml:space="preserve"> INPUTS│Outcomes!F34</f>
        <v>25613</v>
      </c>
      <c r="G35" s="57">
        <f xml:space="preserve"> INPUTS│Outcomes!G34</f>
        <v>25676.3</v>
      </c>
      <c r="H35" s="57">
        <f xml:space="preserve"> INPUTS│Outcomes!H34</f>
        <v>25760.6</v>
      </c>
      <c r="I35" s="57">
        <f xml:space="preserve"> INPUTS│Outcomes!I34</f>
        <v>25812.799999999999</v>
      </c>
      <c r="J35" s="57">
        <f xml:space="preserve"> INPUTS│Outcomes!J34</f>
        <v>25912.1</v>
      </c>
      <c r="K35" s="57">
        <f xml:space="preserve"> INPUTS│Outcomes!K34</f>
        <v>26032.3</v>
      </c>
      <c r="L35" s="57">
        <f xml:space="preserve"> INPUTS│Outcomes!L34</f>
        <v>0</v>
      </c>
    </row>
    <row r="36" spans="3:12" outlineLevel="1" x14ac:dyDescent="0.2">
      <c r="C36" s="8" t="s">
        <v>88</v>
      </c>
      <c r="D36" s="11" t="s">
        <v>136</v>
      </c>
      <c r="E36" s="57">
        <f xml:space="preserve"> INPUTS│Outcomes!E35</f>
        <v>45975.106527863332</v>
      </c>
      <c r="F36" s="57">
        <f xml:space="preserve"> INPUTS│Outcomes!F35</f>
        <v>46054.714175867986</v>
      </c>
      <c r="G36" s="57">
        <f xml:space="preserve"> INPUTS│Outcomes!G35</f>
        <v>46127.402158957208</v>
      </c>
      <c r="H36" s="57">
        <f xml:space="preserve"> INPUTS│Outcomes!H35</f>
        <v>46305.128510421557</v>
      </c>
      <c r="I36" s="57">
        <f xml:space="preserve"> INPUTS│Outcomes!I35</f>
        <v>46446.58610339446</v>
      </c>
      <c r="J36" s="57">
        <f xml:space="preserve"> INPUTS│Outcomes!J35</f>
        <v>46539.848021002996</v>
      </c>
      <c r="K36" s="57">
        <f xml:space="preserve"> INPUTS│Outcomes!K35</f>
        <v>46814.915666002998</v>
      </c>
      <c r="L36" s="57">
        <f xml:space="preserve"> INPUTS│Outcomes!L35</f>
        <v>0</v>
      </c>
    </row>
    <row r="37" spans="3:12" outlineLevel="1" x14ac:dyDescent="0.2">
      <c r="C37" s="8" t="s">
        <v>90</v>
      </c>
      <c r="D37" s="11" t="s">
        <v>136</v>
      </c>
      <c r="E37" s="57">
        <f xml:space="preserve"> INPUTS│Outcomes!E36</f>
        <v>17997.86</v>
      </c>
      <c r="F37" s="57">
        <f xml:space="preserve"> INPUTS│Outcomes!F36</f>
        <v>18024.21</v>
      </c>
      <c r="G37" s="57">
        <f xml:space="preserve"> INPUTS│Outcomes!G36</f>
        <v>18082.939999999999</v>
      </c>
      <c r="H37" s="57">
        <f xml:space="preserve"> INPUTS│Outcomes!H36</f>
        <v>18117.32</v>
      </c>
      <c r="I37" s="57">
        <f xml:space="preserve"> INPUTS│Outcomes!I36</f>
        <v>18176.099999999999</v>
      </c>
      <c r="J37" s="57">
        <f xml:space="preserve"> INPUTS│Outcomes!J36</f>
        <v>18233</v>
      </c>
      <c r="K37" s="57">
        <f xml:space="preserve"> INPUTS│Outcomes!K36</f>
        <v>18300.34</v>
      </c>
      <c r="L37" s="57">
        <f xml:space="preserve"> INPUTS│Outcomes!L36</f>
        <v>0</v>
      </c>
    </row>
    <row r="38" spans="3:12" outlineLevel="1" x14ac:dyDescent="0.2">
      <c r="C38" s="8" t="s">
        <v>93</v>
      </c>
      <c r="D38" s="11" t="s">
        <v>136</v>
      </c>
      <c r="E38" s="57">
        <f xml:space="preserve"> INPUTS│Outcomes!E37</f>
        <v>13735.07</v>
      </c>
      <c r="F38" s="57">
        <f xml:space="preserve"> INPUTS│Outcomes!F37</f>
        <v>13753.18</v>
      </c>
      <c r="G38" s="57">
        <f xml:space="preserve"> INPUTS│Outcomes!G37</f>
        <v>13792.82</v>
      </c>
      <c r="H38" s="57">
        <f xml:space="preserve"> INPUTS│Outcomes!H37</f>
        <v>13837.42</v>
      </c>
      <c r="I38" s="57">
        <f xml:space="preserve"> INPUTS│Outcomes!I37</f>
        <v>13870.3045</v>
      </c>
      <c r="J38" s="57">
        <f xml:space="preserve"> INPUTS│Outcomes!J37</f>
        <v>13905.12</v>
      </c>
      <c r="K38" s="57">
        <f xml:space="preserve"> INPUTS│Outcomes!K37</f>
        <v>13929.4851</v>
      </c>
      <c r="L38" s="57">
        <f xml:space="preserve"> INPUTS│Outcomes!L37</f>
        <v>0</v>
      </c>
    </row>
    <row r="39" spans="3:12" outlineLevel="1" x14ac:dyDescent="0.2">
      <c r="C39" s="8" t="s">
        <v>95</v>
      </c>
      <c r="D39" s="11" t="s">
        <v>136</v>
      </c>
      <c r="E39" s="57">
        <f xml:space="preserve"> INPUTS│Outcomes!E38</f>
        <v>31186.941609252201</v>
      </c>
      <c r="F39" s="57">
        <f xml:space="preserve"> INPUTS│Outcomes!F38</f>
        <v>31114.729238496999</v>
      </c>
      <c r="G39" s="57">
        <f xml:space="preserve"> INPUTS│Outcomes!G38</f>
        <v>31147.73</v>
      </c>
      <c r="H39" s="57">
        <f xml:space="preserve"> INPUTS│Outcomes!H38</f>
        <v>31266.5</v>
      </c>
      <c r="I39" s="57">
        <f xml:space="preserve"> INPUTS│Outcomes!I38</f>
        <v>31373.7</v>
      </c>
      <c r="J39" s="57">
        <f xml:space="preserve"> INPUTS│Outcomes!J38</f>
        <v>31460.6</v>
      </c>
      <c r="K39" s="57">
        <f xml:space="preserve"> INPUTS│Outcomes!K38</f>
        <v>31549.996711005999</v>
      </c>
      <c r="L39" s="57">
        <f xml:space="preserve"> INPUTS│Outcomes!L38</f>
        <v>0</v>
      </c>
    </row>
    <row r="40" spans="3:12" outlineLevel="1" x14ac:dyDescent="0.2">
      <c r="C40" s="8" t="s">
        <v>97</v>
      </c>
      <c r="D40" s="11" t="s">
        <v>136</v>
      </c>
      <c r="E40" s="57">
        <f xml:space="preserve"> INPUTS│Outcomes!E39</f>
        <v>41578.134806973998</v>
      </c>
      <c r="F40" s="57">
        <f xml:space="preserve"> INPUTS│Outcomes!F39</f>
        <v>41578.134806973998</v>
      </c>
      <c r="G40" s="57">
        <f xml:space="preserve"> INPUTS│Outcomes!G39</f>
        <v>41715.672245102003</v>
      </c>
      <c r="H40" s="57">
        <f xml:space="preserve"> INPUTS│Outcomes!H39</f>
        <v>41881.199636233003</v>
      </c>
      <c r="I40" s="57">
        <f xml:space="preserve"> INPUTS│Outcomes!I39</f>
        <v>42010.7</v>
      </c>
      <c r="J40" s="57">
        <f xml:space="preserve"> INPUTS│Outcomes!J39</f>
        <v>42102.877915341996</v>
      </c>
      <c r="K40" s="57">
        <f xml:space="preserve"> INPUTS│Outcomes!K39</f>
        <v>42198.05</v>
      </c>
      <c r="L40" s="57">
        <f xml:space="preserve"> INPUTS│Outcomes!L39</f>
        <v>0</v>
      </c>
    </row>
    <row r="41" spans="3:12" outlineLevel="1" x14ac:dyDescent="0.2">
      <c r="C41" s="8" t="s">
        <v>99</v>
      </c>
      <c r="D41" s="11" t="s">
        <v>136</v>
      </c>
      <c r="E41" s="57">
        <f xml:space="preserve"> INPUTS│Outcomes!E40</f>
        <v>11610.2</v>
      </c>
      <c r="F41" s="57">
        <f xml:space="preserve"> INPUTS│Outcomes!F40</f>
        <v>11645.4</v>
      </c>
      <c r="G41" s="57">
        <f xml:space="preserve"> INPUTS│Outcomes!G40</f>
        <v>11687.9</v>
      </c>
      <c r="H41" s="57">
        <f xml:space="preserve"> INPUTS│Outcomes!H40</f>
        <v>11762</v>
      </c>
      <c r="I41" s="57">
        <f xml:space="preserve"> INPUTS│Outcomes!I40</f>
        <v>11894.6</v>
      </c>
      <c r="J41" s="57">
        <f xml:space="preserve"> INPUTS│Outcomes!J40</f>
        <v>11935.02</v>
      </c>
      <c r="K41" s="57">
        <f xml:space="preserve"> INPUTS│Outcomes!K40</f>
        <v>11976.629000000001</v>
      </c>
      <c r="L41" s="57">
        <f xml:space="preserve"> INPUTS│Outcomes!L40</f>
        <v>0</v>
      </c>
    </row>
    <row r="42" spans="3:12" outlineLevel="1" x14ac:dyDescent="0.2">
      <c r="C42" s="8" t="s">
        <v>101</v>
      </c>
      <c r="D42" s="11" t="s">
        <v>136</v>
      </c>
      <c r="E42" s="57">
        <f xml:space="preserve"> INPUTS│Outcomes!E41</f>
        <v>31274.080000000002</v>
      </c>
      <c r="F42" s="57">
        <f xml:space="preserve"> INPUTS│Outcomes!F41</f>
        <v>31363.38</v>
      </c>
      <c r="G42" s="57">
        <f xml:space="preserve"> INPUTS│Outcomes!G41</f>
        <v>31404.9</v>
      </c>
      <c r="H42" s="57">
        <f xml:space="preserve"> INPUTS│Outcomes!H41</f>
        <v>31531.96</v>
      </c>
      <c r="I42" s="57">
        <f xml:space="preserve"> INPUTS│Outcomes!I41</f>
        <v>31604.71</v>
      </c>
      <c r="J42" s="57">
        <f xml:space="preserve"> INPUTS│Outcomes!J41</f>
        <v>31693.4</v>
      </c>
      <c r="K42" s="57">
        <f xml:space="preserve"> INPUTS│Outcomes!K41</f>
        <v>31790.1</v>
      </c>
      <c r="L42" s="57">
        <f xml:space="preserve"> INPUTS│Outcomes!L41</f>
        <v>0</v>
      </c>
    </row>
    <row r="43" spans="3:12" outlineLevel="1" x14ac:dyDescent="0.2">
      <c r="C43" s="8" t="s">
        <v>103</v>
      </c>
      <c r="D43" s="11" t="s">
        <v>136</v>
      </c>
      <c r="E43" s="57">
        <f xml:space="preserve"> INPUTS│Outcomes!E42</f>
        <v>16548.7132016</v>
      </c>
      <c r="F43" s="57">
        <f xml:space="preserve"> INPUTS│Outcomes!F42</f>
        <v>16568.337314220302</v>
      </c>
      <c r="G43" s="57">
        <f xml:space="preserve"> INPUTS│Outcomes!G42</f>
        <v>16595.528297397599</v>
      </c>
      <c r="H43" s="57">
        <f xml:space="preserve"> INPUTS│Outcomes!H42</f>
        <v>16613.295909999601</v>
      </c>
      <c r="I43" s="57">
        <f xml:space="preserve"> INPUTS│Outcomes!I42</f>
        <v>16636.496523473201</v>
      </c>
      <c r="J43" s="57">
        <f xml:space="preserve"> INPUTS│Outcomes!J42</f>
        <v>16682.306095550899</v>
      </c>
      <c r="K43" s="57">
        <f xml:space="preserve"> INPUTS│Outcomes!K42</f>
        <v>16728.8</v>
      </c>
      <c r="L43" s="57">
        <f xml:space="preserve"> INPUTS│Outcomes!L42</f>
        <v>0</v>
      </c>
    </row>
    <row r="44" spans="3:12" outlineLevel="1" x14ac:dyDescent="0.2">
      <c r="C44" s="8" t="s">
        <v>105</v>
      </c>
      <c r="D44" s="11" t="s">
        <v>136</v>
      </c>
      <c r="E44" s="57">
        <f xml:space="preserve"> INPUTS│Outcomes!E43</f>
        <v>6677</v>
      </c>
      <c r="F44" s="57">
        <f xml:space="preserve"> INPUTS│Outcomes!F43</f>
        <v>6708.1</v>
      </c>
      <c r="G44" s="57">
        <f xml:space="preserve"> INPUTS│Outcomes!G43</f>
        <v>6734.1</v>
      </c>
      <c r="H44" s="57">
        <f xml:space="preserve"> INPUTS│Outcomes!H43</f>
        <v>6747.6</v>
      </c>
      <c r="I44" s="57">
        <f xml:space="preserve"> INPUTS│Outcomes!I43</f>
        <v>6768.3</v>
      </c>
      <c r="J44" s="57">
        <f xml:space="preserve"> INPUTS│Outcomes!J43</f>
        <v>6828.07</v>
      </c>
      <c r="K44" s="57">
        <f xml:space="preserve"> INPUTS│Outcomes!K43</f>
        <v>6848</v>
      </c>
      <c r="L44" s="57">
        <f xml:space="preserve"> INPUTS│Outcomes!L43</f>
        <v>0</v>
      </c>
    </row>
    <row r="45" spans="3:12" outlineLevel="1" x14ac:dyDescent="0.2">
      <c r="C45" s="8" t="s">
        <v>107</v>
      </c>
      <c r="D45" s="11" t="s">
        <v>136</v>
      </c>
      <c r="E45" s="57">
        <f xml:space="preserve"> INPUTS│Outcomes!E44</f>
        <v>3270.5</v>
      </c>
      <c r="F45" s="57">
        <f xml:space="preserve"> INPUTS│Outcomes!F44</f>
        <v>3280.1</v>
      </c>
      <c r="G45" s="57">
        <f xml:space="preserve"> INPUTS│Outcomes!G44</f>
        <v>3291.8</v>
      </c>
      <c r="H45" s="57">
        <f xml:space="preserve"> INPUTS│Outcomes!H44</f>
        <v>3306.8</v>
      </c>
      <c r="I45" s="57">
        <f xml:space="preserve"> INPUTS│Outcomes!I44</f>
        <v>3324</v>
      </c>
      <c r="J45" s="57">
        <f xml:space="preserve"> INPUTS│Outcomes!J44</f>
        <v>3336.6</v>
      </c>
      <c r="K45" s="57">
        <f xml:space="preserve"> INPUTS│Outcomes!K44</f>
        <v>3348.6</v>
      </c>
      <c r="L45" s="57">
        <f xml:space="preserve"> INPUTS│Outcomes!L44</f>
        <v>0</v>
      </c>
    </row>
    <row r="46" spans="3:12" outlineLevel="1" x14ac:dyDescent="0.2">
      <c r="C46" s="8" t="s">
        <v>111</v>
      </c>
      <c r="D46" s="11" t="s">
        <v>136</v>
      </c>
      <c r="E46" s="57">
        <f xml:space="preserve"> INPUTS│Outcomes!E45</f>
        <v>14397.9</v>
      </c>
      <c r="F46" s="57">
        <f xml:space="preserve"> INPUTS│Outcomes!F45</f>
        <v>14437.9</v>
      </c>
      <c r="G46" s="57">
        <f xml:space="preserve"> INPUTS│Outcomes!G45</f>
        <v>14497</v>
      </c>
      <c r="H46" s="57">
        <f xml:space="preserve"> INPUTS│Outcomes!H45</f>
        <v>14528.47</v>
      </c>
      <c r="I46" s="57">
        <f xml:space="preserve"> INPUTS│Outcomes!I45</f>
        <v>14557.06</v>
      </c>
      <c r="J46" s="57">
        <f xml:space="preserve"> INPUTS│Outcomes!J45</f>
        <v>14620.7</v>
      </c>
      <c r="K46" s="57">
        <f xml:space="preserve"> INPUTS│Outcomes!K45</f>
        <v>14652.4</v>
      </c>
      <c r="L46" s="57">
        <f xml:space="preserve"> INPUTS│Outcomes!L45</f>
        <v>0</v>
      </c>
    </row>
    <row r="47" spans="3:12" outlineLevel="1" x14ac:dyDescent="0.2">
      <c r="C47" s="8" t="s">
        <v>113</v>
      </c>
      <c r="D47" s="11" t="s">
        <v>136</v>
      </c>
      <c r="E47" s="57">
        <f xml:space="preserve"> INPUTS│Outcomes!E46</f>
        <v>8319.86</v>
      </c>
      <c r="F47" s="57">
        <f xml:space="preserve"> INPUTS│Outcomes!F46</f>
        <v>8333.9500000000007</v>
      </c>
      <c r="G47" s="57">
        <f xml:space="preserve"> INPUTS│Outcomes!G46</f>
        <v>8365.7900000000009</v>
      </c>
      <c r="H47" s="57">
        <f xml:space="preserve"> INPUTS│Outcomes!H46</f>
        <v>8386.09</v>
      </c>
      <c r="I47" s="57">
        <f xml:space="preserve"> INPUTS│Outcomes!I46</f>
        <v>8433.1</v>
      </c>
      <c r="J47" s="57">
        <f xml:space="preserve"> INPUTS│Outcomes!J46</f>
        <v>8490.91</v>
      </c>
      <c r="K47" s="57">
        <f xml:space="preserve"> INPUTS│Outcomes!K46</f>
        <v>8529.8700000000008</v>
      </c>
      <c r="L47" s="57">
        <f xml:space="preserve"> INPUTS│Outcomes!L46</f>
        <v>0</v>
      </c>
    </row>
    <row r="48" spans="3:12" outlineLevel="1" x14ac:dyDescent="0.2">
      <c r="C48" s="8" t="s">
        <v>109</v>
      </c>
      <c r="D48" s="11" t="s">
        <v>136</v>
      </c>
      <c r="E48" s="57">
        <f xml:space="preserve"> INPUTS│Outcomes!E47</f>
        <v>3443.9</v>
      </c>
      <c r="F48" s="57">
        <f xml:space="preserve"> INPUTS│Outcomes!F47</f>
        <v>3458.6</v>
      </c>
      <c r="G48" s="57">
        <f xml:space="preserve"> INPUTS│Outcomes!G47</f>
        <v>3465.7</v>
      </c>
      <c r="H48" s="57">
        <f xml:space="preserve"> INPUTS│Outcomes!H47</f>
        <v>3484.3</v>
      </c>
      <c r="I48" s="57">
        <f xml:space="preserve"> INPUTS│Outcomes!I47</f>
        <v>3474.8</v>
      </c>
      <c r="J48" s="57">
        <f xml:space="preserve"> INPUTS│Outcomes!J47</f>
        <v>3481.05</v>
      </c>
      <c r="K48" s="57">
        <f xml:space="preserve"> INPUTS│Outcomes!K47</f>
        <v>3499.72</v>
      </c>
      <c r="L48" s="57">
        <f xml:space="preserve"> INPUTS│Outcomes!L47</f>
        <v>0</v>
      </c>
    </row>
    <row r="49" spans="2:16" outlineLevel="1" x14ac:dyDescent="0.2"/>
    <row r="50" spans="2:16" outlineLevel="1" x14ac:dyDescent="0.2">
      <c r="C50" s="13" t="s">
        <v>257</v>
      </c>
      <c r="D50" s="14" t="s">
        <v>136</v>
      </c>
      <c r="E50" s="17">
        <f>SUM(E32:E48)</f>
        <v>339230.8272665781</v>
      </c>
      <c r="F50" s="17">
        <f t="shared" ref="F50:L50" si="3">SUM(F32:F48)</f>
        <v>339809.97888398485</v>
      </c>
      <c r="G50" s="17">
        <f t="shared" si="3"/>
        <v>340541.50041117665</v>
      </c>
      <c r="H50" s="17">
        <f t="shared" si="3"/>
        <v>341668.72381699906</v>
      </c>
      <c r="I50" s="17">
        <f t="shared" si="3"/>
        <v>342875.59597421001</v>
      </c>
      <c r="J50" s="17">
        <f t="shared" si="3"/>
        <v>343864.86581189581</v>
      </c>
      <c r="K50" s="17">
        <f t="shared" si="3"/>
        <v>345034.06106600893</v>
      </c>
      <c r="L50" s="17">
        <f t="shared" si="3"/>
        <v>0</v>
      </c>
    </row>
    <row r="51" spans="2:16" outlineLevel="1" x14ac:dyDescent="0.2"/>
    <row r="52" spans="2:16" ht="13.5" outlineLevel="1" x14ac:dyDescent="0.25">
      <c r="B52" s="35" t="s">
        <v>494</v>
      </c>
      <c r="C52" s="35"/>
      <c r="D52" s="32"/>
      <c r="E52" s="33"/>
      <c r="F52" s="33"/>
      <c r="G52" s="33"/>
      <c r="H52" s="33"/>
      <c r="I52" s="33"/>
      <c r="J52" s="33"/>
      <c r="K52" s="33"/>
      <c r="L52" s="33"/>
      <c r="M52" s="33"/>
      <c r="N52" s="33"/>
      <c r="O52" s="63"/>
      <c r="P52" s="33"/>
    </row>
    <row r="53" spans="2:16" outlineLevel="1" x14ac:dyDescent="0.2"/>
    <row r="54" spans="2:16" ht="30" customHeight="1" outlineLevel="1" x14ac:dyDescent="0.2">
      <c r="N54" s="55" t="s">
        <v>492</v>
      </c>
      <c r="O54" s="56" t="s">
        <v>495</v>
      </c>
    </row>
    <row r="55" spans="2:16" outlineLevel="1" x14ac:dyDescent="0.2">
      <c r="C55" s="8" t="s">
        <v>79</v>
      </c>
      <c r="D55" s="11" t="s">
        <v>144</v>
      </c>
      <c r="E55" s="277">
        <f t="shared" ref="E55:L64" si="4" xml:space="preserve"> IFERROR( E10 * 1000 / E32, 0 )</f>
        <v>4.9766789928922526</v>
      </c>
      <c r="F55" s="277">
        <f t="shared" si="4"/>
        <v>5.0614703307160802</v>
      </c>
      <c r="G55" s="277">
        <f t="shared" si="4"/>
        <v>5.0399949661276198</v>
      </c>
      <c r="H55" s="277">
        <f t="shared" si="4"/>
        <v>4.7832208470021644</v>
      </c>
      <c r="I55" s="277">
        <f t="shared" si="4"/>
        <v>4.819694033438843</v>
      </c>
      <c r="J55" s="277">
        <f t="shared" si="4"/>
        <v>4.7543379494607576</v>
      </c>
      <c r="K55" s="277">
        <f t="shared" si="4"/>
        <v>4.9564129941698409</v>
      </c>
      <c r="L55" s="277">
        <f t="shared" si="4"/>
        <v>0</v>
      </c>
      <c r="N55" s="15">
        <f t="shared" ref="N55:N70" si="5" xml:space="preserve"> INDEX( E55:L55, 1, MATCH( Year, $E$2:$L$2, 0 ) ) - E55</f>
        <v>-2.0265998722411638E-2</v>
      </c>
      <c r="O55" s="62">
        <f t="shared" ref="O55:O70" si="6" xml:space="preserve"> IF( E55 = 0, "-", N55 / E55 )</f>
        <v>-4.0721932741403979E-3</v>
      </c>
    </row>
    <row r="56" spans="2:16" outlineLevel="1" x14ac:dyDescent="0.2">
      <c r="C56" s="8" t="s">
        <v>81</v>
      </c>
      <c r="D56" s="11" t="s">
        <v>144</v>
      </c>
      <c r="E56" s="277">
        <f t="shared" si="4"/>
        <v>6.7877042647204657</v>
      </c>
      <c r="F56" s="277">
        <f t="shared" si="4"/>
        <v>6.7508734803646018</v>
      </c>
      <c r="G56" s="277">
        <f t="shared" si="4"/>
        <v>6.5817791188364563</v>
      </c>
      <c r="H56" s="277">
        <f t="shared" si="4"/>
        <v>6.5738784640238599</v>
      </c>
      <c r="I56" s="277">
        <f t="shared" si="4"/>
        <v>6.3645532513895144</v>
      </c>
      <c r="J56" s="277">
        <f t="shared" si="4"/>
        <v>6.2633257238105591</v>
      </c>
      <c r="K56" s="277">
        <f t="shared" si="4"/>
        <v>6.132887673452851</v>
      </c>
      <c r="L56" s="277">
        <f t="shared" si="4"/>
        <v>0</v>
      </c>
      <c r="N56" s="15">
        <f t="shared" si="5"/>
        <v>-0.65481659126761471</v>
      </c>
      <c r="O56" s="62">
        <f t="shared" si="6"/>
        <v>-9.647099604369426E-2</v>
      </c>
    </row>
    <row r="57" spans="2:16" outlineLevel="1" x14ac:dyDescent="0.2">
      <c r="C57" s="8" t="s">
        <v>84</v>
      </c>
      <c r="D57" s="11" t="s">
        <v>144</v>
      </c>
      <c r="E57" s="277">
        <f t="shared" si="4"/>
        <v>5.4838430187560885</v>
      </c>
      <c r="F57" s="277">
        <f t="shared" si="4"/>
        <v>5.4867260349812907</v>
      </c>
      <c r="G57" s="277">
        <f t="shared" si="4"/>
        <v>5.5021149105986158</v>
      </c>
      <c r="H57" s="277">
        <f t="shared" si="4"/>
        <v>4.4892569440049161</v>
      </c>
      <c r="I57" s="277">
        <f t="shared" si="4"/>
        <v>5.5195802363723656</v>
      </c>
      <c r="J57" s="277">
        <f t="shared" si="4"/>
        <v>5.5660492517336975</v>
      </c>
      <c r="K57" s="277">
        <f t="shared" si="4"/>
        <v>5.8599585931543228</v>
      </c>
      <c r="L57" s="277">
        <f t="shared" si="4"/>
        <v>0</v>
      </c>
      <c r="N57" s="15">
        <f t="shared" si="5"/>
        <v>0.37611557439823429</v>
      </c>
      <c r="O57" s="62">
        <f t="shared" si="6"/>
        <v>6.8586130768482384E-2</v>
      </c>
    </row>
    <row r="58" spans="2:16" outlineLevel="1" x14ac:dyDescent="0.2">
      <c r="C58" s="8" t="s">
        <v>86</v>
      </c>
      <c r="D58" s="11" t="s">
        <v>144</v>
      </c>
      <c r="E58" s="277">
        <f t="shared" si="4"/>
        <v>7.473619163449011</v>
      </c>
      <c r="F58" s="277">
        <f t="shared" si="4"/>
        <v>7.5125912622496385</v>
      </c>
      <c r="G58" s="277">
        <f t="shared" si="4"/>
        <v>7.696981262876661</v>
      </c>
      <c r="H58" s="277">
        <f t="shared" si="4"/>
        <v>7.6504429244660459</v>
      </c>
      <c r="I58" s="277">
        <f t="shared" si="4"/>
        <v>7.8217008615880497</v>
      </c>
      <c r="J58" s="277">
        <f t="shared" si="4"/>
        <v>7.8422821770524198</v>
      </c>
      <c r="K58" s="277">
        <f t="shared" si="4"/>
        <v>7.6996654156567033</v>
      </c>
      <c r="L58" s="277">
        <f t="shared" si="4"/>
        <v>0</v>
      </c>
      <c r="N58" s="15">
        <f t="shared" si="5"/>
        <v>0.22604625220769226</v>
      </c>
      <c r="O58" s="62">
        <f t="shared" si="6"/>
        <v>3.0245888539947204E-2</v>
      </c>
    </row>
    <row r="59" spans="2:16" outlineLevel="1" x14ac:dyDescent="0.2">
      <c r="C59" s="8" t="s">
        <v>88</v>
      </c>
      <c r="D59" s="11" t="s">
        <v>144</v>
      </c>
      <c r="E59" s="277">
        <f t="shared" si="4"/>
        <v>9.4893333819986214</v>
      </c>
      <c r="F59" s="277">
        <f t="shared" si="4"/>
        <v>9.4943222013381039</v>
      </c>
      <c r="G59" s="277">
        <f t="shared" si="4"/>
        <v>9.5209513682576237</v>
      </c>
      <c r="H59" s="277">
        <f t="shared" si="4"/>
        <v>9.3333074305739672</v>
      </c>
      <c r="I59" s="277">
        <f t="shared" si="4"/>
        <v>9.2687113546228481</v>
      </c>
      <c r="J59" s="277">
        <f t="shared" si="4"/>
        <v>9.4375039600856478</v>
      </c>
      <c r="K59" s="277">
        <f t="shared" si="4"/>
        <v>9.0647717467195612</v>
      </c>
      <c r="L59" s="277">
        <f t="shared" si="4"/>
        <v>0</v>
      </c>
      <c r="N59" s="15">
        <f t="shared" si="5"/>
        <v>-0.42456163527906021</v>
      </c>
      <c r="O59" s="62">
        <f t="shared" si="6"/>
        <v>-4.4740933655514591E-2</v>
      </c>
    </row>
    <row r="60" spans="2:16" outlineLevel="1" x14ac:dyDescent="0.2">
      <c r="C60" s="8" t="s">
        <v>90</v>
      </c>
      <c r="D60" s="11" t="s">
        <v>144</v>
      </c>
      <c r="E60" s="277">
        <f t="shared" si="4"/>
        <v>5.8397306046830337</v>
      </c>
      <c r="F60" s="277">
        <f t="shared" si="4"/>
        <v>5.8249432291345924</v>
      </c>
      <c r="G60" s="277">
        <f t="shared" si="4"/>
        <v>5.8198286703682536</v>
      </c>
      <c r="H60" s="277">
        <f t="shared" si="4"/>
        <v>5.7061419680173451</v>
      </c>
      <c r="I60" s="277">
        <f t="shared" si="4"/>
        <v>5.6948410275031502</v>
      </c>
      <c r="J60" s="277">
        <f t="shared" si="4"/>
        <v>5.6194811605330992</v>
      </c>
      <c r="K60" s="277">
        <f t="shared" si="4"/>
        <v>5.6632236631823778</v>
      </c>
      <c r="L60" s="277">
        <f t="shared" si="4"/>
        <v>0</v>
      </c>
      <c r="N60" s="15">
        <f t="shared" si="5"/>
        <v>-0.17650694150065593</v>
      </c>
      <c r="O60" s="62">
        <f t="shared" si="6"/>
        <v>-3.0225185620567904E-2</v>
      </c>
    </row>
    <row r="61" spans="2:16" outlineLevel="1" x14ac:dyDescent="0.2">
      <c r="C61" s="8" t="s">
        <v>93</v>
      </c>
      <c r="D61" s="11" t="s">
        <v>144</v>
      </c>
      <c r="E61" s="277">
        <f t="shared" si="4"/>
        <v>5.9168902086541761</v>
      </c>
      <c r="F61" s="277">
        <f t="shared" si="4"/>
        <v>6.150577539158216</v>
      </c>
      <c r="G61" s="277">
        <f t="shared" si="4"/>
        <v>5.9226467103898983</v>
      </c>
      <c r="H61" s="277">
        <f t="shared" si="4"/>
        <v>6.0639916978743145</v>
      </c>
      <c r="I61" s="277">
        <f t="shared" si="4"/>
        <v>6.3524313140231197</v>
      </c>
      <c r="J61" s="277">
        <f t="shared" si="4"/>
        <v>6.3775425403229313</v>
      </c>
      <c r="K61" s="277">
        <f t="shared" si="4"/>
        <v>7.3103922556333396</v>
      </c>
      <c r="L61" s="277">
        <f t="shared" si="4"/>
        <v>0</v>
      </c>
      <c r="N61" s="15">
        <f t="shared" si="5"/>
        <v>1.3935020469791635</v>
      </c>
      <c r="O61" s="62">
        <f t="shared" si="6"/>
        <v>0.23551257465298175</v>
      </c>
    </row>
    <row r="62" spans="2:16" outlineLevel="1" x14ac:dyDescent="0.2">
      <c r="C62" s="8" t="s">
        <v>95</v>
      </c>
      <c r="D62" s="11" t="s">
        <v>144</v>
      </c>
      <c r="E62" s="277">
        <f t="shared" si="4"/>
        <v>20.699138618517676</v>
      </c>
      <c r="F62" s="277">
        <f t="shared" si="4"/>
        <v>20.707234668872953</v>
      </c>
      <c r="G62" s="277">
        <f t="shared" si="4"/>
        <v>20.995430485624475</v>
      </c>
      <c r="H62" s="277">
        <f t="shared" si="4"/>
        <v>20.547870724257592</v>
      </c>
      <c r="I62" s="277">
        <f t="shared" si="4"/>
        <v>21.583436888475568</v>
      </c>
      <c r="J62" s="277">
        <f t="shared" si="4"/>
        <v>22.079998474282117</v>
      </c>
      <c r="K62" s="277">
        <f t="shared" si="4"/>
        <v>21.882411155978417</v>
      </c>
      <c r="L62" s="277">
        <f t="shared" si="4"/>
        <v>0</v>
      </c>
      <c r="N62" s="15">
        <f t="shared" si="5"/>
        <v>1.1832725374607413</v>
      </c>
      <c r="O62" s="62">
        <f t="shared" si="6"/>
        <v>5.7165303313741415E-2</v>
      </c>
    </row>
    <row r="63" spans="2:16" outlineLevel="1" x14ac:dyDescent="0.2">
      <c r="C63" s="8" t="s">
        <v>97</v>
      </c>
      <c r="D63" s="11" t="s">
        <v>144</v>
      </c>
      <c r="E63" s="277">
        <f t="shared" si="4"/>
        <v>11.000088558835602</v>
      </c>
      <c r="F63" s="277">
        <f t="shared" si="4"/>
        <v>10.869482615909197</v>
      </c>
      <c r="G63" s="277">
        <f t="shared" si="4"/>
        <v>10.873936212325514</v>
      </c>
      <c r="H63" s="277">
        <f t="shared" si="4"/>
        <v>10.789015024889032</v>
      </c>
      <c r="I63" s="277">
        <f t="shared" si="4"/>
        <v>10.454960224634464</v>
      </c>
      <c r="J63" s="277">
        <f t="shared" si="4"/>
        <v>10.771790542241561</v>
      </c>
      <c r="K63" s="277">
        <f t="shared" si="4"/>
        <v>10.805577297917344</v>
      </c>
      <c r="L63" s="277">
        <f t="shared" si="4"/>
        <v>0</v>
      </c>
      <c r="N63" s="15">
        <f t="shared" si="5"/>
        <v>-0.19451126091825799</v>
      </c>
      <c r="O63" s="62">
        <f t="shared" si="6"/>
        <v>-1.7682699541725116E-2</v>
      </c>
    </row>
    <row r="64" spans="2:16" outlineLevel="1" x14ac:dyDescent="0.2">
      <c r="C64" s="8" t="s">
        <v>99</v>
      </c>
      <c r="D64" s="11" t="s">
        <v>144</v>
      </c>
      <c r="E64" s="277">
        <f t="shared" si="4"/>
        <v>5.9017071196017294</v>
      </c>
      <c r="F64" s="277">
        <f t="shared" si="4"/>
        <v>5.9534236694317073</v>
      </c>
      <c r="G64" s="277">
        <f t="shared" si="4"/>
        <v>5.8676066701460483</v>
      </c>
      <c r="H64" s="277">
        <f t="shared" si="4"/>
        <v>5.8093861588165279</v>
      </c>
      <c r="I64" s="277">
        <f t="shared" si="4"/>
        <v>5.7463050459872544</v>
      </c>
      <c r="J64" s="277">
        <f t="shared" si="4"/>
        <v>5.673220488947651</v>
      </c>
      <c r="K64" s="277">
        <f t="shared" si="4"/>
        <v>5.543296030961633</v>
      </c>
      <c r="L64" s="277">
        <f t="shared" si="4"/>
        <v>0</v>
      </c>
      <c r="N64" s="15">
        <f t="shared" si="5"/>
        <v>-0.35841108864009641</v>
      </c>
      <c r="O64" s="62">
        <f t="shared" si="6"/>
        <v>-6.0730070363824391E-2</v>
      </c>
    </row>
    <row r="65" spans="2:16" outlineLevel="1" x14ac:dyDescent="0.2">
      <c r="C65" s="8" t="s">
        <v>101</v>
      </c>
      <c r="D65" s="11" t="s">
        <v>144</v>
      </c>
      <c r="E65" s="277">
        <f t="shared" ref="E65:L71" si="7" xml:space="preserve"> IFERROR( E20 * 1000 / E42, 0 )</f>
        <v>8.4613200452259498</v>
      </c>
      <c r="F65" s="277">
        <f t="shared" si="7"/>
        <v>8.999986608586191</v>
      </c>
      <c r="G65" s="277">
        <f t="shared" si="7"/>
        <v>9.1837730970447602</v>
      </c>
      <c r="H65" s="277">
        <f t="shared" si="7"/>
        <v>9.0422840623914276</v>
      </c>
      <c r="I65" s="277">
        <f t="shared" si="7"/>
        <v>9.3391143282124727</v>
      </c>
      <c r="J65" s="277">
        <f t="shared" si="7"/>
        <v>9.4745278196722342</v>
      </c>
      <c r="K65" s="277">
        <f t="shared" si="7"/>
        <v>9.1151018713373038</v>
      </c>
      <c r="L65" s="277">
        <f t="shared" si="7"/>
        <v>0</v>
      </c>
      <c r="N65" s="15">
        <f t="shared" si="5"/>
        <v>0.65378182611135394</v>
      </c>
      <c r="O65" s="62">
        <f t="shared" si="6"/>
        <v>7.7267119387622152E-2</v>
      </c>
    </row>
    <row r="66" spans="2:16" outlineLevel="1" x14ac:dyDescent="0.2">
      <c r="C66" s="8" t="s">
        <v>103</v>
      </c>
      <c r="D66" s="11" t="s">
        <v>144</v>
      </c>
      <c r="E66" s="277">
        <f t="shared" si="7"/>
        <v>11.45032498495886</v>
      </c>
      <c r="F66" s="277">
        <f t="shared" si="7"/>
        <v>10.908860065282333</v>
      </c>
      <c r="G66" s="277">
        <f t="shared" si="7"/>
        <v>11.056321579090312</v>
      </c>
      <c r="H66" s="277">
        <f t="shared" si="7"/>
        <v>10.88826684241034</v>
      </c>
      <c r="I66" s="277">
        <f t="shared" si="7"/>
        <v>10.398034826006896</v>
      </c>
      <c r="J66" s="277">
        <f t="shared" si="7"/>
        <v>10.622032648547224</v>
      </c>
      <c r="K66" s="277">
        <f t="shared" si="7"/>
        <v>11.720889107515424</v>
      </c>
      <c r="L66" s="277">
        <f t="shared" si="7"/>
        <v>0</v>
      </c>
      <c r="N66" s="15">
        <f t="shared" si="5"/>
        <v>0.27056412255656426</v>
      </c>
      <c r="O66" s="62">
        <f t="shared" si="6"/>
        <v>2.3629383699761985E-2</v>
      </c>
    </row>
    <row r="67" spans="2:16" outlineLevel="1" x14ac:dyDescent="0.2">
      <c r="C67" s="8" t="s">
        <v>105</v>
      </c>
      <c r="D67" s="11" t="s">
        <v>144</v>
      </c>
      <c r="E67" s="277">
        <f t="shared" si="7"/>
        <v>6.3052268983076232</v>
      </c>
      <c r="F67" s="277">
        <f t="shared" si="7"/>
        <v>6.5125542019309339</v>
      </c>
      <c r="G67" s="277">
        <f t="shared" si="7"/>
        <v>6.6998077080622194</v>
      </c>
      <c r="H67" s="277">
        <f t="shared" si="7"/>
        <v>6.5535626092563577</v>
      </c>
      <c r="I67" s="277">
        <f t="shared" si="7"/>
        <v>6.8584430359174382</v>
      </c>
      <c r="J67" s="277">
        <f t="shared" si="7"/>
        <v>6.8306271025340983</v>
      </c>
      <c r="K67" s="277">
        <f t="shared" si="7"/>
        <v>6.0908294392523361</v>
      </c>
      <c r="L67" s="277">
        <f t="shared" si="7"/>
        <v>0</v>
      </c>
      <c r="N67" s="15">
        <f t="shared" si="5"/>
        <v>-0.21439745905528707</v>
      </c>
      <c r="O67" s="62">
        <f t="shared" si="6"/>
        <v>-3.4003131451595052E-2</v>
      </c>
    </row>
    <row r="68" spans="2:16" outlineLevel="1" x14ac:dyDescent="0.2">
      <c r="C68" s="8" t="s">
        <v>107</v>
      </c>
      <c r="D68" s="11" t="s">
        <v>144</v>
      </c>
      <c r="E68" s="277">
        <f t="shared" si="7"/>
        <v>10.41736737501911</v>
      </c>
      <c r="F68" s="277">
        <f t="shared" si="7"/>
        <v>8.9936282430413712</v>
      </c>
      <c r="G68" s="277">
        <f t="shared" si="7"/>
        <v>8.7642019563764499</v>
      </c>
      <c r="H68" s="277">
        <f t="shared" si="7"/>
        <v>8.5369541550743921</v>
      </c>
      <c r="I68" s="277">
        <f t="shared" si="7"/>
        <v>9.1365824308062571</v>
      </c>
      <c r="J68" s="277">
        <f t="shared" si="7"/>
        <v>9.8513456812323934</v>
      </c>
      <c r="K68" s="277">
        <f t="shared" si="7"/>
        <v>8.3975392701427456</v>
      </c>
      <c r="L68" s="277">
        <f t="shared" si="7"/>
        <v>0</v>
      </c>
      <c r="N68" s="15">
        <f t="shared" si="5"/>
        <v>-2.019828104876364</v>
      </c>
      <c r="O68" s="62">
        <f t="shared" si="6"/>
        <v>-0.19389045544461839</v>
      </c>
    </row>
    <row r="69" spans="2:16" outlineLevel="1" x14ac:dyDescent="0.2">
      <c r="C69" s="8" t="s">
        <v>111</v>
      </c>
      <c r="D69" s="11" t="s">
        <v>144</v>
      </c>
      <c r="E69" s="277">
        <f t="shared" si="7"/>
        <v>6.4703880427006721</v>
      </c>
      <c r="F69" s="277">
        <f t="shared" si="7"/>
        <v>6.4107792343122343</v>
      </c>
      <c r="G69" s="277">
        <f t="shared" si="7"/>
        <v>6.3773549802832585</v>
      </c>
      <c r="H69" s="277">
        <f t="shared" si="7"/>
        <v>6.064489943130364</v>
      </c>
      <c r="I69" s="277">
        <f t="shared" si="7"/>
        <v>6.0881240114193806</v>
      </c>
      <c r="J69" s="277">
        <f t="shared" si="7"/>
        <v>5.9976608507116618</v>
      </c>
      <c r="K69" s="277">
        <f t="shared" si="7"/>
        <v>5.9294040566733095</v>
      </c>
      <c r="L69" s="277">
        <f t="shared" si="7"/>
        <v>0</v>
      </c>
      <c r="N69" s="15">
        <f t="shared" si="5"/>
        <v>-0.54098398602736264</v>
      </c>
      <c r="O69" s="62">
        <f t="shared" si="6"/>
        <v>-8.3609202795441859E-2</v>
      </c>
    </row>
    <row r="70" spans="2:16" outlineLevel="1" x14ac:dyDescent="0.2">
      <c r="C70" s="8" t="s">
        <v>113</v>
      </c>
      <c r="D70" s="11" t="s">
        <v>144</v>
      </c>
      <c r="E70" s="277">
        <f t="shared" si="7"/>
        <v>9.328281966283086</v>
      </c>
      <c r="F70" s="277">
        <f t="shared" si="7"/>
        <v>9.5506207010541821</v>
      </c>
      <c r="G70" s="277">
        <f t="shared" si="7"/>
        <v>9.8912634981124192</v>
      </c>
      <c r="H70" s="277">
        <f t="shared" si="7"/>
        <v>9.911604051710702</v>
      </c>
      <c r="I70" s="277">
        <f t="shared" si="7"/>
        <v>9.9809085626875049</v>
      </c>
      <c r="J70" s="277">
        <f t="shared" si="7"/>
        <v>10.222696978297968</v>
      </c>
      <c r="K70" s="277">
        <f t="shared" si="7"/>
        <v>9.8172656793128148</v>
      </c>
      <c r="L70" s="277">
        <f t="shared" si="7"/>
        <v>0</v>
      </c>
      <c r="N70" s="15">
        <f t="shared" si="5"/>
        <v>0.48898371302972876</v>
      </c>
      <c r="O70" s="62">
        <f t="shared" si="6"/>
        <v>5.2419482472458694E-2</v>
      </c>
    </row>
    <row r="71" spans="2:16" outlineLevel="1" x14ac:dyDescent="0.2">
      <c r="C71" s="8" t="s">
        <v>109</v>
      </c>
      <c r="D71" s="11" t="s">
        <v>144</v>
      </c>
      <c r="E71" s="277">
        <f t="shared" si="7"/>
        <v>6.8933476581782278</v>
      </c>
      <c r="F71" s="277">
        <f t="shared" si="7"/>
        <v>6.9189845602266811</v>
      </c>
      <c r="G71" s="277">
        <f t="shared" si="7"/>
        <v>6.9711746544709587</v>
      </c>
      <c r="H71" s="277">
        <f t="shared" si="7"/>
        <v>6.9368309273024709</v>
      </c>
      <c r="I71" s="277">
        <f t="shared" si="7"/>
        <v>7.0047196960976166</v>
      </c>
      <c r="J71" s="277">
        <f t="shared" si="7"/>
        <v>6.9404346389738727</v>
      </c>
      <c r="K71" s="277">
        <f t="shared" si="7"/>
        <v>6.9005520441635335</v>
      </c>
      <c r="L71" s="277">
        <f t="shared" si="7"/>
        <v>0</v>
      </c>
      <c r="N71" s="15">
        <f xml:space="preserve"> INDEX( E71:L71, 1, MATCH( Year, $E$2:$L$2, 0 ) ) - E71</f>
        <v>7.2043859853057057E-3</v>
      </c>
      <c r="O71" s="62">
        <f xml:space="preserve"> IF( E71 = 0, "-", N71 / E71 )</f>
        <v>1.0451215204209908E-3</v>
      </c>
    </row>
    <row r="72" spans="2:16" outlineLevel="1" x14ac:dyDescent="0.2"/>
    <row r="73" spans="2:16" outlineLevel="1" x14ac:dyDescent="0.2">
      <c r="C73" s="13" t="s">
        <v>257</v>
      </c>
      <c r="D73" s="14" t="s">
        <v>144</v>
      </c>
      <c r="E73" s="15">
        <f t="shared" ref="E73:L73" si="8" xml:space="preserve"> IFERROR( E28 * 1000 / E50, 0 )</f>
        <v>9.1289319803514868</v>
      </c>
      <c r="F73" s="15">
        <f t="shared" si="8"/>
        <v>9.1455141668726547</v>
      </c>
      <c r="G73" s="15">
        <f t="shared" si="8"/>
        <v>9.1937804008259985</v>
      </c>
      <c r="H73" s="15">
        <f t="shared" si="8"/>
        <v>9.0356936385849362</v>
      </c>
      <c r="I73" s="15">
        <f t="shared" si="8"/>
        <v>9.1150576035580357</v>
      </c>
      <c r="J73" s="15">
        <f t="shared" si="8"/>
        <v>9.2339260384328696</v>
      </c>
      <c r="K73" s="15">
        <f t="shared" si="8"/>
        <v>9.1861300736914746</v>
      </c>
      <c r="L73" s="15">
        <f t="shared" si="8"/>
        <v>0</v>
      </c>
      <c r="N73" s="15">
        <f xml:space="preserve"> INDEX( E73:L73, 1, MATCH( Year, $E$2:$L$2, 0 ) ) - E73</f>
        <v>5.7198093339987821E-2</v>
      </c>
      <c r="O73" s="62">
        <f xml:space="preserve"> IF( E73 = 0, "-", N73 / E73 )</f>
        <v>6.2655843490889446E-3</v>
      </c>
    </row>
    <row r="75" spans="2:16" ht="13.5" x14ac:dyDescent="0.25">
      <c r="B75" s="9" t="s">
        <v>261</v>
      </c>
      <c r="C75" s="9"/>
      <c r="D75" s="10"/>
      <c r="E75" s="9"/>
      <c r="F75" s="9"/>
      <c r="G75" s="9"/>
      <c r="H75" s="9"/>
      <c r="I75" s="9"/>
      <c r="J75" s="9"/>
      <c r="K75" s="9"/>
      <c r="L75" s="9"/>
      <c r="M75" s="9"/>
      <c r="N75" s="9"/>
      <c r="O75" s="60"/>
      <c r="P75" s="9"/>
    </row>
    <row r="76" spans="2:16" outlineLevel="1" x14ac:dyDescent="0.2"/>
    <row r="77" spans="2:16" ht="13.5" outlineLevel="1" x14ac:dyDescent="0.25">
      <c r="B77" s="35" t="s">
        <v>262</v>
      </c>
      <c r="C77" s="35"/>
      <c r="D77" s="32"/>
      <c r="E77" s="33"/>
      <c r="F77" s="33"/>
      <c r="G77" s="33"/>
      <c r="H77" s="33"/>
      <c r="I77" s="33"/>
      <c r="J77" s="33"/>
      <c r="K77" s="33"/>
      <c r="L77" s="33"/>
      <c r="M77" s="33"/>
      <c r="N77" s="33"/>
      <c r="O77" s="63"/>
      <c r="P77" s="33"/>
    </row>
    <row r="78" spans="2:16" outlineLevel="1" x14ac:dyDescent="0.2"/>
    <row r="79" spans="2:16" ht="30" customHeight="1" outlineLevel="1" x14ac:dyDescent="0.2">
      <c r="N79" s="55" t="s">
        <v>492</v>
      </c>
      <c r="O79" s="56" t="s">
        <v>495</v>
      </c>
    </row>
    <row r="80" spans="2:16" outlineLevel="1" x14ac:dyDescent="0.2">
      <c r="C80" s="8" t="s">
        <v>79</v>
      </c>
      <c r="D80" s="11" t="s">
        <v>138</v>
      </c>
      <c r="E80" s="277">
        <f xml:space="preserve"> INPUTS│Outcomes!E55</f>
        <v>13.8</v>
      </c>
      <c r="F80" s="277">
        <f xml:space="preserve"> INPUTS│Outcomes!F55</f>
        <v>19.8</v>
      </c>
      <c r="G80" s="277">
        <f xml:space="preserve"> INPUTS│Outcomes!G55</f>
        <v>19.170000000000002</v>
      </c>
      <c r="H80" s="277">
        <f xml:space="preserve"> INPUTS│Outcomes!H55</f>
        <v>8.1999999999999993</v>
      </c>
      <c r="I80" s="277">
        <f xml:space="preserve"> INPUTS│Outcomes!I55</f>
        <v>11.72</v>
      </c>
      <c r="J80" s="277">
        <f xml:space="preserve"> INPUTS│Outcomes!J55</f>
        <v>7.4</v>
      </c>
      <c r="K80" s="277">
        <f xml:space="preserve"> INPUTS│Outcomes!K55</f>
        <v>8.73</v>
      </c>
      <c r="L80" s="277">
        <f xml:space="preserve"> INPUTS│Outcomes!L55</f>
        <v>0</v>
      </c>
      <c r="N80" s="15">
        <f t="shared" ref="N80:N96" si="9" xml:space="preserve"> INDEX( E80:L80, 1, MATCH( Year, $E$2:$L$2, 0 ) ) - E80</f>
        <v>-5.07</v>
      </c>
      <c r="O80" s="279">
        <f t="shared" ref="O80:O96" si="10" xml:space="preserve"> IF( E80 = 0, "-", N80 / E80 )</f>
        <v>-0.36739130434782608</v>
      </c>
    </row>
    <row r="81" spans="3:15" outlineLevel="1" x14ac:dyDescent="0.2">
      <c r="C81" s="8" t="s">
        <v>81</v>
      </c>
      <c r="D81" s="11" t="s">
        <v>138</v>
      </c>
      <c r="E81" s="277">
        <f xml:space="preserve"> INPUTS│Outcomes!E56</f>
        <v>53</v>
      </c>
      <c r="F81" s="277">
        <f xml:space="preserve"> INPUTS│Outcomes!F56</f>
        <v>50.6</v>
      </c>
      <c r="G81" s="277">
        <f xml:space="preserve"> INPUTS│Outcomes!G56</f>
        <v>23</v>
      </c>
      <c r="H81" s="277">
        <f xml:space="preserve"> INPUTS│Outcomes!H56</f>
        <v>21.7</v>
      </c>
      <c r="I81" s="277">
        <f xml:space="preserve"> INPUTS│Outcomes!I56</f>
        <v>12.15</v>
      </c>
      <c r="J81" s="277">
        <f xml:space="preserve"> INPUTS│Outcomes!J56</f>
        <v>43.3</v>
      </c>
      <c r="K81" s="277">
        <f xml:space="preserve"> INPUTS│Outcomes!K56</f>
        <v>16</v>
      </c>
      <c r="L81" s="277">
        <f xml:space="preserve"> INPUTS│Outcomes!L56</f>
        <v>0</v>
      </c>
      <c r="N81" s="15">
        <f t="shared" si="9"/>
        <v>-37</v>
      </c>
      <c r="O81" s="279">
        <f t="shared" si="10"/>
        <v>-0.69811320754716977</v>
      </c>
    </row>
    <row r="82" spans="3:15" outlineLevel="1" x14ac:dyDescent="0.2">
      <c r="C82" s="8" t="s">
        <v>84</v>
      </c>
      <c r="D82" s="11" t="s">
        <v>138</v>
      </c>
      <c r="E82" s="277">
        <f xml:space="preserve"> INPUTS│Outcomes!E57</f>
        <v>15.600000000000001</v>
      </c>
      <c r="F82" s="277">
        <f xml:space="preserve"> INPUTS│Outcomes!F57</f>
        <v>9</v>
      </c>
      <c r="G82" s="277">
        <f xml:space="preserve"> INPUTS│Outcomes!G57</f>
        <v>10.199999999999999</v>
      </c>
      <c r="H82" s="277">
        <f xml:space="preserve"> INPUTS│Outcomes!H57</f>
        <v>5.2166666666666668</v>
      </c>
      <c r="I82" s="277">
        <f xml:space="preserve"> INPUTS│Outcomes!I57</f>
        <v>21</v>
      </c>
      <c r="J82" s="277">
        <f xml:space="preserve"> INPUTS│Outcomes!J57</f>
        <v>4.1666667000000004</v>
      </c>
      <c r="K82" s="277">
        <f xml:space="preserve"> INPUTS│Outcomes!K57</f>
        <v>29.166666666666668</v>
      </c>
      <c r="L82" s="277">
        <f xml:space="preserve"> INPUTS│Outcomes!L57</f>
        <v>0</v>
      </c>
      <c r="N82" s="15">
        <f t="shared" si="9"/>
        <v>13.566666666666666</v>
      </c>
      <c r="O82" s="279">
        <f t="shared" si="10"/>
        <v>0.86965811965811957</v>
      </c>
    </row>
    <row r="83" spans="3:15" outlineLevel="1" x14ac:dyDescent="0.2">
      <c r="C83" s="8" t="s">
        <v>86</v>
      </c>
      <c r="D83" s="11" t="s">
        <v>138</v>
      </c>
      <c r="E83" s="277">
        <f xml:space="preserve"> INPUTS│Outcomes!E58</f>
        <v>6.95</v>
      </c>
      <c r="F83" s="277">
        <f xml:space="preserve"> INPUTS│Outcomes!F58</f>
        <v>4.93</v>
      </c>
      <c r="G83" s="277">
        <f xml:space="preserve"> INPUTS│Outcomes!G58</f>
        <v>3.9333333333333336</v>
      </c>
      <c r="H83" s="277">
        <f xml:space="preserve"> INPUTS│Outcomes!H58</f>
        <v>3.3330000000000002</v>
      </c>
      <c r="I83" s="277">
        <f xml:space="preserve"> INPUTS│Outcomes!I58</f>
        <v>2.4333</v>
      </c>
      <c r="J83" s="277">
        <f xml:space="preserve"> INPUTS│Outcomes!J58</f>
        <v>5.38</v>
      </c>
      <c r="K83" s="277">
        <f xml:space="preserve"> INPUTS│Outcomes!K58</f>
        <v>9.1999999999999993</v>
      </c>
      <c r="L83" s="277">
        <f xml:space="preserve"> INPUTS│Outcomes!L58</f>
        <v>0</v>
      </c>
      <c r="N83" s="15">
        <f t="shared" si="9"/>
        <v>2.2499999999999991</v>
      </c>
      <c r="O83" s="279">
        <f t="shared" si="10"/>
        <v>0.32374100719424448</v>
      </c>
    </row>
    <row r="84" spans="3:15" outlineLevel="1" x14ac:dyDescent="0.2">
      <c r="C84" s="8" t="s">
        <v>88</v>
      </c>
      <c r="D84" s="11" t="s">
        <v>138</v>
      </c>
      <c r="E84" s="277">
        <f xml:space="preserve"> INPUTS│Outcomes!E59</f>
        <v>28.799999999999997</v>
      </c>
      <c r="F84" s="277">
        <f xml:space="preserve"> INPUTS│Outcomes!F59</f>
        <v>15.600000000000001</v>
      </c>
      <c r="G84" s="277">
        <f xml:space="preserve"> INPUTS│Outcomes!G59</f>
        <v>10</v>
      </c>
      <c r="H84" s="277">
        <f xml:space="preserve"> INPUTS│Outcomes!H59</f>
        <v>11.166666666666666</v>
      </c>
      <c r="I84" s="277">
        <f xml:space="preserve"> INPUTS│Outcomes!I59</f>
        <v>10.133333333333333</v>
      </c>
      <c r="J84" s="277">
        <f xml:space="preserve"> INPUTS│Outcomes!J59</f>
        <v>34.283333333333331</v>
      </c>
      <c r="K84" s="277">
        <f xml:space="preserve"> INPUTS│Outcomes!K59</f>
        <v>18.883333333333333</v>
      </c>
      <c r="L84" s="277">
        <f xml:space="preserve"> INPUTS│Outcomes!L59</f>
        <v>0</v>
      </c>
      <c r="N84" s="15">
        <f t="shared" si="9"/>
        <v>-9.9166666666666643</v>
      </c>
      <c r="O84" s="279">
        <f t="shared" si="10"/>
        <v>-0.34432870370370366</v>
      </c>
    </row>
    <row r="85" spans="3:15" outlineLevel="1" x14ac:dyDescent="0.2">
      <c r="C85" s="8" t="s">
        <v>90</v>
      </c>
      <c r="D85" s="11" t="s">
        <v>138</v>
      </c>
      <c r="E85" s="277">
        <f xml:space="preserve"> INPUTS│Outcomes!E60</f>
        <v>13.775960619585723</v>
      </c>
      <c r="F85" s="277">
        <f xml:space="preserve"> INPUTS│Outcomes!F60</f>
        <v>12.316693754029476</v>
      </c>
      <c r="G85" s="277">
        <f xml:space="preserve"> INPUTS│Outcomes!G60</f>
        <v>18.663164303696963</v>
      </c>
      <c r="H85" s="277">
        <f xml:space="preserve"> INPUTS│Outcomes!H60</f>
        <v>20.579533772547329</v>
      </c>
      <c r="I85" s="277">
        <f xml:space="preserve"> INPUTS│Outcomes!I60</f>
        <v>10.998082859149507</v>
      </c>
      <c r="J85" s="277">
        <f xml:space="preserve"> INPUTS│Outcomes!J60</f>
        <v>26.272618654349042</v>
      </c>
      <c r="K85" s="277">
        <f xml:space="preserve"> INPUTS│Outcomes!K60</f>
        <v>7.8795756149407836</v>
      </c>
      <c r="L85" s="277">
        <f xml:space="preserve"> INPUTS│Outcomes!L60</f>
        <v>0</v>
      </c>
      <c r="N85" s="15">
        <f t="shared" si="9"/>
        <v>-5.8963850046449391</v>
      </c>
      <c r="O85" s="279">
        <f t="shared" si="10"/>
        <v>-0.4280198795183735</v>
      </c>
    </row>
    <row r="86" spans="3:15" outlineLevel="1" x14ac:dyDescent="0.2">
      <c r="C86" s="8" t="s">
        <v>93</v>
      </c>
      <c r="D86" s="11" t="s">
        <v>138</v>
      </c>
      <c r="E86" s="277">
        <f xml:space="preserve"> INPUTS│Outcomes!E61</f>
        <v>18</v>
      </c>
      <c r="F86" s="277">
        <f xml:space="preserve"> INPUTS│Outcomes!F61</f>
        <v>10.799999999999999</v>
      </c>
      <c r="G86" s="277">
        <f xml:space="preserve"> INPUTS│Outcomes!G61</f>
        <v>6</v>
      </c>
      <c r="H86" s="277">
        <f xml:space="preserve"> INPUTS│Outcomes!H61</f>
        <v>12</v>
      </c>
      <c r="I86" s="277">
        <f xml:space="preserve"> INPUTS│Outcomes!I61</f>
        <v>7</v>
      </c>
      <c r="J86" s="277">
        <f xml:space="preserve"> INPUTS│Outcomes!J61</f>
        <v>16.77</v>
      </c>
      <c r="K86" s="277">
        <f xml:space="preserve"> INPUTS│Outcomes!K61</f>
        <v>7.38</v>
      </c>
      <c r="L86" s="277">
        <f xml:space="preserve"> INPUTS│Outcomes!L61</f>
        <v>0</v>
      </c>
      <c r="N86" s="15">
        <f t="shared" si="9"/>
        <v>-10.620000000000001</v>
      </c>
      <c r="O86" s="279">
        <f t="shared" si="10"/>
        <v>-0.59000000000000008</v>
      </c>
    </row>
    <row r="87" spans="3:15" outlineLevel="1" x14ac:dyDescent="0.2">
      <c r="C87" s="8" t="s">
        <v>95</v>
      </c>
      <c r="D87" s="11" t="s">
        <v>138</v>
      </c>
      <c r="E87" s="277">
        <f xml:space="preserve"> INPUTS│Outcomes!E62</f>
        <v>13.44</v>
      </c>
      <c r="F87" s="277">
        <f xml:space="preserve"> INPUTS│Outcomes!F62</f>
        <v>11.76</v>
      </c>
      <c r="G87" s="277">
        <f xml:space="preserve"> INPUTS│Outcomes!G62</f>
        <v>11.1</v>
      </c>
      <c r="H87" s="277">
        <f xml:space="preserve"> INPUTS│Outcomes!H62</f>
        <v>15.54</v>
      </c>
      <c r="I87" s="277">
        <f xml:space="preserve"> INPUTS│Outcomes!I62</f>
        <v>10.666666666666666</v>
      </c>
      <c r="J87" s="277">
        <f xml:space="preserve"> INPUTS│Outcomes!J62</f>
        <v>28.9</v>
      </c>
      <c r="K87" s="277">
        <f xml:space="preserve"> INPUTS│Outcomes!K62</f>
        <v>22.05</v>
      </c>
      <c r="L87" s="277">
        <f xml:space="preserve"> INPUTS│Outcomes!L62</f>
        <v>0</v>
      </c>
      <c r="N87" s="15">
        <f t="shared" si="9"/>
        <v>8.6100000000000012</v>
      </c>
      <c r="O87" s="279">
        <f t="shared" si="10"/>
        <v>0.64062500000000011</v>
      </c>
    </row>
    <row r="88" spans="3:15" outlineLevel="1" x14ac:dyDescent="0.2">
      <c r="C88" s="8" t="s">
        <v>97</v>
      </c>
      <c r="D88" s="11" t="s">
        <v>138</v>
      </c>
      <c r="E88" s="277">
        <f xml:space="preserve"> INPUTS│Outcomes!E63</f>
        <v>17.916666666666668</v>
      </c>
      <c r="F88" s="277">
        <f xml:space="preserve"> INPUTS│Outcomes!F63</f>
        <v>9.85</v>
      </c>
      <c r="G88" s="277">
        <f xml:space="preserve"> INPUTS│Outcomes!G63</f>
        <v>13.416666666666666</v>
      </c>
      <c r="H88" s="277">
        <f xml:space="preserve"> INPUTS│Outcomes!H63</f>
        <v>16.7</v>
      </c>
      <c r="I88" s="277">
        <f xml:space="preserve"> INPUTS│Outcomes!I63</f>
        <v>13.55</v>
      </c>
      <c r="J88" s="277">
        <f xml:space="preserve"> INPUTS│Outcomes!J63</f>
        <v>13.15</v>
      </c>
      <c r="K88" s="277">
        <f xml:space="preserve"> INPUTS│Outcomes!K63</f>
        <v>9.1666666666666661</v>
      </c>
      <c r="L88" s="277">
        <f xml:space="preserve"> INPUTS│Outcomes!L63</f>
        <v>0</v>
      </c>
      <c r="N88" s="15">
        <f t="shared" si="9"/>
        <v>-8.7500000000000018</v>
      </c>
      <c r="O88" s="279">
        <f t="shared" si="10"/>
        <v>-0.4883720930232559</v>
      </c>
    </row>
    <row r="89" spans="3:15" outlineLevel="1" x14ac:dyDescent="0.2">
      <c r="C89" s="8" t="s">
        <v>99</v>
      </c>
      <c r="D89" s="11" t="s">
        <v>138</v>
      </c>
      <c r="E89" s="277">
        <f xml:space="preserve"> INPUTS│Outcomes!E64</f>
        <v>24</v>
      </c>
      <c r="F89" s="277">
        <f xml:space="preserve"> INPUTS│Outcomes!F64</f>
        <v>24</v>
      </c>
      <c r="G89" s="277">
        <f xml:space="preserve"> INPUTS│Outcomes!G64</f>
        <v>20.100000000000001</v>
      </c>
      <c r="H89" s="277">
        <f xml:space="preserve"> INPUTS│Outcomes!H64</f>
        <v>14.3</v>
      </c>
      <c r="I89" s="277">
        <f xml:space="preserve"> INPUTS│Outcomes!I64</f>
        <v>12.8</v>
      </c>
      <c r="J89" s="277">
        <f xml:space="preserve"> INPUTS│Outcomes!J64</f>
        <v>12.3</v>
      </c>
      <c r="K89" s="277">
        <f xml:space="preserve"> INPUTS│Outcomes!K64</f>
        <v>5.85</v>
      </c>
      <c r="L89" s="277">
        <f xml:space="preserve"> INPUTS│Outcomes!L64</f>
        <v>0</v>
      </c>
      <c r="N89" s="15">
        <f t="shared" si="9"/>
        <v>-18.149999999999999</v>
      </c>
      <c r="O89" s="279">
        <f t="shared" si="10"/>
        <v>-0.75624999999999998</v>
      </c>
    </row>
    <row r="90" spans="3:15" outlineLevel="1" x14ac:dyDescent="0.2">
      <c r="C90" s="8" t="s">
        <v>101</v>
      </c>
      <c r="D90" s="11" t="s">
        <v>138</v>
      </c>
      <c r="E90" s="277">
        <f xml:space="preserve"> INPUTS│Outcomes!E65</f>
        <v>10.200000000000001</v>
      </c>
      <c r="F90" s="277">
        <f xml:space="preserve"> INPUTS│Outcomes!F65</f>
        <v>10.200000000000001</v>
      </c>
      <c r="G90" s="277">
        <f xml:space="preserve"> INPUTS│Outcomes!G65</f>
        <v>9.48</v>
      </c>
      <c r="H90" s="277">
        <f xml:space="preserve"> INPUTS│Outcomes!H65</f>
        <v>12.89</v>
      </c>
      <c r="I90" s="277">
        <f xml:space="preserve"> INPUTS│Outcomes!I65</f>
        <v>9.7799999999999994</v>
      </c>
      <c r="J90" s="277">
        <f xml:space="preserve"> INPUTS│Outcomes!J65</f>
        <v>6.96</v>
      </c>
      <c r="K90" s="277">
        <f xml:space="preserve"> INPUTS│Outcomes!K65</f>
        <v>10.46</v>
      </c>
      <c r="L90" s="277">
        <f xml:space="preserve"> INPUTS│Outcomes!L65</f>
        <v>0</v>
      </c>
      <c r="N90" s="15">
        <f t="shared" si="9"/>
        <v>0.25999999999999979</v>
      </c>
      <c r="O90" s="279">
        <f t="shared" si="10"/>
        <v>2.5490196078431348E-2</v>
      </c>
    </row>
    <row r="91" spans="3:15" outlineLevel="1" x14ac:dyDescent="0.2">
      <c r="C91" s="8" t="s">
        <v>103</v>
      </c>
      <c r="D91" s="11" t="s">
        <v>138</v>
      </c>
      <c r="E91" s="277">
        <f xml:space="preserve"> INPUTS│Outcomes!E66</f>
        <v>19.461009774389954</v>
      </c>
      <c r="F91" s="277">
        <f xml:space="preserve"> INPUTS│Outcomes!F66</f>
        <v>22.71</v>
      </c>
      <c r="G91" s="277">
        <f xml:space="preserve"> INPUTS│Outcomes!G66</f>
        <v>27.05</v>
      </c>
      <c r="H91" s="277">
        <f xml:space="preserve"> INPUTS│Outcomes!H66</f>
        <v>17.916666666666668</v>
      </c>
      <c r="I91" s="277">
        <f xml:space="preserve"> INPUTS│Outcomes!I66</f>
        <v>21.11</v>
      </c>
      <c r="J91" s="277">
        <f xml:space="preserve"> INPUTS│Outcomes!J66</f>
        <v>32.9</v>
      </c>
      <c r="K91" s="277">
        <f xml:space="preserve"> INPUTS│Outcomes!K66</f>
        <v>12.7</v>
      </c>
      <c r="L91" s="277">
        <f xml:space="preserve"> INPUTS│Outcomes!L66</f>
        <v>0</v>
      </c>
      <c r="N91" s="15">
        <f t="shared" si="9"/>
        <v>-6.7610097743899544</v>
      </c>
      <c r="O91" s="279">
        <f t="shared" si="10"/>
        <v>-0.34741310203169518</v>
      </c>
    </row>
    <row r="92" spans="3:15" outlineLevel="1" x14ac:dyDescent="0.2">
      <c r="C92" s="8" t="s">
        <v>105</v>
      </c>
      <c r="D92" s="11" t="s">
        <v>138</v>
      </c>
      <c r="E92" s="277">
        <f xml:space="preserve"> INPUTS│Outcomes!E67</f>
        <v>23.580000000000002</v>
      </c>
      <c r="F92" s="277">
        <f xml:space="preserve"> INPUTS│Outcomes!F67</f>
        <v>23.46</v>
      </c>
      <c r="G92" s="277">
        <f xml:space="preserve"> INPUTS│Outcomes!G67</f>
        <v>156.54</v>
      </c>
      <c r="H92" s="277">
        <f xml:space="preserve"> INPUTS│Outcomes!H67</f>
        <v>15.866666666666665</v>
      </c>
      <c r="I92" s="277">
        <f xml:space="preserve"> INPUTS│Outcomes!I67</f>
        <v>12.566666666666666</v>
      </c>
      <c r="J92" s="277">
        <f xml:space="preserve"> INPUTS│Outcomes!J67</f>
        <v>75.983333333333334</v>
      </c>
      <c r="K92" s="277">
        <f xml:space="preserve"> INPUTS│Outcomes!K67</f>
        <v>15.016666666666667</v>
      </c>
      <c r="L92" s="277">
        <f xml:space="preserve"> INPUTS│Outcomes!L67</f>
        <v>0</v>
      </c>
      <c r="N92" s="15">
        <f t="shared" si="9"/>
        <v>-8.5633333333333344</v>
      </c>
      <c r="O92" s="279">
        <f t="shared" si="10"/>
        <v>-0.36316087079445858</v>
      </c>
    </row>
    <row r="93" spans="3:15" outlineLevel="1" x14ac:dyDescent="0.2">
      <c r="C93" s="8" t="s">
        <v>107</v>
      </c>
      <c r="D93" s="11" t="s">
        <v>138</v>
      </c>
      <c r="E93" s="277">
        <f xml:space="preserve"> INPUTS│Outcomes!E68</f>
        <v>4.0200000000000005</v>
      </c>
      <c r="F93" s="277">
        <f xml:space="preserve"> INPUTS│Outcomes!F68</f>
        <v>5.1599999999999993</v>
      </c>
      <c r="G93" s="277">
        <f xml:space="preserve"> INPUTS│Outcomes!G68</f>
        <v>8.7333333333333325</v>
      </c>
      <c r="H93" s="277">
        <f xml:space="preserve"> INPUTS│Outcomes!H68</f>
        <v>3.5</v>
      </c>
      <c r="I93" s="277">
        <f xml:space="preserve"> INPUTS│Outcomes!I68</f>
        <v>4.1500000000000004</v>
      </c>
      <c r="J93" s="277">
        <f xml:space="preserve"> INPUTS│Outcomes!J68</f>
        <v>4.2833333333333332</v>
      </c>
      <c r="K93" s="277">
        <f xml:space="preserve"> INPUTS│Outcomes!K68</f>
        <v>3.9</v>
      </c>
      <c r="L93" s="277">
        <f xml:space="preserve"> INPUTS│Outcomes!L68</f>
        <v>0</v>
      </c>
      <c r="N93" s="15">
        <f t="shared" si="9"/>
        <v>-0.12000000000000055</v>
      </c>
      <c r="O93" s="279">
        <f t="shared" si="10"/>
        <v>-2.9850746268656851E-2</v>
      </c>
    </row>
    <row r="94" spans="3:15" outlineLevel="1" x14ac:dyDescent="0.2">
      <c r="C94" s="8" t="s">
        <v>111</v>
      </c>
      <c r="D94" s="11" t="s">
        <v>138</v>
      </c>
      <c r="E94" s="277">
        <f xml:space="preserve"> INPUTS│Outcomes!E69</f>
        <v>13.2</v>
      </c>
      <c r="F94" s="277">
        <f xml:space="preserve"> INPUTS│Outcomes!F69</f>
        <v>16.200000000000003</v>
      </c>
      <c r="G94" s="277">
        <f xml:space="preserve"> INPUTS│Outcomes!G69</f>
        <v>8</v>
      </c>
      <c r="H94" s="277">
        <f xml:space="preserve"> INPUTS│Outcomes!H69</f>
        <v>32.049999999999997</v>
      </c>
      <c r="I94" s="277">
        <f xml:space="preserve"> INPUTS│Outcomes!I69</f>
        <v>12.9</v>
      </c>
      <c r="J94" s="277">
        <f xml:space="preserve"> INPUTS│Outcomes!J69</f>
        <v>44.6</v>
      </c>
      <c r="K94" s="277">
        <f xml:space="preserve"> INPUTS│Outcomes!K69</f>
        <v>14.2</v>
      </c>
      <c r="L94" s="277">
        <f xml:space="preserve"> INPUTS│Outcomes!L69</f>
        <v>0</v>
      </c>
      <c r="N94" s="15">
        <f t="shared" si="9"/>
        <v>1</v>
      </c>
      <c r="O94" s="279">
        <f t="shared" si="10"/>
        <v>7.575757575757576E-2</v>
      </c>
    </row>
    <row r="95" spans="3:15" outlineLevel="1" x14ac:dyDescent="0.2">
      <c r="C95" s="8" t="s">
        <v>113</v>
      </c>
      <c r="D95" s="11" t="s">
        <v>138</v>
      </c>
      <c r="E95" s="277">
        <f xml:space="preserve"> INPUTS│Outcomes!E70</f>
        <v>9.8436305366024133</v>
      </c>
      <c r="F95" s="277">
        <f xml:space="preserve"> INPUTS│Outcomes!F70</f>
        <v>9</v>
      </c>
      <c r="G95" s="277">
        <f xml:space="preserve"> INPUTS│Outcomes!G70</f>
        <v>8.2467621734578476</v>
      </c>
      <c r="H95" s="277">
        <f xml:space="preserve"> INPUTS│Outcomes!H70</f>
        <v>4.2300000000000004</v>
      </c>
      <c r="I95" s="277">
        <f xml:space="preserve"> INPUTS│Outcomes!I70</f>
        <v>5.18</v>
      </c>
      <c r="J95" s="277">
        <f xml:space="preserve"> INPUTS│Outcomes!J70</f>
        <v>8.5299999999999994</v>
      </c>
      <c r="K95" s="277">
        <f xml:space="preserve"> INPUTS│Outcomes!K70</f>
        <v>7.15</v>
      </c>
      <c r="L95" s="277">
        <f xml:space="preserve"> INPUTS│Outcomes!L70</f>
        <v>0</v>
      </c>
      <c r="N95" s="15">
        <f t="shared" si="9"/>
        <v>-2.6936305366024129</v>
      </c>
      <c r="O95" s="279">
        <f t="shared" si="10"/>
        <v>-0.27364197859584999</v>
      </c>
    </row>
    <row r="96" spans="3:15" outlineLevel="1" x14ac:dyDescent="0.2">
      <c r="C96" s="8" t="s">
        <v>109</v>
      </c>
      <c r="D96" s="11" t="s">
        <v>138</v>
      </c>
      <c r="E96" s="277">
        <f xml:space="preserve"> INPUTS│Outcomes!E71</f>
        <v>15</v>
      </c>
      <c r="F96" s="277">
        <f xml:space="preserve"> INPUTS│Outcomes!F71</f>
        <v>13.44</v>
      </c>
      <c r="G96" s="277">
        <f xml:space="preserve"> INPUTS│Outcomes!G71</f>
        <v>28.799999999999997</v>
      </c>
      <c r="H96" s="277">
        <f xml:space="preserve"> INPUTS│Outcomes!H71</f>
        <v>6</v>
      </c>
      <c r="I96" s="277">
        <f xml:space="preserve"> INPUTS│Outcomes!I71</f>
        <v>4.38</v>
      </c>
      <c r="J96" s="277">
        <f xml:space="preserve"> INPUTS│Outcomes!J71</f>
        <v>3</v>
      </c>
      <c r="K96" s="277">
        <f xml:space="preserve"> INPUTS│Outcomes!K71</f>
        <v>16.200000000000003</v>
      </c>
      <c r="L96" s="277">
        <f xml:space="preserve"> INPUTS│Outcomes!L71</f>
        <v>0</v>
      </c>
      <c r="N96" s="15">
        <f t="shared" si="9"/>
        <v>1.2000000000000028</v>
      </c>
      <c r="O96" s="279">
        <f t="shared" si="10"/>
        <v>8.0000000000000196E-2</v>
      </c>
    </row>
    <row r="97" spans="2:16" outlineLevel="1" x14ac:dyDescent="0.2"/>
    <row r="98" spans="2:16" outlineLevel="1" x14ac:dyDescent="0.2">
      <c r="C98" s="13" t="s">
        <v>281</v>
      </c>
      <c r="D98" s="14" t="s">
        <v>138</v>
      </c>
      <c r="E98" s="15">
        <f xml:space="preserve"> IFERROR( SUMPRODUCT( E80:E96, E102:E118 ) / E120, 0 )</f>
        <v>18.404090369608994</v>
      </c>
      <c r="F98" s="15">
        <f t="shared" ref="F98:L98" si="11" xml:space="preserve"> IFERROR( SUMPRODUCT( F80:F96, F102:F118 ) / F120, 0 )</f>
        <v>15.368371895824525</v>
      </c>
      <c r="G98" s="15">
        <f t="shared" si="11"/>
        <v>16.056692571299681</v>
      </c>
      <c r="H98" s="15">
        <f t="shared" si="11"/>
        <v>13.792617030190128</v>
      </c>
      <c r="I98" s="15">
        <f t="shared" si="11"/>
        <v>10.79018059948328</v>
      </c>
      <c r="J98" s="15">
        <f t="shared" si="11"/>
        <v>22.341757728893008</v>
      </c>
      <c r="K98" s="15">
        <f xml:space="preserve"> IFERROR( SUMPRODUCT( K80:K96, K102:K118 ) / K120, 0 )</f>
        <v>13.230771266050109</v>
      </c>
      <c r="L98" s="15">
        <f t="shared" si="11"/>
        <v>0</v>
      </c>
      <c r="N98" s="15">
        <f xml:space="preserve"> INDEX( E98:L98, 1, MATCH( Year, $E$2:$L$2, 0 ) ) - E98</f>
        <v>-5.1733191035588852</v>
      </c>
      <c r="O98" s="279">
        <f xml:space="preserve"> IF( E98 = 0, "-", N98 / E98 )</f>
        <v>-0.281096158498639</v>
      </c>
    </row>
    <row r="99" spans="2:16" outlineLevel="1" x14ac:dyDescent="0.2"/>
    <row r="100" spans="2:16" ht="13.5" outlineLevel="1" x14ac:dyDescent="0.25">
      <c r="B100" s="35" t="s">
        <v>282</v>
      </c>
      <c r="C100" s="35"/>
      <c r="D100" s="32"/>
      <c r="E100" s="33"/>
      <c r="F100" s="33"/>
      <c r="G100" s="33"/>
      <c r="H100" s="33"/>
      <c r="I100" s="33"/>
      <c r="J100" s="33"/>
      <c r="K100" s="33"/>
      <c r="L100" s="33"/>
      <c r="M100" s="33"/>
      <c r="N100" s="33"/>
      <c r="O100" s="63"/>
      <c r="P100" s="33"/>
    </row>
    <row r="101" spans="2:16" outlineLevel="1" x14ac:dyDescent="0.2"/>
    <row r="102" spans="2:16" outlineLevel="1" x14ac:dyDescent="0.2">
      <c r="C102" s="8" t="s">
        <v>79</v>
      </c>
      <c r="D102" s="18" t="s">
        <v>128</v>
      </c>
      <c r="E102" s="57">
        <f xml:space="preserve"> INPUTS│Outcomes!E77</f>
        <v>2104.6219999999998</v>
      </c>
      <c r="F102" s="57">
        <f xml:space="preserve"> INPUTS│Outcomes!F77</f>
        <v>2120</v>
      </c>
      <c r="G102" s="57">
        <f xml:space="preserve"> INPUTS│Outcomes!G77</f>
        <v>2137.9169999999999</v>
      </c>
      <c r="H102" s="57">
        <f xml:space="preserve"> INPUTS│Outcomes!H77</f>
        <v>2154.5810000000001</v>
      </c>
      <c r="I102" s="57">
        <f xml:space="preserve"> INPUTS│Outcomes!I77</f>
        <v>2160.277</v>
      </c>
      <c r="J102" s="57">
        <f xml:space="preserve"> INPUTS│Outcomes!J77</f>
        <v>2195.7190000000001</v>
      </c>
      <c r="K102" s="57">
        <f xml:space="preserve"> INPUTS│Outcomes!K77</f>
        <v>2218.665</v>
      </c>
      <c r="L102" s="57">
        <f xml:space="preserve"> INPUTS│Outcomes!L77</f>
        <v>0</v>
      </c>
    </row>
    <row r="103" spans="2:16" outlineLevel="1" x14ac:dyDescent="0.2">
      <c r="C103" s="8" t="s">
        <v>81</v>
      </c>
      <c r="D103" s="18" t="s">
        <v>128</v>
      </c>
      <c r="E103" s="57">
        <f xml:space="preserve"> INPUTS│Outcomes!E78</f>
        <v>1398.7239999999999</v>
      </c>
      <c r="F103" s="57">
        <f xml:space="preserve"> INPUTS│Outcomes!F78</f>
        <v>1403.8109999999999</v>
      </c>
      <c r="G103" s="57">
        <f xml:space="preserve"> INPUTS│Outcomes!G78</f>
        <v>1408.011</v>
      </c>
      <c r="H103" s="57">
        <f xml:space="preserve"> INPUTS│Outcomes!H78</f>
        <v>1417.0030000000002</v>
      </c>
      <c r="I103" s="57">
        <f xml:space="preserve"> INPUTS│Outcomes!I78</f>
        <v>1424.962</v>
      </c>
      <c r="J103" s="57">
        <f xml:space="preserve"> INPUTS│Outcomes!J78</f>
        <v>1433.501</v>
      </c>
      <c r="K103" s="57">
        <f xml:space="preserve"> INPUTS│Outcomes!K78</f>
        <v>1441.768</v>
      </c>
      <c r="L103" s="57">
        <f xml:space="preserve"> INPUTS│Outcomes!L78</f>
        <v>0</v>
      </c>
    </row>
    <row r="104" spans="2:16" outlineLevel="1" x14ac:dyDescent="0.2">
      <c r="C104" s="8" t="s">
        <v>84</v>
      </c>
      <c r="D104" s="18" t="s">
        <v>128</v>
      </c>
      <c r="E104" s="57">
        <f xml:space="preserve"> INPUTS│Outcomes!E79</f>
        <v>124.08499999999999</v>
      </c>
      <c r="F104" s="57">
        <f xml:space="preserve"> INPUTS│Outcomes!F79</f>
        <v>124.748</v>
      </c>
      <c r="G104" s="57">
        <f xml:space="preserve"> INPUTS│Outcomes!G79</f>
        <v>125.63799999999999</v>
      </c>
      <c r="H104" s="57">
        <f xml:space="preserve"> INPUTS│Outcomes!H79</f>
        <v>126.64100000000001</v>
      </c>
      <c r="I104" s="57">
        <f xml:space="preserve"> INPUTS│Outcomes!I79</f>
        <v>127.423</v>
      </c>
      <c r="J104" s="57">
        <f xml:space="preserve"> INPUTS│Outcomes!J79</f>
        <v>127.92999999999999</v>
      </c>
      <c r="K104" s="57">
        <f xml:space="preserve"> INPUTS│Outcomes!K79</f>
        <v>104.97399999999999</v>
      </c>
      <c r="L104" s="57">
        <f xml:space="preserve"> INPUTS│Outcomes!L79</f>
        <v>0</v>
      </c>
    </row>
    <row r="105" spans="2:16" outlineLevel="1" x14ac:dyDescent="0.2">
      <c r="C105" s="8" t="s">
        <v>86</v>
      </c>
      <c r="D105" s="18" t="s">
        <v>128</v>
      </c>
      <c r="E105" s="57">
        <f xml:space="preserve"> INPUTS│Outcomes!E80</f>
        <v>1965.19</v>
      </c>
      <c r="F105" s="57">
        <f xml:space="preserve"> INPUTS│Outcomes!F80</f>
        <v>1972.577</v>
      </c>
      <c r="G105" s="57">
        <f xml:space="preserve"> INPUTS│Outcomes!G80</f>
        <v>1984.55</v>
      </c>
      <c r="H105" s="57">
        <f xml:space="preserve"> INPUTS│Outcomes!H80</f>
        <v>2005.971</v>
      </c>
      <c r="I105" s="57">
        <f xml:space="preserve"> INPUTS│Outcomes!I80</f>
        <v>2021.4859999999999</v>
      </c>
      <c r="J105" s="57">
        <f xml:space="preserve"> INPUTS│Outcomes!J80</f>
        <v>2018.673</v>
      </c>
      <c r="K105" s="57">
        <f xml:space="preserve"> INPUTS│Outcomes!K80</f>
        <v>2029.5919999999999</v>
      </c>
      <c r="L105" s="57">
        <f xml:space="preserve"> INPUTS│Outcomes!L80</f>
        <v>0</v>
      </c>
    </row>
    <row r="106" spans="2:16" outlineLevel="1" x14ac:dyDescent="0.2">
      <c r="C106" s="8" t="s">
        <v>88</v>
      </c>
      <c r="D106" s="18" t="s">
        <v>128</v>
      </c>
      <c r="E106" s="57">
        <f xml:space="preserve"> INPUTS│Outcomes!E81</f>
        <v>3462.8650000000002</v>
      </c>
      <c r="F106" s="57">
        <f xml:space="preserve"> INPUTS│Outcomes!F81</f>
        <v>3482.3990000000003</v>
      </c>
      <c r="G106" s="57">
        <f xml:space="preserve"> INPUTS│Outcomes!G81</f>
        <v>3500.0930000000003</v>
      </c>
      <c r="H106" s="57">
        <f xml:space="preserve"> INPUTS│Outcomes!H81</f>
        <v>3529.0120000000002</v>
      </c>
      <c r="I106" s="57">
        <f xml:space="preserve"> INPUTS│Outcomes!I81</f>
        <v>3532.127</v>
      </c>
      <c r="J106" s="57">
        <f xml:space="preserve"> INPUTS│Outcomes!J81</f>
        <v>3588.7160000000003</v>
      </c>
      <c r="K106" s="57">
        <f xml:space="preserve"> INPUTS│Outcomes!K81</f>
        <v>3636.96</v>
      </c>
      <c r="L106" s="57">
        <f xml:space="preserve"> INPUTS│Outcomes!L81</f>
        <v>0</v>
      </c>
    </row>
    <row r="107" spans="2:16" outlineLevel="1" x14ac:dyDescent="0.2">
      <c r="C107" s="8" t="s">
        <v>90</v>
      </c>
      <c r="D107" s="18" t="s">
        <v>128</v>
      </c>
      <c r="E107" s="57">
        <f xml:space="preserve"> INPUTS│Outcomes!E82</f>
        <v>997.24699999999996</v>
      </c>
      <c r="F107" s="57">
        <f xml:space="preserve"> INPUTS│Outcomes!F82</f>
        <v>1003.543</v>
      </c>
      <c r="G107" s="57">
        <f xml:space="preserve"> INPUTS│Outcomes!G82</f>
        <v>1010.0990000000002</v>
      </c>
      <c r="H107" s="57">
        <f xml:space="preserve"> INPUTS│Outcomes!H82</f>
        <v>1019.245</v>
      </c>
      <c r="I107" s="57">
        <f xml:space="preserve"> INPUTS│Outcomes!I82</f>
        <v>1033.7059999999999</v>
      </c>
      <c r="J107" s="57">
        <f xml:space="preserve"> INPUTS│Outcomes!J82</f>
        <v>1044.357</v>
      </c>
      <c r="K107" s="57">
        <f xml:space="preserve"> INPUTS│Outcomes!K82</f>
        <v>1053.76</v>
      </c>
      <c r="L107" s="57">
        <f xml:space="preserve"> INPUTS│Outcomes!L82</f>
        <v>0</v>
      </c>
    </row>
    <row r="108" spans="2:16" outlineLevel="1" x14ac:dyDescent="0.2">
      <c r="C108" s="8" t="s">
        <v>93</v>
      </c>
      <c r="D108" s="18" t="s">
        <v>128</v>
      </c>
      <c r="E108" s="57">
        <f xml:space="preserve"> INPUTS│Outcomes!E83</f>
        <v>1078.4090000000001</v>
      </c>
      <c r="F108" s="57">
        <f xml:space="preserve"> INPUTS│Outcomes!F83</f>
        <v>1084.184</v>
      </c>
      <c r="G108" s="57">
        <f xml:space="preserve"> INPUTS│Outcomes!G83</f>
        <v>1087.2090000000001</v>
      </c>
      <c r="H108" s="57">
        <f xml:space="preserve"> INPUTS│Outcomes!H83</f>
        <v>1093.904</v>
      </c>
      <c r="I108" s="57">
        <f xml:space="preserve"> INPUTS│Outcomes!I83</f>
        <v>1104.087</v>
      </c>
      <c r="J108" s="57">
        <f xml:space="preserve"> INPUTS│Outcomes!J83</f>
        <v>1114.1600000000001</v>
      </c>
      <c r="K108" s="57">
        <f xml:space="preserve"> INPUTS│Outcomes!K83</f>
        <v>1123.4169999999999</v>
      </c>
      <c r="L108" s="57">
        <f xml:space="preserve"> INPUTS│Outcomes!L83</f>
        <v>0</v>
      </c>
    </row>
    <row r="109" spans="2:16" outlineLevel="1" x14ac:dyDescent="0.2">
      <c r="C109" s="8" t="s">
        <v>95</v>
      </c>
      <c r="D109" s="18" t="s">
        <v>128</v>
      </c>
      <c r="E109" s="57">
        <f xml:space="preserve"> INPUTS│Outcomes!E84</f>
        <v>3677.741</v>
      </c>
      <c r="F109" s="57">
        <f xml:space="preserve"> INPUTS│Outcomes!F84</f>
        <v>3697.82</v>
      </c>
      <c r="G109" s="57">
        <f xml:space="preserve"> INPUTS│Outcomes!G84</f>
        <v>3724.4589999999998</v>
      </c>
      <c r="H109" s="57">
        <f xml:space="preserve"> INPUTS│Outcomes!H84</f>
        <v>3758.3599999999997</v>
      </c>
      <c r="I109" s="57">
        <f xml:space="preserve"> INPUTS│Outcomes!I84</f>
        <v>3789.6219999999998</v>
      </c>
      <c r="J109" s="57">
        <f xml:space="preserve"> INPUTS│Outcomes!J84</f>
        <v>3826.422</v>
      </c>
      <c r="K109" s="57">
        <f xml:space="preserve"> INPUTS│Outcomes!K84</f>
        <v>3879.9940000000001</v>
      </c>
      <c r="L109" s="57">
        <f xml:space="preserve"> INPUTS│Outcomes!L84</f>
        <v>0</v>
      </c>
    </row>
    <row r="110" spans="2:16" outlineLevel="1" x14ac:dyDescent="0.2">
      <c r="C110" s="8" t="s">
        <v>97</v>
      </c>
      <c r="D110" s="18" t="s">
        <v>128</v>
      </c>
      <c r="E110" s="57">
        <f xml:space="preserve"> INPUTS│Outcomes!E85</f>
        <v>3224.9839999999999</v>
      </c>
      <c r="F110" s="57">
        <f xml:space="preserve"> INPUTS│Outcomes!F85</f>
        <v>3236.3</v>
      </c>
      <c r="G110" s="57">
        <f xml:space="preserve"> INPUTS│Outcomes!G85</f>
        <v>3250.509</v>
      </c>
      <c r="H110" s="57">
        <f xml:space="preserve"> INPUTS│Outcomes!H85</f>
        <v>3275.078</v>
      </c>
      <c r="I110" s="57">
        <f xml:space="preserve"> INPUTS│Outcomes!I85</f>
        <v>3293.08</v>
      </c>
      <c r="J110" s="57">
        <f xml:space="preserve"> INPUTS│Outcomes!J85</f>
        <v>3313.1870000000004</v>
      </c>
      <c r="K110" s="57">
        <f xml:space="preserve"> INPUTS│Outcomes!K85</f>
        <v>3344.2290000000003</v>
      </c>
      <c r="L110" s="57">
        <f xml:space="preserve"> INPUTS│Outcomes!L85</f>
        <v>0</v>
      </c>
    </row>
    <row r="111" spans="2:16" outlineLevel="1" x14ac:dyDescent="0.2">
      <c r="C111" s="8" t="s">
        <v>99</v>
      </c>
      <c r="D111" s="18" t="s">
        <v>128</v>
      </c>
      <c r="E111" s="57">
        <f xml:space="preserve"> INPUTS│Outcomes!E86</f>
        <v>593.13900000000001</v>
      </c>
      <c r="F111" s="57">
        <f xml:space="preserve"> INPUTS│Outcomes!F86</f>
        <v>597.49199999999996</v>
      </c>
      <c r="G111" s="57">
        <f xml:space="preserve"> INPUTS│Outcomes!G86</f>
        <v>602.25699999999995</v>
      </c>
      <c r="H111" s="57">
        <f xml:space="preserve"> INPUTS│Outcomes!H86</f>
        <v>607.30600000000004</v>
      </c>
      <c r="I111" s="57">
        <f xml:space="preserve"> INPUTS│Outcomes!I86</f>
        <v>612.12299999999993</v>
      </c>
      <c r="J111" s="57">
        <f xml:space="preserve"> INPUTS│Outcomes!J86</f>
        <v>615.40800000000002</v>
      </c>
      <c r="K111" s="57">
        <f xml:space="preserve"> INPUTS│Outcomes!K86</f>
        <v>621.10599999999999</v>
      </c>
      <c r="L111" s="57">
        <f xml:space="preserve"> INPUTS│Outcomes!L86</f>
        <v>0</v>
      </c>
    </row>
    <row r="112" spans="2:16" outlineLevel="1" x14ac:dyDescent="0.2">
      <c r="C112" s="8" t="s">
        <v>101</v>
      </c>
      <c r="D112" s="18" t="s">
        <v>128</v>
      </c>
      <c r="E112" s="57">
        <f xml:space="preserve"> INPUTS│Outcomes!E87</f>
        <v>2244.2739999999999</v>
      </c>
      <c r="F112" s="57">
        <f xml:space="preserve"> INPUTS│Outcomes!F87</f>
        <v>2252.6019999999999</v>
      </c>
      <c r="G112" s="57">
        <f xml:space="preserve"> INPUTS│Outcomes!G87</f>
        <v>2264.9899999999998</v>
      </c>
      <c r="H112" s="57">
        <f xml:space="preserve"> INPUTS│Outcomes!H87</f>
        <v>2276.9300000000003</v>
      </c>
      <c r="I112" s="57">
        <f xml:space="preserve"> INPUTS│Outcomes!I87</f>
        <v>2289.7529999999997</v>
      </c>
      <c r="J112" s="57">
        <f xml:space="preserve"> INPUTS│Outcomes!J87</f>
        <v>2305.3179999999998</v>
      </c>
      <c r="K112" s="57">
        <f xml:space="preserve"> INPUTS│Outcomes!K87</f>
        <v>2319.165</v>
      </c>
      <c r="L112" s="57">
        <f xml:space="preserve"> INPUTS│Outcomes!L87</f>
        <v>0</v>
      </c>
    </row>
    <row r="113" spans="2:16" outlineLevel="1" x14ac:dyDescent="0.2">
      <c r="C113" s="8" t="s">
        <v>103</v>
      </c>
      <c r="D113" s="18" t="s">
        <v>128</v>
      </c>
      <c r="E113" s="57">
        <f xml:space="preserve"> INPUTS│Outcomes!E88</f>
        <v>1450.4230000000002</v>
      </c>
      <c r="F113" s="57">
        <f xml:space="preserve"> INPUTS│Outcomes!F88</f>
        <v>1458.376</v>
      </c>
      <c r="G113" s="57">
        <f xml:space="preserve"> INPUTS│Outcomes!G88</f>
        <v>1465.366</v>
      </c>
      <c r="H113" s="57">
        <f xml:space="preserve"> INPUTS│Outcomes!H88</f>
        <v>1474.943</v>
      </c>
      <c r="I113" s="57">
        <f xml:space="preserve"> INPUTS│Outcomes!I88</f>
        <v>1490.86</v>
      </c>
      <c r="J113" s="57">
        <f xml:space="preserve"> INPUTS│Outcomes!J88</f>
        <v>1500.1960000000001</v>
      </c>
      <c r="K113" s="57">
        <f xml:space="preserve"> INPUTS│Outcomes!K88</f>
        <v>1513.2749999999999</v>
      </c>
      <c r="L113" s="57">
        <f xml:space="preserve"> INPUTS│Outcomes!L88</f>
        <v>0</v>
      </c>
    </row>
    <row r="114" spans="2:16" outlineLevel="1" x14ac:dyDescent="0.2">
      <c r="C114" s="8" t="s">
        <v>105</v>
      </c>
      <c r="D114" s="18" t="s">
        <v>128</v>
      </c>
      <c r="E114" s="57">
        <f xml:space="preserve"> INPUTS│Outcomes!E89</f>
        <v>516.62099999999998</v>
      </c>
      <c r="F114" s="57">
        <f xml:space="preserve"> INPUTS│Outcomes!F89</f>
        <v>520.15499999999997</v>
      </c>
      <c r="G114" s="57">
        <f xml:space="preserve"> INPUTS│Outcomes!G89</f>
        <v>523.18299999999999</v>
      </c>
      <c r="H114" s="57">
        <f xml:space="preserve"> INPUTS│Outcomes!H89</f>
        <v>527.50900000000001</v>
      </c>
      <c r="I114" s="57">
        <f xml:space="preserve"> INPUTS│Outcomes!I89</f>
        <v>530.76800000000003</v>
      </c>
      <c r="J114" s="57">
        <f xml:space="preserve"> INPUTS│Outcomes!J89</f>
        <v>536.13800000000003</v>
      </c>
      <c r="K114" s="57">
        <f xml:space="preserve"> INPUTS│Outcomes!K89</f>
        <v>540.93100000000004</v>
      </c>
      <c r="L114" s="57">
        <f xml:space="preserve"> INPUTS│Outcomes!L89</f>
        <v>0</v>
      </c>
    </row>
    <row r="115" spans="2:16" outlineLevel="1" x14ac:dyDescent="0.2">
      <c r="C115" s="8" t="s">
        <v>107</v>
      </c>
      <c r="D115" s="18" t="s">
        <v>128</v>
      </c>
      <c r="E115" s="57">
        <f xml:space="preserve"> INPUTS│Outcomes!E90</f>
        <v>307.43700000000001</v>
      </c>
      <c r="F115" s="57">
        <f xml:space="preserve"> INPUTS│Outcomes!F90</f>
        <v>310.358</v>
      </c>
      <c r="G115" s="57">
        <f xml:space="preserve"> INPUTS│Outcomes!G90</f>
        <v>312.83800000000002</v>
      </c>
      <c r="H115" s="57">
        <f xml:space="preserve"> INPUTS│Outcomes!H90</f>
        <v>315.32</v>
      </c>
      <c r="I115" s="57">
        <f xml:space="preserve"> INPUTS│Outcomes!I90</f>
        <v>317.77499999999998</v>
      </c>
      <c r="J115" s="57">
        <f xml:space="preserve"> INPUTS│Outcomes!J90</f>
        <v>319.80600000000004</v>
      </c>
      <c r="K115" s="57">
        <f xml:space="preserve"> INPUTS│Outcomes!K90</f>
        <v>321.59200000000004</v>
      </c>
      <c r="L115" s="57">
        <f xml:space="preserve"> INPUTS│Outcomes!L90</f>
        <v>0</v>
      </c>
    </row>
    <row r="116" spans="2:16" outlineLevel="1" x14ac:dyDescent="0.2">
      <c r="C116" s="8" t="s">
        <v>111</v>
      </c>
      <c r="D116" s="18" t="s">
        <v>128</v>
      </c>
      <c r="E116" s="57">
        <f xml:space="preserve"> INPUTS│Outcomes!E91</f>
        <v>897.077</v>
      </c>
      <c r="F116" s="57">
        <f xml:space="preserve"> INPUTS│Outcomes!F91</f>
        <v>902.14800000000002</v>
      </c>
      <c r="G116" s="57">
        <f xml:space="preserve"> INPUTS│Outcomes!G91</f>
        <v>987.05700000000002</v>
      </c>
      <c r="H116" s="57">
        <f xml:space="preserve"> INPUTS│Outcomes!H91</f>
        <v>992.423</v>
      </c>
      <c r="I116" s="57">
        <f xml:space="preserve"> INPUTS│Outcomes!I91</f>
        <v>1004.6220000000001</v>
      </c>
      <c r="J116" s="57">
        <f xml:space="preserve"> INPUTS│Outcomes!J91</f>
        <v>1013.178</v>
      </c>
      <c r="K116" s="57">
        <f xml:space="preserve"> INPUTS│Outcomes!K91</f>
        <v>1020.985</v>
      </c>
      <c r="L116" s="57">
        <f xml:space="preserve"> INPUTS│Outcomes!L91</f>
        <v>0</v>
      </c>
    </row>
    <row r="117" spans="2:16" outlineLevel="1" x14ac:dyDescent="0.2">
      <c r="C117" s="8" t="s">
        <v>113</v>
      </c>
      <c r="D117" s="18" t="s">
        <v>128</v>
      </c>
      <c r="E117" s="57">
        <f xml:space="preserve"> INPUTS│Outcomes!E92</f>
        <v>703.92899999999997</v>
      </c>
      <c r="F117" s="57">
        <f xml:space="preserve"> INPUTS│Outcomes!F92</f>
        <v>710.26099999999997</v>
      </c>
      <c r="G117" s="57">
        <f xml:space="preserve"> INPUTS│Outcomes!G92</f>
        <v>721.84300000000007</v>
      </c>
      <c r="H117" s="57">
        <f xml:space="preserve"> INPUTS│Outcomes!H92</f>
        <v>724.928</v>
      </c>
      <c r="I117" s="57">
        <f xml:space="preserve"> INPUTS│Outcomes!I92</f>
        <v>728.84800000000007</v>
      </c>
      <c r="J117" s="57">
        <f xml:space="preserve"> INPUTS│Outcomes!J92</f>
        <v>735.85799999999995</v>
      </c>
      <c r="K117" s="57">
        <f xml:space="preserve"> INPUTS│Outcomes!K92</f>
        <v>737.11399999999992</v>
      </c>
      <c r="L117" s="57">
        <f xml:space="preserve"> INPUTS│Outcomes!L92</f>
        <v>0</v>
      </c>
    </row>
    <row r="118" spans="2:16" outlineLevel="1" x14ac:dyDescent="0.2">
      <c r="C118" s="8" t="s">
        <v>109</v>
      </c>
      <c r="D118" s="18" t="s">
        <v>128</v>
      </c>
      <c r="E118" s="57">
        <f xml:space="preserve"> INPUTS│Outcomes!E93</f>
        <v>282.01600000000002</v>
      </c>
      <c r="F118" s="57">
        <f xml:space="preserve"> INPUTS│Outcomes!F93</f>
        <v>283.77199999999999</v>
      </c>
      <c r="G118" s="57">
        <f xml:space="preserve"> INPUTS│Outcomes!G93</f>
        <v>285.613</v>
      </c>
      <c r="H118" s="57">
        <f xml:space="preserve"> INPUTS│Outcomes!H93</f>
        <v>287.08999999999997</v>
      </c>
      <c r="I118" s="57">
        <f xml:space="preserve"> INPUTS│Outcomes!I93</f>
        <v>288.66800000000001</v>
      </c>
      <c r="J118" s="57">
        <f xml:space="preserve"> INPUTS│Outcomes!J93</f>
        <v>291.35199999999998</v>
      </c>
      <c r="K118" s="57">
        <f xml:space="preserve"> INPUTS│Outcomes!K93</f>
        <v>292.34700000000004</v>
      </c>
      <c r="L118" s="57">
        <f xml:space="preserve"> INPUTS│Outcomes!L93</f>
        <v>0</v>
      </c>
    </row>
    <row r="119" spans="2:16" outlineLevel="1" x14ac:dyDescent="0.2"/>
    <row r="120" spans="2:16" outlineLevel="1" x14ac:dyDescent="0.2">
      <c r="C120" s="13" t="s">
        <v>257</v>
      </c>
      <c r="D120" s="14" t="s">
        <v>128</v>
      </c>
      <c r="E120" s="17">
        <f>SUM(E102:E118)</f>
        <v>25028.782999999999</v>
      </c>
      <c r="F120" s="17">
        <f t="shared" ref="F120:L120" si="12">SUM(F102:F118)</f>
        <v>25160.545999999995</v>
      </c>
      <c r="G120" s="17">
        <f t="shared" si="12"/>
        <v>25391.632000000009</v>
      </c>
      <c r="H120" s="17">
        <f t="shared" si="12"/>
        <v>25586.243999999999</v>
      </c>
      <c r="I120" s="17">
        <f t="shared" si="12"/>
        <v>25750.187000000002</v>
      </c>
      <c r="J120" s="17">
        <f t="shared" si="12"/>
        <v>25979.918999999998</v>
      </c>
      <c r="K120" s="17">
        <f t="shared" si="12"/>
        <v>26199.874000000007</v>
      </c>
      <c r="L120" s="17">
        <f t="shared" si="12"/>
        <v>0</v>
      </c>
    </row>
    <row r="121" spans="2:16" outlineLevel="1" x14ac:dyDescent="0.2"/>
    <row r="122" spans="2:16" ht="13.5" outlineLevel="1" x14ac:dyDescent="0.25">
      <c r="B122" s="35" t="s">
        <v>496</v>
      </c>
      <c r="C122" s="35"/>
      <c r="D122" s="32"/>
      <c r="E122" s="33"/>
      <c r="F122" s="33"/>
      <c r="G122" s="33"/>
      <c r="H122" s="33"/>
      <c r="I122" s="33"/>
      <c r="J122" s="33"/>
      <c r="K122" s="33"/>
      <c r="L122" s="33"/>
      <c r="M122" s="33"/>
      <c r="N122" s="33"/>
      <c r="O122" s="63"/>
      <c r="P122" s="33"/>
    </row>
    <row r="123" spans="2:16" outlineLevel="1" x14ac:dyDescent="0.2"/>
    <row r="124" spans="2:16" ht="30" customHeight="1" outlineLevel="1" x14ac:dyDescent="0.2">
      <c r="N124" s="55" t="s">
        <v>492</v>
      </c>
      <c r="O124" s="56" t="s">
        <v>495</v>
      </c>
    </row>
    <row r="125" spans="2:16" outlineLevel="1" x14ac:dyDescent="0.2">
      <c r="C125" s="8" t="s">
        <v>79</v>
      </c>
      <c r="D125" s="11" t="s">
        <v>146</v>
      </c>
      <c r="E125" s="277">
        <f xml:space="preserve"> E80 * E102 / 1000</f>
        <v>29.043783599999998</v>
      </c>
      <c r="F125" s="277">
        <f t="shared" ref="F125:L125" si="13" xml:space="preserve"> F80 * F102 / 1000</f>
        <v>41.975999999999999</v>
      </c>
      <c r="G125" s="277">
        <f t="shared" si="13"/>
        <v>40.983868890000004</v>
      </c>
      <c r="H125" s="277">
        <f t="shared" si="13"/>
        <v>17.667564200000001</v>
      </c>
      <c r="I125" s="277">
        <f t="shared" si="13"/>
        <v>25.318446440000002</v>
      </c>
      <c r="J125" s="277">
        <f t="shared" si="13"/>
        <v>16.2483206</v>
      </c>
      <c r="K125" s="277">
        <f t="shared" si="13"/>
        <v>19.368945449999998</v>
      </c>
      <c r="L125" s="277">
        <f t="shared" si="13"/>
        <v>0</v>
      </c>
      <c r="N125" s="15">
        <f t="shared" ref="N125:N141" si="14" xml:space="preserve"> INDEX( E125:L125, 1, MATCH( Year, $E$2:$L$2, 0 ) ) - E125</f>
        <v>-9.6748381499999994</v>
      </c>
      <c r="O125" s="62">
        <f t="shared" ref="O125:O141" si="15" xml:space="preserve"> IF( E125 = 0, "-", N125 / E125 )</f>
        <v>-0.33311218273916626</v>
      </c>
    </row>
    <row r="126" spans="2:16" outlineLevel="1" x14ac:dyDescent="0.2">
      <c r="C126" s="8" t="s">
        <v>81</v>
      </c>
      <c r="D126" s="11" t="s">
        <v>146</v>
      </c>
      <c r="E126" s="277">
        <f t="shared" ref="E126:L126" si="16" xml:space="preserve"> E81 * E103 / 1000</f>
        <v>74.132372000000004</v>
      </c>
      <c r="F126" s="277">
        <f t="shared" si="16"/>
        <v>71.032836599999996</v>
      </c>
      <c r="G126" s="277">
        <f t="shared" si="16"/>
        <v>32.384253000000001</v>
      </c>
      <c r="H126" s="277">
        <f t="shared" si="16"/>
        <v>30.748965099999999</v>
      </c>
      <c r="I126" s="277">
        <f t="shared" si="16"/>
        <v>17.3132883</v>
      </c>
      <c r="J126" s="277">
        <f t="shared" si="16"/>
        <v>62.070593299999992</v>
      </c>
      <c r="K126" s="277">
        <f t="shared" si="16"/>
        <v>23.068287999999999</v>
      </c>
      <c r="L126" s="277">
        <f t="shared" si="16"/>
        <v>0</v>
      </c>
      <c r="N126" s="15">
        <f t="shared" si="14"/>
        <v>-51.064084000000008</v>
      </c>
      <c r="O126" s="62">
        <f t="shared" si="15"/>
        <v>-0.68882301513298405</v>
      </c>
    </row>
    <row r="127" spans="2:16" outlineLevel="1" x14ac:dyDescent="0.2">
      <c r="C127" s="8" t="s">
        <v>84</v>
      </c>
      <c r="D127" s="11" t="s">
        <v>146</v>
      </c>
      <c r="E127" s="277">
        <f t="shared" ref="E127:L127" si="17" xml:space="preserve"> E82 * E104 / 1000</f>
        <v>1.9357260000000001</v>
      </c>
      <c r="F127" s="277">
        <f t="shared" si="17"/>
        <v>1.1227320000000001</v>
      </c>
      <c r="G127" s="277">
        <f t="shared" si="17"/>
        <v>1.2815075999999999</v>
      </c>
      <c r="H127" s="277">
        <f t="shared" si="17"/>
        <v>0.66064388333333346</v>
      </c>
      <c r="I127" s="277">
        <f t="shared" si="17"/>
        <v>2.6758829999999998</v>
      </c>
      <c r="J127" s="277">
        <f t="shared" si="17"/>
        <v>0.53304167093099997</v>
      </c>
      <c r="K127" s="277">
        <f t="shared" si="17"/>
        <v>3.0617416666666664</v>
      </c>
      <c r="L127" s="277">
        <f t="shared" si="17"/>
        <v>0</v>
      </c>
      <c r="N127" s="15">
        <f t="shared" si="14"/>
        <v>1.1260156666666663</v>
      </c>
      <c r="O127" s="62">
        <f t="shared" si="15"/>
        <v>0.58170199019213786</v>
      </c>
    </row>
    <row r="128" spans="2:16" outlineLevel="1" x14ac:dyDescent="0.2">
      <c r="C128" s="8" t="s">
        <v>86</v>
      </c>
      <c r="D128" s="11" t="s">
        <v>146</v>
      </c>
      <c r="E128" s="277">
        <f t="shared" ref="E128:L128" si="18" xml:space="preserve"> E83 * E105 / 1000</f>
        <v>13.658070500000001</v>
      </c>
      <c r="F128" s="277">
        <f t="shared" si="18"/>
        <v>9.7248046099999996</v>
      </c>
      <c r="G128" s="277">
        <f t="shared" si="18"/>
        <v>7.8058966666666665</v>
      </c>
      <c r="H128" s="277">
        <f t="shared" si="18"/>
        <v>6.6859013430000003</v>
      </c>
      <c r="I128" s="277">
        <f t="shared" si="18"/>
        <v>4.9188818838000001</v>
      </c>
      <c r="J128" s="277">
        <f t="shared" si="18"/>
        <v>10.860460740000001</v>
      </c>
      <c r="K128" s="277">
        <f t="shared" si="18"/>
        <v>18.672246399999995</v>
      </c>
      <c r="L128" s="277">
        <f t="shared" si="18"/>
        <v>0</v>
      </c>
      <c r="N128" s="15">
        <f t="shared" si="14"/>
        <v>5.0141758999999944</v>
      </c>
      <c r="O128" s="62">
        <f t="shared" si="15"/>
        <v>0.36712183466910603</v>
      </c>
    </row>
    <row r="129" spans="3:15" outlineLevel="1" x14ac:dyDescent="0.2">
      <c r="C129" s="8" t="s">
        <v>88</v>
      </c>
      <c r="D129" s="11" t="s">
        <v>146</v>
      </c>
      <c r="E129" s="277">
        <f t="shared" ref="E129:L129" si="19" xml:space="preserve"> E84 * E106 / 1000</f>
        <v>99.730512000000004</v>
      </c>
      <c r="F129" s="277">
        <f t="shared" si="19"/>
        <v>54.32542440000001</v>
      </c>
      <c r="G129" s="277">
        <f t="shared" si="19"/>
        <v>35.000929999999997</v>
      </c>
      <c r="H129" s="277">
        <f t="shared" si="19"/>
        <v>39.407300666666671</v>
      </c>
      <c r="I129" s="277">
        <f t="shared" si="19"/>
        <v>35.792220266666661</v>
      </c>
      <c r="J129" s="277">
        <f t="shared" si="19"/>
        <v>123.03314686666668</v>
      </c>
      <c r="K129" s="277">
        <f t="shared" si="19"/>
        <v>68.677927999999994</v>
      </c>
      <c r="L129" s="277">
        <f t="shared" si="19"/>
        <v>0</v>
      </c>
      <c r="N129" s="15">
        <f t="shared" si="14"/>
        <v>-31.05258400000001</v>
      </c>
      <c r="O129" s="62">
        <f t="shared" si="15"/>
        <v>-0.31136493112559183</v>
      </c>
    </row>
    <row r="130" spans="3:15" outlineLevel="1" x14ac:dyDescent="0.2">
      <c r="C130" s="8" t="s">
        <v>90</v>
      </c>
      <c r="D130" s="11" t="s">
        <v>146</v>
      </c>
      <c r="E130" s="277">
        <f t="shared" ref="E130:L130" si="20" xml:space="preserve"> E85 * E107 / 1000</f>
        <v>13.738035400000003</v>
      </c>
      <c r="F130" s="277">
        <f t="shared" si="20"/>
        <v>12.360331800000001</v>
      </c>
      <c r="G130" s="277">
        <f t="shared" si="20"/>
        <v>18.851643600000003</v>
      </c>
      <c r="H130" s="277">
        <f t="shared" si="20"/>
        <v>20.975586900000003</v>
      </c>
      <c r="I130" s="277">
        <f t="shared" si="20"/>
        <v>11.368784239999998</v>
      </c>
      <c r="J130" s="277">
        <f t="shared" si="20"/>
        <v>27.437993200000001</v>
      </c>
      <c r="K130" s="277">
        <f t="shared" si="20"/>
        <v>8.3031816000000003</v>
      </c>
      <c r="L130" s="277">
        <f t="shared" si="20"/>
        <v>0</v>
      </c>
      <c r="N130" s="15">
        <f t="shared" si="14"/>
        <v>-5.4348538000000026</v>
      </c>
      <c r="O130" s="62">
        <f t="shared" si="15"/>
        <v>-0.39560633247458377</v>
      </c>
    </row>
    <row r="131" spans="3:15" outlineLevel="1" x14ac:dyDescent="0.2">
      <c r="C131" s="8" t="s">
        <v>93</v>
      </c>
      <c r="D131" s="11" t="s">
        <v>146</v>
      </c>
      <c r="E131" s="277">
        <f t="shared" ref="E131:L131" si="21" xml:space="preserve"> E86 * E108 / 1000</f>
        <v>19.411362</v>
      </c>
      <c r="F131" s="277">
        <f t="shared" si="21"/>
        <v>11.709187199999999</v>
      </c>
      <c r="G131" s="277">
        <f t="shared" si="21"/>
        <v>6.5232540000000006</v>
      </c>
      <c r="H131" s="277">
        <f t="shared" si="21"/>
        <v>13.126848000000001</v>
      </c>
      <c r="I131" s="277">
        <f t="shared" si="21"/>
        <v>7.7286090000000005</v>
      </c>
      <c r="J131" s="277">
        <f t="shared" si="21"/>
        <v>18.684463200000003</v>
      </c>
      <c r="K131" s="277">
        <f t="shared" si="21"/>
        <v>8.2908174599999978</v>
      </c>
      <c r="L131" s="277">
        <f t="shared" si="21"/>
        <v>0</v>
      </c>
      <c r="N131" s="15">
        <f t="shared" si="14"/>
        <v>-11.120544540000003</v>
      </c>
      <c r="O131" s="62">
        <f t="shared" si="15"/>
        <v>-0.57288842173980381</v>
      </c>
    </row>
    <row r="132" spans="3:15" outlineLevel="1" x14ac:dyDescent="0.2">
      <c r="C132" s="8" t="s">
        <v>95</v>
      </c>
      <c r="D132" s="11" t="s">
        <v>146</v>
      </c>
      <c r="E132" s="277">
        <f t="shared" ref="E132:L132" si="22" xml:space="preserve"> E87 * E109 / 1000</f>
        <v>49.42883904</v>
      </c>
      <c r="F132" s="277">
        <f t="shared" si="22"/>
        <v>43.4863632</v>
      </c>
      <c r="G132" s="277">
        <f t="shared" si="22"/>
        <v>41.341494900000001</v>
      </c>
      <c r="H132" s="277">
        <f t="shared" si="22"/>
        <v>58.404914399999996</v>
      </c>
      <c r="I132" s="277">
        <f t="shared" si="22"/>
        <v>40.422634666666667</v>
      </c>
      <c r="J132" s="277">
        <f t="shared" si="22"/>
        <v>110.5835958</v>
      </c>
      <c r="K132" s="277">
        <f t="shared" si="22"/>
        <v>85.553867699999998</v>
      </c>
      <c r="L132" s="277">
        <f t="shared" si="22"/>
        <v>0</v>
      </c>
      <c r="N132" s="15">
        <f t="shared" si="14"/>
        <v>36.125028659999998</v>
      </c>
      <c r="O132" s="62">
        <f t="shared" si="15"/>
        <v>0.73084922408891762</v>
      </c>
    </row>
    <row r="133" spans="3:15" outlineLevel="1" x14ac:dyDescent="0.2">
      <c r="C133" s="8" t="s">
        <v>97</v>
      </c>
      <c r="D133" s="11" t="s">
        <v>146</v>
      </c>
      <c r="E133" s="277">
        <f t="shared" ref="E133:L133" si="23" xml:space="preserve"> E88 * E110 / 1000</f>
        <v>57.780963333333332</v>
      </c>
      <c r="F133" s="277">
        <f t="shared" si="23"/>
        <v>31.877555000000001</v>
      </c>
      <c r="G133" s="277">
        <f t="shared" si="23"/>
        <v>43.610995750000001</v>
      </c>
      <c r="H133" s="277">
        <f t="shared" si="23"/>
        <v>54.693802599999998</v>
      </c>
      <c r="I133" s="277">
        <f t="shared" si="23"/>
        <v>44.621234000000001</v>
      </c>
      <c r="J133" s="277">
        <f t="shared" si="23"/>
        <v>43.568409050000007</v>
      </c>
      <c r="K133" s="277">
        <f t="shared" si="23"/>
        <v>30.6554325</v>
      </c>
      <c r="L133" s="277">
        <f t="shared" si="23"/>
        <v>0</v>
      </c>
      <c r="N133" s="15">
        <f t="shared" si="14"/>
        <v>-27.125530833333332</v>
      </c>
      <c r="O133" s="62">
        <f t="shared" si="15"/>
        <v>-0.46945445815516285</v>
      </c>
    </row>
    <row r="134" spans="3:15" outlineLevel="1" x14ac:dyDescent="0.2">
      <c r="C134" s="8" t="s">
        <v>99</v>
      </c>
      <c r="D134" s="11" t="s">
        <v>146</v>
      </c>
      <c r="E134" s="277">
        <f t="shared" ref="E134:L134" si="24" xml:space="preserve"> E89 * E111 / 1000</f>
        <v>14.235336</v>
      </c>
      <c r="F134" s="277">
        <f t="shared" si="24"/>
        <v>14.339808</v>
      </c>
      <c r="G134" s="277">
        <f t="shared" si="24"/>
        <v>12.1053657</v>
      </c>
      <c r="H134" s="277">
        <f t="shared" si="24"/>
        <v>8.6844757999999995</v>
      </c>
      <c r="I134" s="277">
        <f t="shared" si="24"/>
        <v>7.8351743999999997</v>
      </c>
      <c r="J134" s="277">
        <f t="shared" si="24"/>
        <v>7.5695184000000006</v>
      </c>
      <c r="K134" s="277">
        <f t="shared" si="24"/>
        <v>3.6334700999999994</v>
      </c>
      <c r="L134" s="277">
        <f t="shared" si="24"/>
        <v>0</v>
      </c>
      <c r="N134" s="15">
        <f t="shared" si="14"/>
        <v>-10.6018659</v>
      </c>
      <c r="O134" s="62">
        <f t="shared" si="15"/>
        <v>-0.74475698360755238</v>
      </c>
    </row>
    <row r="135" spans="3:15" outlineLevel="1" x14ac:dyDescent="0.2">
      <c r="C135" s="8" t="s">
        <v>101</v>
      </c>
      <c r="D135" s="11" t="s">
        <v>146</v>
      </c>
      <c r="E135" s="277">
        <f t="shared" ref="E135:L135" si="25" xml:space="preserve"> E90 * E112 / 1000</f>
        <v>22.891594800000004</v>
      </c>
      <c r="F135" s="277">
        <f t="shared" si="25"/>
        <v>22.976540400000001</v>
      </c>
      <c r="G135" s="277">
        <f t="shared" si="25"/>
        <v>21.472105199999998</v>
      </c>
      <c r="H135" s="277">
        <f t="shared" si="25"/>
        <v>29.349627700000006</v>
      </c>
      <c r="I135" s="277">
        <f t="shared" si="25"/>
        <v>22.393784339999996</v>
      </c>
      <c r="J135" s="277">
        <f t="shared" si="25"/>
        <v>16.045013279999999</v>
      </c>
      <c r="K135" s="277">
        <f t="shared" si="25"/>
        <v>24.258465900000004</v>
      </c>
      <c r="L135" s="277">
        <f t="shared" si="25"/>
        <v>0</v>
      </c>
      <c r="N135" s="15">
        <f t="shared" si="14"/>
        <v>1.3668711000000009</v>
      </c>
      <c r="O135" s="62">
        <f t="shared" si="15"/>
        <v>5.9710610463889598E-2</v>
      </c>
    </row>
    <row r="136" spans="3:15" outlineLevel="1" x14ac:dyDescent="0.2">
      <c r="C136" s="8" t="s">
        <v>103</v>
      </c>
      <c r="D136" s="11" t="s">
        <v>146</v>
      </c>
      <c r="E136" s="277">
        <f t="shared" ref="E136:L136" si="26" xml:space="preserve"> E91 * E113 / 1000</f>
        <v>28.226696180000001</v>
      </c>
      <c r="F136" s="277">
        <f t="shared" si="26"/>
        <v>33.11971896</v>
      </c>
      <c r="G136" s="277">
        <f t="shared" si="26"/>
        <v>39.6381503</v>
      </c>
      <c r="H136" s="277">
        <f t="shared" si="26"/>
        <v>26.426062083333335</v>
      </c>
      <c r="I136" s="277">
        <f t="shared" si="26"/>
        <v>31.472054599999996</v>
      </c>
      <c r="J136" s="277">
        <f t="shared" si="26"/>
        <v>49.356448399999998</v>
      </c>
      <c r="K136" s="277">
        <f t="shared" si="26"/>
        <v>19.2185925</v>
      </c>
      <c r="L136" s="277">
        <f t="shared" si="26"/>
        <v>0</v>
      </c>
      <c r="N136" s="15">
        <f t="shared" si="14"/>
        <v>-9.0081036800000014</v>
      </c>
      <c r="O136" s="62">
        <f t="shared" si="15"/>
        <v>-0.31913418497708157</v>
      </c>
    </row>
    <row r="137" spans="3:15" outlineLevel="1" x14ac:dyDescent="0.2">
      <c r="C137" s="8" t="s">
        <v>105</v>
      </c>
      <c r="D137" s="11" t="s">
        <v>146</v>
      </c>
      <c r="E137" s="277">
        <f t="shared" ref="E137:L137" si="27" xml:space="preserve"> E92 * E114 / 1000</f>
        <v>12.18192318</v>
      </c>
      <c r="F137" s="277">
        <f t="shared" si="27"/>
        <v>12.2028363</v>
      </c>
      <c r="G137" s="277">
        <f t="shared" si="27"/>
        <v>81.899066819999987</v>
      </c>
      <c r="H137" s="277">
        <f t="shared" si="27"/>
        <v>8.3698094666666663</v>
      </c>
      <c r="I137" s="277">
        <f t="shared" si="27"/>
        <v>6.6699845333333334</v>
      </c>
      <c r="J137" s="277">
        <f t="shared" si="27"/>
        <v>40.737552366666669</v>
      </c>
      <c r="K137" s="277">
        <f t="shared" si="27"/>
        <v>8.1229805166666669</v>
      </c>
      <c r="L137" s="277">
        <f t="shared" si="27"/>
        <v>0</v>
      </c>
      <c r="N137" s="15">
        <f t="shared" si="14"/>
        <v>-4.0589426633333332</v>
      </c>
      <c r="O137" s="62">
        <f t="shared" si="15"/>
        <v>-0.33319391391313413</v>
      </c>
    </row>
    <row r="138" spans="3:15" outlineLevel="1" x14ac:dyDescent="0.2">
      <c r="C138" s="8" t="s">
        <v>107</v>
      </c>
      <c r="D138" s="11" t="s">
        <v>146</v>
      </c>
      <c r="E138" s="277">
        <f t="shared" ref="E138:L138" si="28" xml:space="preserve"> E93 * E115 / 1000</f>
        <v>1.23589674</v>
      </c>
      <c r="F138" s="277">
        <f t="shared" si="28"/>
        <v>1.6014472799999999</v>
      </c>
      <c r="G138" s="277">
        <f t="shared" si="28"/>
        <v>2.7321185333333333</v>
      </c>
      <c r="H138" s="277">
        <f t="shared" si="28"/>
        <v>1.1036199999999998</v>
      </c>
      <c r="I138" s="277">
        <f t="shared" si="28"/>
        <v>1.3187662500000001</v>
      </c>
      <c r="J138" s="277">
        <f t="shared" si="28"/>
        <v>1.3698357000000001</v>
      </c>
      <c r="K138" s="277">
        <f t="shared" si="28"/>
        <v>1.2542088</v>
      </c>
      <c r="L138" s="277">
        <f t="shared" si="28"/>
        <v>0</v>
      </c>
      <c r="N138" s="15">
        <f t="shared" si="14"/>
        <v>1.8312059999999963E-2</v>
      </c>
      <c r="O138" s="62">
        <f t="shared" si="15"/>
        <v>1.4816820376110032E-2</v>
      </c>
    </row>
    <row r="139" spans="3:15" outlineLevel="1" x14ac:dyDescent="0.2">
      <c r="C139" s="8" t="s">
        <v>111</v>
      </c>
      <c r="D139" s="11" t="s">
        <v>146</v>
      </c>
      <c r="E139" s="277">
        <f t="shared" ref="E139:L139" si="29" xml:space="preserve"> E94 * E116 / 1000</f>
        <v>11.8414164</v>
      </c>
      <c r="F139" s="277">
        <f t="shared" si="29"/>
        <v>14.614797600000003</v>
      </c>
      <c r="G139" s="277">
        <f t="shared" si="29"/>
        <v>7.8964559999999997</v>
      </c>
      <c r="H139" s="277">
        <f t="shared" si="29"/>
        <v>31.807157149999995</v>
      </c>
      <c r="I139" s="277">
        <f t="shared" si="29"/>
        <v>12.959623800000001</v>
      </c>
      <c r="J139" s="277">
        <f t="shared" si="29"/>
        <v>45.187738799999998</v>
      </c>
      <c r="K139" s="277">
        <f t="shared" si="29"/>
        <v>14.497986999999998</v>
      </c>
      <c r="L139" s="277">
        <f t="shared" si="29"/>
        <v>0</v>
      </c>
      <c r="N139" s="15">
        <f t="shared" si="14"/>
        <v>2.6565705999999984</v>
      </c>
      <c r="O139" s="62">
        <f t="shared" si="15"/>
        <v>0.22434567878214287</v>
      </c>
    </row>
    <row r="140" spans="3:15" outlineLevel="1" x14ac:dyDescent="0.2">
      <c r="C140" s="8" t="s">
        <v>113</v>
      </c>
      <c r="D140" s="11" t="s">
        <v>146</v>
      </c>
      <c r="E140" s="277">
        <f t="shared" ref="E140:L140" si="30" xml:space="preserve"> E95 * E117 / 1000</f>
        <v>6.9292169999999995</v>
      </c>
      <c r="F140" s="277">
        <f t="shared" si="30"/>
        <v>6.3923490000000003</v>
      </c>
      <c r="G140" s="277">
        <f t="shared" si="30"/>
        <v>5.9528675475753339</v>
      </c>
      <c r="H140" s="277">
        <f t="shared" si="30"/>
        <v>3.0664454400000003</v>
      </c>
      <c r="I140" s="277">
        <f t="shared" si="30"/>
        <v>3.77543264</v>
      </c>
      <c r="J140" s="277">
        <f t="shared" si="30"/>
        <v>6.2768687399999994</v>
      </c>
      <c r="K140" s="277">
        <f t="shared" si="30"/>
        <v>5.2703651000000002</v>
      </c>
      <c r="L140" s="277">
        <f t="shared" si="30"/>
        <v>0</v>
      </c>
      <c r="N140" s="15">
        <f t="shared" si="14"/>
        <v>-1.6588518999999993</v>
      </c>
      <c r="O140" s="62">
        <f t="shared" si="15"/>
        <v>-0.2393996175902702</v>
      </c>
    </row>
    <row r="141" spans="3:15" outlineLevel="1" x14ac:dyDescent="0.2">
      <c r="C141" s="8" t="s">
        <v>109</v>
      </c>
      <c r="D141" s="11" t="s">
        <v>146</v>
      </c>
      <c r="E141" s="277">
        <f t="shared" ref="E141:L141" si="31" xml:space="preserve"> E96 * E118 / 1000</f>
        <v>4.2302400000000011</v>
      </c>
      <c r="F141" s="277">
        <f t="shared" si="31"/>
        <v>3.8138956799999995</v>
      </c>
      <c r="G141" s="277">
        <f t="shared" si="31"/>
        <v>8.2256543999999998</v>
      </c>
      <c r="H141" s="277">
        <f t="shared" si="31"/>
        <v>1.72254</v>
      </c>
      <c r="I141" s="277">
        <f t="shared" si="31"/>
        <v>1.26436584</v>
      </c>
      <c r="J141" s="277">
        <f t="shared" si="31"/>
        <v>0.87405599999999994</v>
      </c>
      <c r="K141" s="277">
        <f t="shared" si="31"/>
        <v>4.7360214000000012</v>
      </c>
      <c r="L141" s="277">
        <f t="shared" si="31"/>
        <v>0</v>
      </c>
      <c r="N141" s="15">
        <f t="shared" si="14"/>
        <v>0.50578140000000005</v>
      </c>
      <c r="O141" s="62">
        <f t="shared" si="15"/>
        <v>0.11956328718937931</v>
      </c>
    </row>
    <row r="142" spans="3:15" outlineLevel="1" x14ac:dyDescent="0.2"/>
    <row r="143" spans="3:15" outlineLevel="1" x14ac:dyDescent="0.2">
      <c r="C143" s="13" t="s">
        <v>257</v>
      </c>
      <c r="D143" s="14" t="s">
        <v>146</v>
      </c>
      <c r="E143" s="15">
        <f>SUM(E125:E141)</f>
        <v>460.63198417333331</v>
      </c>
      <c r="F143" s="15">
        <f t="shared" ref="F143:L143" si="32">SUM(F125:F141)</f>
        <v>386.67662803000002</v>
      </c>
      <c r="G143" s="15">
        <f t="shared" si="32"/>
        <v>407.70562890757532</v>
      </c>
      <c r="H143" s="15">
        <f t="shared" si="32"/>
        <v>352.90126473299989</v>
      </c>
      <c r="I143" s="15">
        <f t="shared" si="32"/>
        <v>277.84916820046669</v>
      </c>
      <c r="J143" s="15">
        <f t="shared" si="32"/>
        <v>580.43705611426435</v>
      </c>
      <c r="K143" s="15">
        <f t="shared" si="32"/>
        <v>346.64454009333338</v>
      </c>
      <c r="L143" s="15">
        <f t="shared" si="32"/>
        <v>0</v>
      </c>
      <c r="N143" s="15">
        <f xml:space="preserve"> INDEX( E143:L143, 1, MATCH( Year, $E$2:$L$2, 0 ) ) - E143</f>
        <v>-113.98744407999993</v>
      </c>
      <c r="O143" s="62">
        <f xml:space="preserve"> IF( E143 = 0, "-", N143 / E143 )</f>
        <v>-0.24745881310123502</v>
      </c>
    </row>
    <row r="144" spans="3:15" x14ac:dyDescent="0.2">
      <c r="I144" s="192"/>
    </row>
    <row r="145" spans="2:16" ht="13.5" x14ac:dyDescent="0.25">
      <c r="B145" s="9" t="s">
        <v>162</v>
      </c>
      <c r="C145" s="9"/>
      <c r="D145" s="10"/>
      <c r="E145" s="9"/>
      <c r="F145" s="9"/>
      <c r="G145" s="9"/>
      <c r="H145" s="9"/>
      <c r="I145" s="9"/>
      <c r="J145" s="9"/>
      <c r="K145" s="9"/>
      <c r="L145" s="9"/>
      <c r="M145" s="9"/>
      <c r="N145" s="9"/>
      <c r="O145" s="60"/>
      <c r="P145" s="9"/>
    </row>
    <row r="146" spans="2:16" outlineLevel="1" x14ac:dyDescent="0.2"/>
    <row r="147" spans="2:16" ht="13.5" outlineLevel="1" x14ac:dyDescent="0.25">
      <c r="B147" s="35" t="s">
        <v>286</v>
      </c>
      <c r="C147" s="35"/>
      <c r="D147" s="32"/>
      <c r="E147" s="33"/>
      <c r="F147" s="33"/>
      <c r="G147" s="33"/>
      <c r="H147" s="33"/>
      <c r="I147" s="33"/>
      <c r="J147" s="33"/>
      <c r="K147" s="33"/>
      <c r="L147" s="33"/>
      <c r="M147" s="33"/>
      <c r="N147" s="33"/>
      <c r="O147" s="63"/>
      <c r="P147" s="33"/>
    </row>
    <row r="148" spans="2:16" outlineLevel="1" x14ac:dyDescent="0.2"/>
    <row r="149" spans="2:16" ht="30" customHeight="1" outlineLevel="1" x14ac:dyDescent="0.2">
      <c r="N149" s="55" t="s">
        <v>492</v>
      </c>
      <c r="O149" s="56" t="s">
        <v>495</v>
      </c>
    </row>
    <row r="150" spans="2:16" outlineLevel="1" x14ac:dyDescent="0.2">
      <c r="C150" s="8" t="s">
        <v>79</v>
      </c>
      <c r="D150" s="18" t="s">
        <v>140</v>
      </c>
      <c r="E150" s="277">
        <f xml:space="preserve"> INPUTS│Outcomes!E101</f>
        <v>1.59</v>
      </c>
      <c r="F150" s="277">
        <f xml:space="preserve"> INPUTS│Outcomes!F101</f>
        <v>1.54</v>
      </c>
      <c r="G150" s="277">
        <f xml:space="preserve"> INPUTS│Outcomes!G101</f>
        <v>1.48</v>
      </c>
      <c r="H150" s="277">
        <f xml:space="preserve"> INPUTS│Outcomes!H101</f>
        <v>1.38</v>
      </c>
      <c r="I150" s="277">
        <f xml:space="preserve"> INPUTS│Outcomes!I101</f>
        <v>1.38</v>
      </c>
      <c r="J150" s="277">
        <f xml:space="preserve"> INPUTS│Outcomes!J101</f>
        <v>1.23</v>
      </c>
      <c r="K150" s="277">
        <f xml:space="preserve"> INPUTS│Outcomes!K101</f>
        <v>1.18</v>
      </c>
      <c r="L150" s="277">
        <f xml:space="preserve"> INPUTS│Outcomes!L101</f>
        <v>0</v>
      </c>
      <c r="N150" s="15">
        <f t="shared" ref="N150:N166" si="33" xml:space="preserve"> INDEX( E150:L150, 1, MATCH( Year, $E$2:$L$2, 0 ) ) - E150</f>
        <v>-0.41000000000000014</v>
      </c>
      <c r="O150" s="62">
        <f t="shared" ref="O150:O166" si="34" xml:space="preserve"> IF( E150 = 0, "-", N150 / E150 )</f>
        <v>-0.25786163522012584</v>
      </c>
    </row>
    <row r="151" spans="2:16" outlineLevel="1" x14ac:dyDescent="0.2">
      <c r="C151" s="8" t="s">
        <v>81</v>
      </c>
      <c r="D151" s="18" t="s">
        <v>140</v>
      </c>
      <c r="E151" s="277">
        <f xml:space="preserve"> INPUTS│Outcomes!E102</f>
        <v>3.3</v>
      </c>
      <c r="F151" s="277">
        <f xml:space="preserve"> INPUTS│Outcomes!F102</f>
        <v>3.92</v>
      </c>
      <c r="G151" s="277">
        <f xml:space="preserve"> INPUTS│Outcomes!G102</f>
        <v>3.53</v>
      </c>
      <c r="H151" s="277">
        <f xml:space="preserve"> INPUTS│Outcomes!H102</f>
        <v>3.29</v>
      </c>
      <c r="I151" s="277">
        <f xml:space="preserve"> INPUTS│Outcomes!I102</f>
        <v>3.48</v>
      </c>
      <c r="J151" s="277">
        <f xml:space="preserve"> INPUTS│Outcomes!J102</f>
        <v>3.27</v>
      </c>
      <c r="K151" s="277">
        <f xml:space="preserve"> INPUTS│Outcomes!K102</f>
        <v>3.42</v>
      </c>
      <c r="L151" s="277">
        <f xml:space="preserve"> INPUTS│Outcomes!L102</f>
        <v>0</v>
      </c>
      <c r="N151" s="15">
        <f t="shared" si="33"/>
        <v>0.12000000000000011</v>
      </c>
      <c r="O151" s="62">
        <f t="shared" si="34"/>
        <v>3.6363636363636397E-2</v>
      </c>
    </row>
    <row r="152" spans="2:16" outlineLevel="1" x14ac:dyDescent="0.2">
      <c r="C152" s="8" t="s">
        <v>84</v>
      </c>
      <c r="D152" s="18" t="s">
        <v>140</v>
      </c>
      <c r="E152" s="277">
        <f xml:space="preserve"> INPUTS│Outcomes!E103</f>
        <v>5.03</v>
      </c>
      <c r="F152" s="277">
        <f xml:space="preserve"> INPUTS│Outcomes!F103</f>
        <v>6.37</v>
      </c>
      <c r="G152" s="277">
        <f xml:space="preserve"> INPUTS│Outcomes!G103</f>
        <v>3.71</v>
      </c>
      <c r="H152" s="277">
        <f xml:space="preserve"> INPUTS│Outcomes!H103</f>
        <v>2.72</v>
      </c>
      <c r="I152" s="277">
        <f xml:space="preserve"> INPUTS│Outcomes!I103</f>
        <v>2.7</v>
      </c>
      <c r="J152" s="277">
        <f xml:space="preserve"> INPUTS│Outcomes!J103</f>
        <v>2.1</v>
      </c>
      <c r="K152" s="277">
        <f xml:space="preserve"> INPUTS│Outcomes!K103</f>
        <v>2.87</v>
      </c>
      <c r="L152" s="277">
        <f xml:space="preserve"> INPUTS│Outcomes!L103</f>
        <v>0</v>
      </c>
      <c r="N152" s="15">
        <f t="shared" si="33"/>
        <v>-2.16</v>
      </c>
      <c r="O152" s="62">
        <f t="shared" si="34"/>
        <v>-0.42942345924453279</v>
      </c>
    </row>
    <row r="153" spans="2:16" outlineLevel="1" x14ac:dyDescent="0.2">
      <c r="C153" s="8" t="s">
        <v>86</v>
      </c>
      <c r="D153" s="18" t="s">
        <v>140</v>
      </c>
      <c r="E153" s="277">
        <f xml:space="preserve"> INPUTS│Outcomes!E104</f>
        <v>1.9649998034287273</v>
      </c>
      <c r="F153" s="277">
        <f xml:space="preserve"> INPUTS│Outcomes!F104</f>
        <v>1.8737042690541028</v>
      </c>
      <c r="G153" s="277">
        <f xml:space="preserve"> INPUTS│Outcomes!G104</f>
        <v>1.6451997175438333</v>
      </c>
      <c r="H153" s="277">
        <f xml:space="preserve"> INPUTS│Outcomes!H104</f>
        <v>1.432199814112683</v>
      </c>
      <c r="I153" s="277">
        <f xml:space="preserve"> INPUTS│Outcomes!I104</f>
        <v>1.4942303829234704</v>
      </c>
      <c r="J153" s="277">
        <f xml:space="preserve"> INPUTS│Outcomes!J104</f>
        <v>1.3444443672008064</v>
      </c>
      <c r="K153" s="277">
        <f xml:space="preserve"> INPUTS│Outcomes!K104</f>
        <v>1.3425628323507699</v>
      </c>
      <c r="L153" s="277">
        <f xml:space="preserve"> INPUTS│Outcomes!L104</f>
        <v>0</v>
      </c>
      <c r="N153" s="15">
        <f t="shared" si="33"/>
        <v>-0.62243697107795737</v>
      </c>
      <c r="O153" s="62">
        <f t="shared" si="34"/>
        <v>-0.31676184903014615</v>
      </c>
    </row>
    <row r="154" spans="2:16" outlineLevel="1" x14ac:dyDescent="0.2">
      <c r="C154" s="8" t="s">
        <v>88</v>
      </c>
      <c r="D154" s="18" t="s">
        <v>140</v>
      </c>
      <c r="E154" s="277">
        <f xml:space="preserve"> INPUTS│Outcomes!E105</f>
        <v>1.73</v>
      </c>
      <c r="F154" s="277">
        <f xml:space="preserve"> INPUTS│Outcomes!F105</f>
        <v>1.86</v>
      </c>
      <c r="G154" s="277">
        <f xml:space="preserve"> INPUTS│Outcomes!G105</f>
        <v>1.92</v>
      </c>
      <c r="H154" s="277">
        <f xml:space="preserve"> INPUTS│Outcomes!H105</f>
        <v>1.95</v>
      </c>
      <c r="I154" s="277">
        <f xml:space="preserve"> INPUTS│Outcomes!I105</f>
        <v>1.98</v>
      </c>
      <c r="J154" s="277">
        <f xml:space="preserve"> INPUTS│Outcomes!J105</f>
        <v>1.74</v>
      </c>
      <c r="K154" s="277">
        <f xml:space="preserve"> INPUTS│Outcomes!K105</f>
        <v>1.64</v>
      </c>
      <c r="L154" s="277">
        <f xml:space="preserve"> INPUTS│Outcomes!L105</f>
        <v>0</v>
      </c>
      <c r="N154" s="15">
        <f t="shared" si="33"/>
        <v>-9.000000000000008E-2</v>
      </c>
      <c r="O154" s="62">
        <f t="shared" si="34"/>
        <v>-5.202312138728328E-2</v>
      </c>
    </row>
    <row r="155" spans="2:16" outlineLevel="1" x14ac:dyDescent="0.2">
      <c r="C155" s="8" t="s">
        <v>90</v>
      </c>
      <c r="D155" s="18" t="s">
        <v>140</v>
      </c>
      <c r="E155" s="277">
        <f xml:space="preserve"> INPUTS│Outcomes!E106</f>
        <v>4.71</v>
      </c>
      <c r="F155" s="277">
        <f xml:space="preserve"> INPUTS│Outcomes!F106</f>
        <v>4.9901726705006526</v>
      </c>
      <c r="G155" s="277">
        <f xml:space="preserve"> INPUTS│Outcomes!G106</f>
        <v>3.39</v>
      </c>
      <c r="H155" s="277">
        <f xml:space="preserve"> INPUTS│Outcomes!H106</f>
        <v>3.0099217877094975</v>
      </c>
      <c r="I155" s="277">
        <f xml:space="preserve"> INPUTS│Outcomes!I106</f>
        <v>2.79</v>
      </c>
      <c r="J155" s="277">
        <f xml:space="preserve"> INPUTS│Outcomes!J106</f>
        <v>2.4300000000000002</v>
      </c>
      <c r="K155" s="277">
        <f xml:space="preserve"> INPUTS│Outcomes!K106</f>
        <v>2.4178379147778002</v>
      </c>
      <c r="L155" s="277">
        <f xml:space="preserve"> INPUTS│Outcomes!L106</f>
        <v>0</v>
      </c>
      <c r="N155" s="15">
        <f t="shared" si="33"/>
        <v>-2.2921620852221998</v>
      </c>
      <c r="O155" s="62">
        <f t="shared" si="34"/>
        <v>-0.48665861681999995</v>
      </c>
    </row>
    <row r="156" spans="2:16" outlineLevel="1" x14ac:dyDescent="0.2">
      <c r="C156" s="8" t="s">
        <v>93</v>
      </c>
      <c r="D156" s="18" t="s">
        <v>140</v>
      </c>
      <c r="E156" s="277">
        <f xml:space="preserve"> INPUTS│Outcomes!E107</f>
        <v>1.57</v>
      </c>
      <c r="F156" s="277">
        <f xml:space="preserve"> INPUTS│Outcomes!F107</f>
        <v>1.48</v>
      </c>
      <c r="G156" s="277">
        <f xml:space="preserve"> INPUTS│Outcomes!G107</f>
        <v>1.42</v>
      </c>
      <c r="H156" s="277">
        <f xml:space="preserve"> INPUTS│Outcomes!H107</f>
        <v>1.29</v>
      </c>
      <c r="I156" s="277">
        <f xml:space="preserve"> INPUTS│Outcomes!I107</f>
        <v>1.45</v>
      </c>
      <c r="J156" s="277">
        <f xml:space="preserve"> INPUTS│Outcomes!J107</f>
        <v>1.4</v>
      </c>
      <c r="K156" s="277">
        <f xml:space="preserve"> INPUTS│Outcomes!K107</f>
        <v>1.26</v>
      </c>
      <c r="L156" s="277">
        <f xml:space="preserve"> INPUTS│Outcomes!L107</f>
        <v>0</v>
      </c>
      <c r="N156" s="15">
        <f t="shared" si="33"/>
        <v>-0.31000000000000005</v>
      </c>
      <c r="O156" s="62">
        <f t="shared" si="34"/>
        <v>-0.1974522292993631</v>
      </c>
    </row>
    <row r="157" spans="2:16" outlineLevel="1" x14ac:dyDescent="0.2">
      <c r="C157" s="8" t="s">
        <v>95</v>
      </c>
      <c r="D157" s="18" t="s">
        <v>140</v>
      </c>
      <c r="E157" s="277">
        <f xml:space="preserve"> INPUTS│Outcomes!E108</f>
        <v>0.69</v>
      </c>
      <c r="F157" s="277">
        <f xml:space="preserve"> INPUTS│Outcomes!F108</f>
        <v>0.6</v>
      </c>
      <c r="G157" s="277">
        <f xml:space="preserve"> INPUTS│Outcomes!G108</f>
        <v>0.56999999999999995</v>
      </c>
      <c r="H157" s="277">
        <f xml:space="preserve"> INPUTS│Outcomes!H108</f>
        <v>0.64</v>
      </c>
      <c r="I157" s="277">
        <f xml:space="preserve"> INPUTS│Outcomes!I108</f>
        <v>0.61</v>
      </c>
      <c r="J157" s="277">
        <f xml:space="preserve"> INPUTS│Outcomes!J108</f>
        <v>0.57999999999999996</v>
      </c>
      <c r="K157" s="277">
        <f xml:space="preserve"> INPUTS│Outcomes!K108</f>
        <v>0.61</v>
      </c>
      <c r="L157" s="277">
        <f xml:space="preserve"> INPUTS│Outcomes!L108</f>
        <v>0</v>
      </c>
      <c r="N157" s="15">
        <f t="shared" si="33"/>
        <v>-7.999999999999996E-2</v>
      </c>
      <c r="O157" s="62">
        <f t="shared" si="34"/>
        <v>-0.11594202898550719</v>
      </c>
    </row>
    <row r="158" spans="2:16" outlineLevel="1" x14ac:dyDescent="0.2">
      <c r="C158" s="8" t="s">
        <v>97</v>
      </c>
      <c r="D158" s="18" t="s">
        <v>140</v>
      </c>
      <c r="E158" s="277">
        <f xml:space="preserve"> INPUTS│Outcomes!E109</f>
        <v>2.29</v>
      </c>
      <c r="F158" s="277">
        <f xml:space="preserve"> INPUTS│Outcomes!F109</f>
        <v>2.1</v>
      </c>
      <c r="G158" s="277">
        <f xml:space="preserve"> INPUTS│Outcomes!G109</f>
        <v>1.99</v>
      </c>
      <c r="H158" s="277">
        <f xml:space="preserve"> INPUTS│Outcomes!H109</f>
        <v>1.8</v>
      </c>
      <c r="I158" s="277">
        <f xml:space="preserve"> INPUTS│Outcomes!I109</f>
        <v>1.84</v>
      </c>
      <c r="J158" s="277">
        <f xml:space="preserve"> INPUTS│Outcomes!J109</f>
        <v>2.13</v>
      </c>
      <c r="K158" s="277">
        <f xml:space="preserve"> INPUTS│Outcomes!K109</f>
        <v>2.06</v>
      </c>
      <c r="L158" s="277">
        <f xml:space="preserve"> INPUTS│Outcomes!L109</f>
        <v>0</v>
      </c>
      <c r="N158" s="15">
        <f t="shared" si="33"/>
        <v>-0.22999999999999998</v>
      </c>
      <c r="O158" s="62">
        <f t="shared" si="34"/>
        <v>-0.10043668122270741</v>
      </c>
    </row>
    <row r="159" spans="2:16" outlineLevel="1" x14ac:dyDescent="0.2">
      <c r="C159" s="8" t="s">
        <v>99</v>
      </c>
      <c r="D159" s="18" t="s">
        <v>140</v>
      </c>
      <c r="E159" s="277">
        <f xml:space="preserve"> INPUTS│Outcomes!E110</f>
        <v>2.4500000000000002</v>
      </c>
      <c r="F159" s="277">
        <f xml:space="preserve"> INPUTS│Outcomes!F110</f>
        <v>2.33</v>
      </c>
      <c r="G159" s="277">
        <f xml:space="preserve"> INPUTS│Outcomes!G110</f>
        <v>2.36</v>
      </c>
      <c r="H159" s="277">
        <f xml:space="preserve"> INPUTS│Outcomes!H110</f>
        <v>1.9</v>
      </c>
      <c r="I159" s="277">
        <f xml:space="preserve"> INPUTS│Outcomes!I110</f>
        <v>1.68</v>
      </c>
      <c r="J159" s="277">
        <f xml:space="preserve"> INPUTS│Outcomes!J110</f>
        <v>1.56</v>
      </c>
      <c r="K159" s="277">
        <f xml:space="preserve"> INPUTS│Outcomes!K110</f>
        <v>1.54</v>
      </c>
      <c r="L159" s="277">
        <f xml:space="preserve"> INPUTS│Outcomes!L110</f>
        <v>0</v>
      </c>
      <c r="N159" s="15">
        <f t="shared" si="33"/>
        <v>-0.91000000000000014</v>
      </c>
      <c r="O159" s="62">
        <f t="shared" si="34"/>
        <v>-0.37142857142857144</v>
      </c>
    </row>
    <row r="160" spans="2:16" outlineLevel="1" x14ac:dyDescent="0.2">
      <c r="C160" s="8" t="s">
        <v>101</v>
      </c>
      <c r="D160" s="18" t="s">
        <v>140</v>
      </c>
      <c r="E160" s="277">
        <f xml:space="preserve"> INPUTS│Outcomes!E111</f>
        <v>2.4500000000000002</v>
      </c>
      <c r="F160" s="277">
        <f xml:space="preserve"> INPUTS│Outcomes!F111</f>
        <v>2.74</v>
      </c>
      <c r="G160" s="277">
        <f xml:space="preserve"> INPUTS│Outcomes!G111</f>
        <v>2.2200000000000002</v>
      </c>
      <c r="H160" s="277">
        <f xml:space="preserve"> INPUTS│Outcomes!H111</f>
        <v>2.15</v>
      </c>
      <c r="I160" s="277">
        <f xml:space="preserve"> INPUTS│Outcomes!I111</f>
        <v>1.94</v>
      </c>
      <c r="J160" s="277">
        <f xml:space="preserve"> INPUTS│Outcomes!J111</f>
        <v>1.51</v>
      </c>
      <c r="K160" s="277">
        <f xml:space="preserve"> INPUTS│Outcomes!K111</f>
        <v>1.64</v>
      </c>
      <c r="L160" s="277">
        <f xml:space="preserve"> INPUTS│Outcomes!L111</f>
        <v>0</v>
      </c>
      <c r="N160" s="15">
        <f t="shared" si="33"/>
        <v>-0.81000000000000028</v>
      </c>
      <c r="O160" s="62">
        <f t="shared" si="34"/>
        <v>-0.33061224489795926</v>
      </c>
    </row>
    <row r="161" spans="2:16" outlineLevel="1" x14ac:dyDescent="0.2">
      <c r="C161" s="8" t="s">
        <v>103</v>
      </c>
      <c r="D161" s="18" t="s">
        <v>140</v>
      </c>
      <c r="E161" s="277">
        <f xml:space="preserve"> INPUTS│Outcomes!E112</f>
        <v>1.1000000000000001</v>
      </c>
      <c r="F161" s="277">
        <f xml:space="preserve"> INPUTS│Outcomes!F112</f>
        <v>1.08</v>
      </c>
      <c r="G161" s="277">
        <f xml:space="preserve"> INPUTS│Outcomes!G112</f>
        <v>1.07</v>
      </c>
      <c r="H161" s="277">
        <f xml:space="preserve"> INPUTS│Outcomes!H112</f>
        <v>0.98</v>
      </c>
      <c r="I161" s="277">
        <f xml:space="preserve"> INPUTS│Outcomes!I112</f>
        <v>0.96</v>
      </c>
      <c r="J161" s="277">
        <f xml:space="preserve"> INPUTS│Outcomes!J112</f>
        <v>0.83</v>
      </c>
      <c r="K161" s="277">
        <f xml:space="preserve"> INPUTS│Outcomes!K112</f>
        <v>0.82</v>
      </c>
      <c r="L161" s="277">
        <f xml:space="preserve"> INPUTS│Outcomes!L112</f>
        <v>0</v>
      </c>
      <c r="N161" s="15">
        <f t="shared" si="33"/>
        <v>-0.28000000000000014</v>
      </c>
      <c r="O161" s="62">
        <f t="shared" si="34"/>
        <v>-0.25454545454545463</v>
      </c>
    </row>
    <row r="162" spans="2:16" outlineLevel="1" x14ac:dyDescent="0.2">
      <c r="C162" s="8" t="s">
        <v>105</v>
      </c>
      <c r="D162" s="18" t="s">
        <v>140</v>
      </c>
      <c r="E162" s="277">
        <f xml:space="preserve"> INPUTS│Outcomes!E113</f>
        <v>2.15</v>
      </c>
      <c r="F162" s="277">
        <f xml:space="preserve"> INPUTS│Outcomes!F113</f>
        <v>1.87</v>
      </c>
      <c r="G162" s="277">
        <f xml:space="preserve"> INPUTS│Outcomes!G113</f>
        <v>2.13</v>
      </c>
      <c r="H162" s="277">
        <f xml:space="preserve"> INPUTS│Outcomes!H113</f>
        <v>1.93</v>
      </c>
      <c r="I162" s="277">
        <f xml:space="preserve"> INPUTS│Outcomes!I113</f>
        <v>1.8</v>
      </c>
      <c r="J162" s="277">
        <f xml:space="preserve"> INPUTS│Outcomes!J113</f>
        <v>1.53</v>
      </c>
      <c r="K162" s="277">
        <f xml:space="preserve"> INPUTS│Outcomes!K113</f>
        <v>1.69</v>
      </c>
      <c r="L162" s="277">
        <f xml:space="preserve"> INPUTS│Outcomes!L113</f>
        <v>0</v>
      </c>
      <c r="N162" s="15">
        <f t="shared" si="33"/>
        <v>-0.45999999999999996</v>
      </c>
      <c r="O162" s="62">
        <f t="shared" si="34"/>
        <v>-0.21395348837209302</v>
      </c>
    </row>
    <row r="163" spans="2:16" outlineLevel="1" x14ac:dyDescent="0.2">
      <c r="C163" s="8" t="s">
        <v>107</v>
      </c>
      <c r="D163" s="18" t="s">
        <v>140</v>
      </c>
      <c r="E163" s="277">
        <f xml:space="preserve"> INPUTS│Outcomes!E114</f>
        <v>0.55000000000000004</v>
      </c>
      <c r="F163" s="277">
        <f xml:space="preserve"> INPUTS│Outcomes!F114</f>
        <v>0.43</v>
      </c>
      <c r="G163" s="277">
        <f xml:space="preserve"> INPUTS│Outcomes!G114</f>
        <v>0.84</v>
      </c>
      <c r="H163" s="277">
        <f xml:space="preserve"> INPUTS│Outcomes!H114</f>
        <v>0.56999999999999995</v>
      </c>
      <c r="I163" s="277">
        <f xml:space="preserve"> INPUTS│Outcomes!I114</f>
        <v>0.67</v>
      </c>
      <c r="J163" s="277">
        <f xml:space="preserve"> INPUTS│Outcomes!J114</f>
        <v>0.55000000000000004</v>
      </c>
      <c r="K163" s="277">
        <f xml:space="preserve"> INPUTS│Outcomes!K114</f>
        <v>0.44</v>
      </c>
      <c r="L163" s="277">
        <f xml:space="preserve"> INPUTS│Outcomes!L114</f>
        <v>0</v>
      </c>
      <c r="N163" s="15">
        <f t="shared" si="33"/>
        <v>-0.11000000000000004</v>
      </c>
      <c r="O163" s="62">
        <f t="shared" si="34"/>
        <v>-0.20000000000000007</v>
      </c>
    </row>
    <row r="164" spans="2:16" outlineLevel="1" x14ac:dyDescent="0.2">
      <c r="C164" s="8" t="s">
        <v>111</v>
      </c>
      <c r="D164" s="18" t="s">
        <v>140</v>
      </c>
      <c r="E164" s="277">
        <f xml:space="preserve"> INPUTS│Outcomes!E115</f>
        <v>2.4500000000000002</v>
      </c>
      <c r="F164" s="277">
        <f xml:space="preserve"> INPUTS│Outcomes!F115</f>
        <v>2.4700000000000002</v>
      </c>
      <c r="G164" s="277">
        <f xml:space="preserve"> INPUTS│Outcomes!G115</f>
        <v>2.37</v>
      </c>
      <c r="H164" s="277">
        <f xml:space="preserve"> INPUTS│Outcomes!H115</f>
        <v>2.1800000000000002</v>
      </c>
      <c r="I164" s="277">
        <f xml:space="preserve"> INPUTS│Outcomes!I115</f>
        <v>1.98</v>
      </c>
      <c r="J164" s="277">
        <f xml:space="preserve"> INPUTS│Outcomes!J115</f>
        <v>1.89</v>
      </c>
      <c r="K164" s="277">
        <f xml:space="preserve"> INPUTS│Outcomes!K115</f>
        <v>1.52</v>
      </c>
      <c r="L164" s="277">
        <f xml:space="preserve"> INPUTS│Outcomes!L115</f>
        <v>0</v>
      </c>
      <c r="N164" s="15">
        <f t="shared" si="33"/>
        <v>-0.93000000000000016</v>
      </c>
      <c r="O164" s="62">
        <f t="shared" si="34"/>
        <v>-0.37959183673469393</v>
      </c>
    </row>
    <row r="165" spans="2:16" outlineLevel="1" x14ac:dyDescent="0.2">
      <c r="C165" s="8" t="s">
        <v>113</v>
      </c>
      <c r="D165" s="18" t="s">
        <v>140</v>
      </c>
      <c r="E165" s="277">
        <f xml:space="preserve"> INPUTS│Outcomes!E116</f>
        <v>1.8080192685007819</v>
      </c>
      <c r="F165" s="277">
        <f xml:space="preserve"> INPUTS│Outcomes!F116</f>
        <v>1.8319879749787897</v>
      </c>
      <c r="G165" s="277">
        <f xml:space="preserve"> INPUTS│Outcomes!G116</f>
        <v>1.5530483236640704</v>
      </c>
      <c r="H165" s="277">
        <f xml:space="preserve"> INPUTS│Outcomes!H116</f>
        <v>1.9566133047707273</v>
      </c>
      <c r="I165" s="277">
        <f xml:space="preserve"> INPUTS│Outcomes!I116</f>
        <v>1.662817804602037</v>
      </c>
      <c r="J165" s="277">
        <f xml:space="preserve"> INPUTS│Outcomes!J116</f>
        <v>1.417778366914104</v>
      </c>
      <c r="K165" s="277">
        <f xml:space="preserve"> INPUTS│Outcomes!K116</f>
        <v>1.5069135802469136</v>
      </c>
      <c r="L165" s="277">
        <f xml:space="preserve"> INPUTS│Outcomes!L116</f>
        <v>0</v>
      </c>
      <c r="N165" s="15">
        <f t="shared" si="33"/>
        <v>-0.3011056882538683</v>
      </c>
      <c r="O165" s="62">
        <f t="shared" si="34"/>
        <v>-0.16653898191225947</v>
      </c>
    </row>
    <row r="166" spans="2:16" outlineLevel="1" x14ac:dyDescent="0.2">
      <c r="C166" s="8" t="s">
        <v>109</v>
      </c>
      <c r="D166" s="18" t="s">
        <v>140</v>
      </c>
      <c r="E166" s="277">
        <f xml:space="preserve"> INPUTS│Outcomes!E117</f>
        <v>0.59</v>
      </c>
      <c r="F166" s="277">
        <f xml:space="preserve"> INPUTS│Outcomes!F117</f>
        <v>0.53</v>
      </c>
      <c r="G166" s="277">
        <f xml:space="preserve"> INPUTS│Outcomes!G117</f>
        <v>0.85</v>
      </c>
      <c r="H166" s="277">
        <f xml:space="preserve"> INPUTS│Outcomes!H117</f>
        <v>0.65</v>
      </c>
      <c r="I166" s="277">
        <f xml:space="preserve"> INPUTS│Outcomes!I117</f>
        <v>0.56999999999999995</v>
      </c>
      <c r="J166" s="277">
        <f xml:space="preserve"> INPUTS│Outcomes!J117</f>
        <v>0.56000000000000005</v>
      </c>
      <c r="K166" s="277">
        <f xml:space="preserve"> INPUTS│Outcomes!K117</f>
        <v>0.59</v>
      </c>
      <c r="L166" s="277">
        <f xml:space="preserve"> INPUTS│Outcomes!L117</f>
        <v>0</v>
      </c>
      <c r="N166" s="15">
        <f t="shared" si="33"/>
        <v>0</v>
      </c>
      <c r="O166" s="62">
        <f t="shared" si="34"/>
        <v>0</v>
      </c>
    </row>
    <row r="167" spans="2:16" outlineLevel="1" x14ac:dyDescent="0.2"/>
    <row r="168" spans="2:16" outlineLevel="1" x14ac:dyDescent="0.2">
      <c r="C168" s="13" t="s">
        <v>281</v>
      </c>
      <c r="D168" s="3" t="s">
        <v>140</v>
      </c>
      <c r="E168" s="15">
        <f xml:space="preserve"> IFERROR( E191 / SUMPRODUCT( E173:E189, 1 / E150:E166 ), 0 )</f>
        <v>1.8982542478409563</v>
      </c>
      <c r="F168" s="15">
        <f t="shared" ref="F168:L168" si="35" xml:space="preserve"> IFERROR( F191 / SUMPRODUCT( F173:F189, 1 / F150:F166 ), 0 )</f>
        <v>1.9150693772813581</v>
      </c>
      <c r="G168" s="15">
        <f t="shared" si="35"/>
        <v>1.7468939141353119</v>
      </c>
      <c r="H168" s="15">
        <f t="shared" si="35"/>
        <v>1.6441807970507882</v>
      </c>
      <c r="I168" s="15">
        <f t="shared" si="35"/>
        <v>1.6191119500356572</v>
      </c>
      <c r="J168" s="15">
        <f t="shared" si="35"/>
        <v>1.4972436931475064</v>
      </c>
      <c r="K168" s="15">
        <f t="shared" si="35"/>
        <v>1.4790035017671681</v>
      </c>
      <c r="L168" s="15">
        <f t="shared" si="35"/>
        <v>0</v>
      </c>
      <c r="N168" s="15">
        <f xml:space="preserve"> INDEX( E168:L168, 1, MATCH( Year, $E$2:$L$2, 0 ) ) - E168</f>
        <v>-0.41925074607378821</v>
      </c>
      <c r="O168" s="62">
        <f xml:space="preserve"> IF( E168 = 0, "-", N168 / E168 )</f>
        <v>-0.22086121843300877</v>
      </c>
    </row>
    <row r="169" spans="2:16" outlineLevel="1" x14ac:dyDescent="0.2"/>
    <row r="170" spans="2:16" ht="13.5" outlineLevel="1" x14ac:dyDescent="0.25">
      <c r="B170" s="35" t="s">
        <v>304</v>
      </c>
      <c r="C170" s="35"/>
      <c r="D170" s="32"/>
      <c r="E170" s="33"/>
      <c r="F170" s="33"/>
      <c r="G170" s="33"/>
      <c r="H170" s="33"/>
      <c r="I170" s="33"/>
      <c r="J170" s="33"/>
      <c r="K170" s="33"/>
      <c r="L170" s="33"/>
      <c r="M170" s="33"/>
      <c r="N170" s="33"/>
      <c r="O170" s="63"/>
      <c r="P170" s="33"/>
    </row>
    <row r="171" spans="2:16" outlineLevel="1" x14ac:dyDescent="0.2"/>
    <row r="172" spans="2:16" ht="30" customHeight="1" outlineLevel="1" x14ac:dyDescent="0.2">
      <c r="N172" s="55" t="s">
        <v>492</v>
      </c>
      <c r="O172" s="56" t="s">
        <v>495</v>
      </c>
    </row>
    <row r="173" spans="2:16" outlineLevel="1" x14ac:dyDescent="0.2">
      <c r="C173" s="8" t="s">
        <v>79</v>
      </c>
      <c r="D173" s="18" t="s">
        <v>140</v>
      </c>
      <c r="E173" s="272">
        <f xml:space="preserve"> INPUTS│Outcomes!E123</f>
        <v>6975</v>
      </c>
      <c r="F173" s="272">
        <f xml:space="preserve"> INPUTS│Outcomes!F123</f>
        <v>6756</v>
      </c>
      <c r="G173" s="272">
        <f xml:space="preserve"> INPUTS│Outcomes!G123</f>
        <v>6566</v>
      </c>
      <c r="H173" s="272">
        <f xml:space="preserve"> INPUTS│Outcomes!H123</f>
        <v>6273</v>
      </c>
      <c r="I173" s="272">
        <f xml:space="preserve"> INPUTS│Outcomes!I123</f>
        <v>6308</v>
      </c>
      <c r="J173" s="272">
        <f xml:space="preserve"> INPUTS│Outcomes!J123</f>
        <v>5618</v>
      </c>
      <c r="K173" s="272">
        <f xml:space="preserve"> INPUTS│Outcomes!K123</f>
        <v>5418</v>
      </c>
      <c r="L173" s="272">
        <f xml:space="preserve"> INPUTS│Outcomes!L123</f>
        <v>0</v>
      </c>
      <c r="N173" s="17">
        <f t="shared" ref="N173:N189" si="36" xml:space="preserve"> INDEX( E173:L173, 1, MATCH( Year, $E$2:$L$2, 0 ) ) - E173</f>
        <v>-1557</v>
      </c>
      <c r="O173" s="279">
        <f t="shared" ref="O173:O189" si="37" xml:space="preserve"> IF( E173 = 0, "-", N173 / E173 )</f>
        <v>-0.22322580645161291</v>
      </c>
    </row>
    <row r="174" spans="2:16" outlineLevel="1" x14ac:dyDescent="0.2">
      <c r="C174" s="8" t="s">
        <v>81</v>
      </c>
      <c r="D174" s="18" t="s">
        <v>140</v>
      </c>
      <c r="E174" s="272">
        <f xml:space="preserve"> INPUTS│Outcomes!E124</f>
        <v>9745</v>
      </c>
      <c r="F174" s="272">
        <f xml:space="preserve"> INPUTS│Outcomes!F124</f>
        <v>11553</v>
      </c>
      <c r="G174" s="272">
        <f xml:space="preserve"> INPUTS│Outcomes!G124</f>
        <v>10843</v>
      </c>
      <c r="H174" s="272">
        <f xml:space="preserve"> INPUTS│Outcomes!H124</f>
        <v>9964</v>
      </c>
      <c r="I174" s="272">
        <f xml:space="preserve"> INPUTS│Outcomes!I124</f>
        <v>10483</v>
      </c>
      <c r="J174" s="272">
        <f xml:space="preserve"> INPUTS│Outcomes!J124</f>
        <v>10210</v>
      </c>
      <c r="K174" s="272">
        <f xml:space="preserve"> INPUTS│Outcomes!K124</f>
        <v>10574</v>
      </c>
      <c r="L174" s="272">
        <f xml:space="preserve"> INPUTS│Outcomes!L124</f>
        <v>0</v>
      </c>
      <c r="N174" s="17">
        <f t="shared" si="36"/>
        <v>829</v>
      </c>
      <c r="O174" s="279">
        <f t="shared" si="37"/>
        <v>8.5069266290405329E-2</v>
      </c>
    </row>
    <row r="175" spans="2:16" outlineLevel="1" x14ac:dyDescent="0.2">
      <c r="C175" s="8" t="s">
        <v>84</v>
      </c>
      <c r="D175" s="18" t="s">
        <v>140</v>
      </c>
      <c r="E175" s="272">
        <f xml:space="preserve"> INPUTS│Outcomes!E125</f>
        <v>1312</v>
      </c>
      <c r="F175" s="272">
        <f xml:space="preserve"> INPUTS│Outcomes!F125</f>
        <v>1671</v>
      </c>
      <c r="G175" s="272">
        <f xml:space="preserve"> INPUTS│Outcomes!G125</f>
        <v>975</v>
      </c>
      <c r="H175" s="272">
        <f xml:space="preserve"> INPUTS│Outcomes!H125</f>
        <v>713</v>
      </c>
      <c r="I175" s="272">
        <f xml:space="preserve"> INPUTS│Outcomes!I125</f>
        <v>707</v>
      </c>
      <c r="J175" s="272">
        <f xml:space="preserve"> INPUTS│Outcomes!J125</f>
        <v>551</v>
      </c>
      <c r="K175" s="272">
        <f xml:space="preserve"> INPUTS│Outcomes!K125</f>
        <v>601</v>
      </c>
      <c r="L175" s="272">
        <f xml:space="preserve"> INPUTS│Outcomes!L125</f>
        <v>0</v>
      </c>
      <c r="N175" s="17">
        <f t="shared" si="36"/>
        <v>-711</v>
      </c>
      <c r="O175" s="279">
        <f t="shared" si="37"/>
        <v>-0.54192073170731703</v>
      </c>
    </row>
    <row r="176" spans="2:16" outlineLevel="1" x14ac:dyDescent="0.2">
      <c r="C176" s="8" t="s">
        <v>86</v>
      </c>
      <c r="D176" s="18" t="s">
        <v>140</v>
      </c>
      <c r="E176" s="272">
        <f xml:space="preserve"> INPUTS│Outcomes!E126</f>
        <v>8509</v>
      </c>
      <c r="F176" s="272">
        <f xml:space="preserve"> INPUTS│Outcomes!F126</f>
        <v>8109</v>
      </c>
      <c r="G176" s="272">
        <f xml:space="preserve"> INPUTS│Outcomes!G126</f>
        <v>7189</v>
      </c>
      <c r="H176" s="272">
        <f xml:space="preserve"> INPUTS│Outcomes!H126</f>
        <v>6223</v>
      </c>
      <c r="I176" s="272">
        <f xml:space="preserve"> INPUTS│Outcomes!I126</f>
        <v>6515</v>
      </c>
      <c r="J176" s="272">
        <f xml:space="preserve"> INPUTS│Outcomes!J126</f>
        <v>5840</v>
      </c>
      <c r="K176" s="272">
        <f xml:space="preserve"> INPUTS│Outcomes!K126</f>
        <v>5898</v>
      </c>
      <c r="L176" s="272">
        <f xml:space="preserve"> INPUTS│Outcomes!L126</f>
        <v>0</v>
      </c>
      <c r="N176" s="17">
        <f t="shared" si="36"/>
        <v>-2611</v>
      </c>
      <c r="O176" s="279">
        <f t="shared" si="37"/>
        <v>-0.30685156892701843</v>
      </c>
    </row>
    <row r="177" spans="3:15" outlineLevel="1" x14ac:dyDescent="0.2">
      <c r="C177" s="8" t="s">
        <v>88</v>
      </c>
      <c r="D177" s="18" t="s">
        <v>140</v>
      </c>
      <c r="E177" s="272">
        <f xml:space="preserve"> INPUTS│Outcomes!E127</f>
        <v>13057</v>
      </c>
      <c r="F177" s="272">
        <f xml:space="preserve"> INPUTS│Outcomes!F127</f>
        <v>14052</v>
      </c>
      <c r="G177" s="272">
        <f xml:space="preserve"> INPUTS│Outcomes!G127</f>
        <v>14936</v>
      </c>
      <c r="H177" s="272">
        <f xml:space="preserve"> INPUTS│Outcomes!H127</f>
        <v>14680</v>
      </c>
      <c r="I177" s="272">
        <f xml:space="preserve"> INPUTS│Outcomes!I127</f>
        <v>15336</v>
      </c>
      <c r="J177" s="272">
        <f xml:space="preserve"> INPUTS│Outcomes!J127</f>
        <v>13359</v>
      </c>
      <c r="K177" s="272">
        <f xml:space="preserve"> INPUTS│Outcomes!K127</f>
        <v>12736</v>
      </c>
      <c r="L177" s="272">
        <f xml:space="preserve"> INPUTS│Outcomes!L127</f>
        <v>0</v>
      </c>
      <c r="N177" s="17">
        <f t="shared" si="36"/>
        <v>-321</v>
      </c>
      <c r="O177" s="279">
        <f t="shared" si="37"/>
        <v>-2.4584514053764266E-2</v>
      </c>
    </row>
    <row r="178" spans="3:15" outlineLevel="1" x14ac:dyDescent="0.2">
      <c r="C178" s="8" t="s">
        <v>90</v>
      </c>
      <c r="D178" s="18" t="s">
        <v>140</v>
      </c>
      <c r="E178" s="272">
        <f xml:space="preserve"> INPUTS│Outcomes!E128</f>
        <v>9910</v>
      </c>
      <c r="F178" s="272">
        <f xml:space="preserve"> INPUTS│Outcomes!F128</f>
        <v>10348</v>
      </c>
      <c r="G178" s="272">
        <f xml:space="preserve"> INPUTS│Outcomes!G128</f>
        <v>7183</v>
      </c>
      <c r="H178" s="272">
        <f xml:space="preserve"> INPUTS│Outcomes!H128</f>
        <v>6414</v>
      </c>
      <c r="I178" s="272">
        <f xml:space="preserve"> INPUTS│Outcomes!I128</f>
        <v>6000</v>
      </c>
      <c r="J178" s="272">
        <f xml:space="preserve"> INPUTS│Outcomes!J128</f>
        <v>5258</v>
      </c>
      <c r="K178" s="272">
        <f xml:space="preserve"> INPUTS│Outcomes!K128</f>
        <v>5231</v>
      </c>
      <c r="L178" s="272">
        <f xml:space="preserve"> INPUTS│Outcomes!L128</f>
        <v>0</v>
      </c>
      <c r="N178" s="17">
        <f t="shared" si="36"/>
        <v>-4679</v>
      </c>
      <c r="O178" s="279">
        <f t="shared" si="37"/>
        <v>-0.47214934409687187</v>
      </c>
    </row>
    <row r="179" spans="3:15" outlineLevel="1" x14ac:dyDescent="0.2">
      <c r="C179" s="8" t="s">
        <v>93</v>
      </c>
      <c r="D179" s="18" t="s">
        <v>140</v>
      </c>
      <c r="E179" s="272">
        <f xml:space="preserve"> INPUTS│Outcomes!E129</f>
        <v>3768</v>
      </c>
      <c r="F179" s="272">
        <f xml:space="preserve"> INPUTS│Outcomes!F129</f>
        <v>3576</v>
      </c>
      <c r="G179" s="272">
        <f xml:space="preserve"> INPUTS│Outcomes!G129</f>
        <v>3527</v>
      </c>
      <c r="H179" s="272">
        <f xml:space="preserve"> INPUTS│Outcomes!H129</f>
        <v>3193</v>
      </c>
      <c r="I179" s="272">
        <f xml:space="preserve"> INPUTS│Outcomes!I129</f>
        <v>3626</v>
      </c>
      <c r="J179" s="272">
        <f xml:space="preserve"> INPUTS│Outcomes!J129</f>
        <v>3491</v>
      </c>
      <c r="K179" s="272">
        <f xml:space="preserve"> INPUTS│Outcomes!K129</f>
        <v>3172</v>
      </c>
      <c r="L179" s="272">
        <f xml:space="preserve"> INPUTS│Outcomes!L129</f>
        <v>0</v>
      </c>
      <c r="N179" s="17">
        <f t="shared" si="36"/>
        <v>-596</v>
      </c>
      <c r="O179" s="279">
        <f t="shared" si="37"/>
        <v>-0.15817409766454352</v>
      </c>
    </row>
    <row r="180" spans="3:15" outlineLevel="1" x14ac:dyDescent="0.2">
      <c r="C180" s="8" t="s">
        <v>95</v>
      </c>
      <c r="D180" s="18" t="s">
        <v>140</v>
      </c>
      <c r="E180" s="272">
        <f xml:space="preserve"> INPUTS│Outcomes!E130</f>
        <v>6022</v>
      </c>
      <c r="F180" s="272">
        <f xml:space="preserve"> INPUTS│Outcomes!F130</f>
        <v>5422</v>
      </c>
      <c r="G180" s="272">
        <f xml:space="preserve"> INPUTS│Outcomes!G130</f>
        <v>5318</v>
      </c>
      <c r="H180" s="272">
        <f xml:space="preserve"> INPUTS│Outcomes!H130</f>
        <v>6021</v>
      </c>
      <c r="I180" s="272">
        <f xml:space="preserve"> INPUTS│Outcomes!I130</f>
        <v>5831</v>
      </c>
      <c r="J180" s="272">
        <f xml:space="preserve"> INPUTS│Outcomes!J130</f>
        <v>5774</v>
      </c>
      <c r="K180" s="272">
        <f xml:space="preserve"> INPUTS│Outcomes!K130</f>
        <v>6105</v>
      </c>
      <c r="L180" s="272">
        <f xml:space="preserve"> INPUTS│Outcomes!L130</f>
        <v>0</v>
      </c>
      <c r="N180" s="17">
        <f t="shared" si="36"/>
        <v>83</v>
      </c>
      <c r="O180" s="279">
        <f t="shared" si="37"/>
        <v>1.3782796413151777E-2</v>
      </c>
    </row>
    <row r="181" spans="3:15" outlineLevel="1" x14ac:dyDescent="0.2">
      <c r="C181" s="8" t="s">
        <v>97</v>
      </c>
      <c r="D181" s="18" t="s">
        <v>140</v>
      </c>
      <c r="E181" s="272">
        <f xml:space="preserve"> INPUTS│Outcomes!E131</f>
        <v>15740</v>
      </c>
      <c r="F181" s="272">
        <f xml:space="preserve"> INPUTS│Outcomes!F131</f>
        <v>14566</v>
      </c>
      <c r="G181" s="272">
        <f xml:space="preserve"> INPUTS│Outcomes!G131</f>
        <v>13980</v>
      </c>
      <c r="H181" s="272">
        <f xml:space="preserve"> INPUTS│Outcomes!H131</f>
        <v>12635</v>
      </c>
      <c r="I181" s="272">
        <f xml:space="preserve"> INPUTS│Outcomes!I131</f>
        <v>12913</v>
      </c>
      <c r="J181" s="272">
        <f xml:space="preserve"> INPUTS│Outcomes!J131</f>
        <v>15341</v>
      </c>
      <c r="K181" s="272">
        <f xml:space="preserve"> INPUTS│Outcomes!K131</f>
        <v>14871</v>
      </c>
      <c r="L181" s="272">
        <f xml:space="preserve"> INPUTS│Outcomes!L131</f>
        <v>0</v>
      </c>
      <c r="N181" s="17">
        <f t="shared" si="36"/>
        <v>-869</v>
      </c>
      <c r="O181" s="279">
        <f t="shared" si="37"/>
        <v>-5.5209656925031769E-2</v>
      </c>
    </row>
    <row r="182" spans="3:15" outlineLevel="1" x14ac:dyDescent="0.2">
      <c r="C182" s="8" t="s">
        <v>99</v>
      </c>
      <c r="D182" s="18" t="s">
        <v>140</v>
      </c>
      <c r="E182" s="272">
        <f xml:space="preserve"> INPUTS│Outcomes!E132</f>
        <v>3050</v>
      </c>
      <c r="F182" s="272">
        <f xml:space="preserve"> INPUTS│Outcomes!F132</f>
        <v>2893</v>
      </c>
      <c r="G182" s="272">
        <f xml:space="preserve"> INPUTS│Outcomes!G132</f>
        <v>3006</v>
      </c>
      <c r="H182" s="272">
        <f xml:space="preserve"> INPUTS│Outcomes!H132</f>
        <v>2431</v>
      </c>
      <c r="I182" s="272">
        <f xml:space="preserve"> INPUTS│Outcomes!I132</f>
        <v>2172</v>
      </c>
      <c r="J182" s="272">
        <f xml:space="preserve"> INPUTS│Outcomes!J132</f>
        <v>2031</v>
      </c>
      <c r="K182" s="272">
        <f xml:space="preserve"> INPUTS│Outcomes!K132</f>
        <v>2010</v>
      </c>
      <c r="L182" s="272">
        <f xml:space="preserve"> INPUTS│Outcomes!L132</f>
        <v>0</v>
      </c>
      <c r="N182" s="17">
        <f t="shared" si="36"/>
        <v>-1040</v>
      </c>
      <c r="O182" s="279">
        <f t="shared" si="37"/>
        <v>-0.34098360655737703</v>
      </c>
    </row>
    <row r="183" spans="3:15" outlineLevel="1" x14ac:dyDescent="0.2">
      <c r="C183" s="8" t="s">
        <v>101</v>
      </c>
      <c r="D183" s="18" t="s">
        <v>140</v>
      </c>
      <c r="E183" s="272">
        <f xml:space="preserve"> INPUTS│Outcomes!E133</f>
        <v>11506</v>
      </c>
      <c r="F183" s="272">
        <f xml:space="preserve"> INPUTS│Outcomes!F133</f>
        <v>12879</v>
      </c>
      <c r="G183" s="272">
        <f xml:space="preserve"> INPUTS│Outcomes!G133</f>
        <v>10406</v>
      </c>
      <c r="H183" s="272">
        <f xml:space="preserve"> INPUTS│Outcomes!H133</f>
        <v>10082</v>
      </c>
      <c r="I183" s="272">
        <f xml:space="preserve"> INPUTS│Outcomes!I133</f>
        <v>9673</v>
      </c>
      <c r="J183" s="272">
        <f xml:space="preserve"> INPUTS│Outcomes!J133</f>
        <v>7913</v>
      </c>
      <c r="K183" s="272">
        <f xml:space="preserve"> INPUTS│Outcomes!K133</f>
        <v>8298</v>
      </c>
      <c r="L183" s="272">
        <f xml:space="preserve"> INPUTS│Outcomes!L133</f>
        <v>0</v>
      </c>
      <c r="N183" s="17">
        <f t="shared" si="36"/>
        <v>-3208</v>
      </c>
      <c r="O183" s="279">
        <f t="shared" si="37"/>
        <v>-0.27881105510168608</v>
      </c>
    </row>
    <row r="184" spans="3:15" outlineLevel="1" x14ac:dyDescent="0.2">
      <c r="C184" s="8" t="s">
        <v>103</v>
      </c>
      <c r="D184" s="18" t="s">
        <v>140</v>
      </c>
      <c r="E184" s="272">
        <f xml:space="preserve"> INPUTS│Outcomes!E134</f>
        <v>3730</v>
      </c>
      <c r="F184" s="272">
        <f xml:space="preserve"> INPUTS│Outcomes!F134</f>
        <v>3783</v>
      </c>
      <c r="G184" s="272">
        <f xml:space="preserve"> INPUTS│Outcomes!G134</f>
        <v>3743</v>
      </c>
      <c r="H184" s="272">
        <f xml:space="preserve"> INPUTS│Outcomes!H134</f>
        <v>3552</v>
      </c>
      <c r="I184" s="272">
        <f xml:space="preserve"> INPUTS│Outcomes!I134</f>
        <v>3526</v>
      </c>
      <c r="J184" s="272">
        <f xml:space="preserve"> INPUTS│Outcomes!J134</f>
        <v>3070</v>
      </c>
      <c r="K184" s="272">
        <f xml:space="preserve"> INPUTS│Outcomes!K134</f>
        <v>3093</v>
      </c>
      <c r="L184" s="272">
        <f xml:space="preserve"> INPUTS│Outcomes!L134</f>
        <v>0</v>
      </c>
      <c r="N184" s="17">
        <f t="shared" si="36"/>
        <v>-637</v>
      </c>
      <c r="O184" s="279">
        <f t="shared" si="37"/>
        <v>-0.1707774798927614</v>
      </c>
    </row>
    <row r="185" spans="3:15" outlineLevel="1" x14ac:dyDescent="0.2">
      <c r="C185" s="8" t="s">
        <v>105</v>
      </c>
      <c r="D185" s="18" t="s">
        <v>140</v>
      </c>
      <c r="E185" s="272">
        <f xml:space="preserve"> INPUTS│Outcomes!E135</f>
        <v>2588</v>
      </c>
      <c r="F185" s="272">
        <f xml:space="preserve"> INPUTS│Outcomes!F135</f>
        <v>2320</v>
      </c>
      <c r="G185" s="272">
        <f xml:space="preserve"> INPUTS│Outcomes!G135</f>
        <v>2660</v>
      </c>
      <c r="H185" s="272">
        <f xml:space="preserve"> INPUTS│Outcomes!H135</f>
        <v>2427</v>
      </c>
      <c r="I185" s="272">
        <f xml:space="preserve"> INPUTS│Outcomes!I135</f>
        <v>2275</v>
      </c>
      <c r="J185" s="272">
        <f xml:space="preserve"> INPUTS│Outcomes!J135</f>
        <v>1800</v>
      </c>
      <c r="K185" s="272">
        <f xml:space="preserve"> INPUTS│Outcomes!K135</f>
        <v>2019</v>
      </c>
      <c r="L185" s="272">
        <f xml:space="preserve"> INPUTS│Outcomes!L135</f>
        <v>0</v>
      </c>
      <c r="N185" s="17">
        <f t="shared" si="36"/>
        <v>-569</v>
      </c>
      <c r="O185" s="279">
        <f t="shared" si="37"/>
        <v>-0.21986089644513138</v>
      </c>
    </row>
    <row r="186" spans="3:15" outlineLevel="1" x14ac:dyDescent="0.2">
      <c r="C186" s="8" t="s">
        <v>107</v>
      </c>
      <c r="D186" s="18" t="s">
        <v>140</v>
      </c>
      <c r="E186" s="272">
        <f xml:space="preserve"> INPUTS│Outcomes!E136</f>
        <v>365</v>
      </c>
      <c r="F186" s="272">
        <f xml:space="preserve"> INPUTS│Outcomes!F136</f>
        <v>307</v>
      </c>
      <c r="G186" s="272">
        <f xml:space="preserve"> INPUTS│Outcomes!G136</f>
        <v>583</v>
      </c>
      <c r="H186" s="272">
        <f xml:space="preserve"> INPUTS│Outcomes!H136</f>
        <v>398</v>
      </c>
      <c r="I186" s="272">
        <f xml:space="preserve"> INPUTS│Outcomes!I136</f>
        <v>468</v>
      </c>
      <c r="J186" s="272">
        <f xml:space="preserve"> INPUTS│Outcomes!J136</f>
        <v>389</v>
      </c>
      <c r="K186" s="272">
        <f xml:space="preserve"> INPUTS│Outcomes!K136</f>
        <v>312</v>
      </c>
      <c r="L186" s="272">
        <f xml:space="preserve"> INPUTS│Outcomes!L136</f>
        <v>0</v>
      </c>
      <c r="N186" s="17">
        <f t="shared" si="36"/>
        <v>-53</v>
      </c>
      <c r="O186" s="279">
        <f t="shared" si="37"/>
        <v>-0.14520547945205478</v>
      </c>
    </row>
    <row r="187" spans="3:15" outlineLevel="1" x14ac:dyDescent="0.2">
      <c r="C187" s="8" t="s">
        <v>111</v>
      </c>
      <c r="D187" s="18" t="s">
        <v>140</v>
      </c>
      <c r="E187" s="272">
        <f xml:space="preserve"> INPUTS│Outcomes!E137</f>
        <v>4983</v>
      </c>
      <c r="F187" s="272">
        <f xml:space="preserve"> INPUTS│Outcomes!F137</f>
        <v>5023</v>
      </c>
      <c r="G187" s="272">
        <f xml:space="preserve"> INPUTS│Outcomes!G137</f>
        <v>5012</v>
      </c>
      <c r="H187" s="272">
        <f xml:space="preserve"> INPUTS│Outcomes!H137</f>
        <v>4609</v>
      </c>
      <c r="I187" s="272">
        <f xml:space="preserve"> INPUTS│Outcomes!I137</f>
        <v>4255</v>
      </c>
      <c r="J187" s="272">
        <f xml:space="preserve"> INPUTS│Outcomes!J137</f>
        <v>4087</v>
      </c>
      <c r="K187" s="272">
        <f xml:space="preserve"> INPUTS│Outcomes!K137</f>
        <v>3320</v>
      </c>
      <c r="L187" s="272">
        <f xml:space="preserve"> INPUTS│Outcomes!L137</f>
        <v>0</v>
      </c>
      <c r="N187" s="17">
        <f t="shared" si="36"/>
        <v>-1663</v>
      </c>
      <c r="O187" s="279">
        <f t="shared" si="37"/>
        <v>-0.33373469797310856</v>
      </c>
    </row>
    <row r="188" spans="3:15" outlineLevel="1" x14ac:dyDescent="0.2">
      <c r="C188" s="8" t="s">
        <v>113</v>
      </c>
      <c r="D188" s="18" t="s">
        <v>140</v>
      </c>
      <c r="E188" s="272">
        <f xml:space="preserve"> INPUTS│Outcomes!E138</f>
        <v>2899</v>
      </c>
      <c r="F188" s="272">
        <f xml:space="preserve"> INPUTS│Outcomes!F138</f>
        <v>3025</v>
      </c>
      <c r="G188" s="272">
        <f xml:space="preserve"> INPUTS│Outcomes!G138</f>
        <v>2532</v>
      </c>
      <c r="H188" s="272">
        <f xml:space="preserve"> INPUTS│Outcomes!H138</f>
        <v>3176</v>
      </c>
      <c r="I188" s="272">
        <f xml:space="preserve"> INPUTS│Outcomes!I138</f>
        <v>2712</v>
      </c>
      <c r="J188" s="272">
        <f xml:space="preserve"> INPUTS│Outcomes!J138</f>
        <v>2354</v>
      </c>
      <c r="K188" s="272">
        <f xml:space="preserve"> INPUTS│Outcomes!K138</f>
        <v>2513</v>
      </c>
      <c r="L188" s="272">
        <f xml:space="preserve"> INPUTS│Outcomes!L138</f>
        <v>0</v>
      </c>
      <c r="N188" s="17">
        <f t="shared" si="36"/>
        <v>-386</v>
      </c>
      <c r="O188" s="279">
        <f t="shared" si="37"/>
        <v>-0.13314936184891341</v>
      </c>
    </row>
    <row r="189" spans="3:15" outlineLevel="1" x14ac:dyDescent="0.2">
      <c r="C189" s="8" t="s">
        <v>109</v>
      </c>
      <c r="D189" s="18" t="s">
        <v>140</v>
      </c>
      <c r="E189" s="272">
        <f xml:space="preserve"> INPUTS│Outcomes!E139</f>
        <v>386</v>
      </c>
      <c r="F189" s="272">
        <f xml:space="preserve"> INPUTS│Outcomes!F139</f>
        <v>346</v>
      </c>
      <c r="G189" s="272">
        <f xml:space="preserve"> INPUTS│Outcomes!G139</f>
        <v>559</v>
      </c>
      <c r="H189" s="272">
        <f xml:space="preserve"> INPUTS│Outcomes!H139</f>
        <v>437</v>
      </c>
      <c r="I189" s="272">
        <f xml:space="preserve"> INPUTS│Outcomes!I139</f>
        <v>389</v>
      </c>
      <c r="J189" s="272">
        <f xml:space="preserve"> INPUTS│Outcomes!J139</f>
        <v>383</v>
      </c>
      <c r="K189" s="272">
        <f xml:space="preserve"> INPUTS│Outcomes!K139</f>
        <v>403</v>
      </c>
      <c r="L189" s="272">
        <f xml:space="preserve"> INPUTS│Outcomes!L139</f>
        <v>0</v>
      </c>
      <c r="N189" s="17">
        <f t="shared" si="36"/>
        <v>17</v>
      </c>
      <c r="O189" s="279">
        <f t="shared" si="37"/>
        <v>4.4041450777202069E-2</v>
      </c>
    </row>
    <row r="190" spans="3:15" outlineLevel="1" x14ac:dyDescent="0.2">
      <c r="N190" s="59"/>
    </row>
    <row r="191" spans="3:15" outlineLevel="1" x14ac:dyDescent="0.2">
      <c r="C191" s="13" t="s">
        <v>257</v>
      </c>
      <c r="D191" s="3" t="s">
        <v>140</v>
      </c>
      <c r="E191" s="17">
        <f>SUM(E173:E189)</f>
        <v>104545</v>
      </c>
      <c r="F191" s="17">
        <f t="shared" ref="F191:L191" si="38">SUM(F173:F189)</f>
        <v>106629</v>
      </c>
      <c r="G191" s="17">
        <f t="shared" si="38"/>
        <v>99018</v>
      </c>
      <c r="H191" s="17">
        <f t="shared" si="38"/>
        <v>93228</v>
      </c>
      <c r="I191" s="17">
        <f t="shared" si="38"/>
        <v>93189</v>
      </c>
      <c r="J191" s="17">
        <f t="shared" si="38"/>
        <v>87469</v>
      </c>
      <c r="K191" s="17">
        <f t="shared" si="38"/>
        <v>86574</v>
      </c>
      <c r="L191" s="17">
        <f t="shared" si="38"/>
        <v>0</v>
      </c>
      <c r="N191" s="17">
        <f xml:space="preserve"> INDEX( E191:L191, 1, MATCH( Year, $E$2:$L$2, 0 ) ) - E191</f>
        <v>-17971</v>
      </c>
      <c r="O191" s="279">
        <f xml:space="preserve"> IF( E191 = 0, "-", N191 / E191 )</f>
        <v>-0.17189726911856137</v>
      </c>
    </row>
    <row r="193" spans="2:16" ht="13.5" x14ac:dyDescent="0.25">
      <c r="B193" s="9" t="s">
        <v>163</v>
      </c>
      <c r="C193" s="9"/>
      <c r="D193" s="10"/>
      <c r="E193" s="10"/>
      <c r="F193" s="10"/>
      <c r="G193" s="10"/>
      <c r="H193" s="10"/>
      <c r="I193" s="10"/>
      <c r="J193" s="10"/>
      <c r="K193" s="10"/>
      <c r="L193" s="10"/>
      <c r="M193" s="10"/>
      <c r="N193" s="10"/>
      <c r="O193" s="64"/>
      <c r="P193" s="10"/>
    </row>
    <row r="194" spans="2:16" outlineLevel="1" x14ac:dyDescent="0.2">
      <c r="E194" s="11"/>
      <c r="F194" s="11"/>
      <c r="G194" s="11"/>
      <c r="H194" s="11"/>
      <c r="I194" s="11"/>
      <c r="J194" s="11"/>
      <c r="K194" s="11"/>
      <c r="L194" s="11"/>
      <c r="M194" s="11"/>
      <c r="N194" s="11"/>
      <c r="O194" s="27"/>
      <c r="P194" s="11"/>
    </row>
    <row r="195" spans="2:16" ht="13.5" outlineLevel="1" x14ac:dyDescent="0.25">
      <c r="B195" s="35" t="s">
        <v>306</v>
      </c>
      <c r="C195" s="35"/>
      <c r="D195" s="32"/>
      <c r="E195" s="32"/>
      <c r="F195" s="32"/>
      <c r="G195" s="32"/>
      <c r="H195" s="32"/>
      <c r="I195" s="32"/>
      <c r="J195" s="32"/>
      <c r="K195" s="32"/>
      <c r="L195" s="32"/>
      <c r="M195" s="32"/>
      <c r="N195" s="32"/>
      <c r="O195" s="61"/>
      <c r="P195" s="32"/>
    </row>
    <row r="196" spans="2:16" outlineLevel="1" x14ac:dyDescent="0.2"/>
    <row r="197" spans="2:16" ht="30" customHeight="1" outlineLevel="1" x14ac:dyDescent="0.2">
      <c r="N197" s="55" t="s">
        <v>497</v>
      </c>
      <c r="O197" s="56" t="s">
        <v>495</v>
      </c>
    </row>
    <row r="198" spans="2:16" outlineLevel="1" x14ac:dyDescent="0.2">
      <c r="C198" s="8" t="s">
        <v>79</v>
      </c>
      <c r="D198" s="18" t="s">
        <v>140</v>
      </c>
      <c r="E198" s="272">
        <f xml:space="preserve"> INPUTS│Outcomes!E147</f>
        <v>0</v>
      </c>
      <c r="F198" s="272">
        <f xml:space="preserve"> INPUTS│Outcomes!F147</f>
        <v>0</v>
      </c>
      <c r="G198" s="272">
        <f xml:space="preserve"> INPUTS│Outcomes!G147</f>
        <v>475</v>
      </c>
      <c r="H198" s="272">
        <f xml:space="preserve"> INPUTS│Outcomes!H147</f>
        <v>411</v>
      </c>
      <c r="I198" s="272">
        <f xml:space="preserve"> INPUTS│Outcomes!I147</f>
        <v>430</v>
      </c>
      <c r="J198" s="272">
        <f xml:space="preserve"> INPUTS│Outcomes!J147</f>
        <v>396</v>
      </c>
      <c r="K198" s="272">
        <f xml:space="preserve"> INPUTS│Outcomes!K147</f>
        <v>342</v>
      </c>
      <c r="L198" s="272">
        <f xml:space="preserve"> INPUTS│Outcomes!L147</f>
        <v>0</v>
      </c>
      <c r="N198" s="17">
        <f t="shared" ref="N198:N208" si="39" xml:space="preserve"> INDEX( E198:L198, 1, MATCH( Year, $E$2:$L$2, 0 ) ) - G198</f>
        <v>-133</v>
      </c>
      <c r="O198" s="279">
        <f xml:space="preserve"> IF( G198 = 0, "-", N198 / G198 )</f>
        <v>-0.28000000000000003</v>
      </c>
    </row>
    <row r="199" spans="2:16" outlineLevel="1" x14ac:dyDescent="0.2">
      <c r="C199" s="8" t="s">
        <v>81</v>
      </c>
      <c r="D199" s="18" t="s">
        <v>140</v>
      </c>
      <c r="E199" s="272">
        <f xml:space="preserve"> INPUTS│Outcomes!E148</f>
        <v>0</v>
      </c>
      <c r="F199" s="272">
        <f xml:space="preserve"> INPUTS│Outcomes!F148</f>
        <v>0</v>
      </c>
      <c r="G199" s="272">
        <f xml:space="preserve"> INPUTS│Outcomes!G148</f>
        <v>265</v>
      </c>
      <c r="H199" s="272">
        <f xml:space="preserve"> INPUTS│Outcomes!H148</f>
        <v>223</v>
      </c>
      <c r="I199" s="272">
        <f xml:space="preserve"> INPUTS│Outcomes!I148</f>
        <v>242</v>
      </c>
      <c r="J199" s="272">
        <f xml:space="preserve"> INPUTS│Outcomes!J148</f>
        <v>221</v>
      </c>
      <c r="K199" s="272">
        <f xml:space="preserve"> INPUTS│Outcomes!K148</f>
        <v>221</v>
      </c>
      <c r="L199" s="272">
        <f xml:space="preserve"> INPUTS│Outcomes!L148</f>
        <v>0</v>
      </c>
      <c r="N199" s="17">
        <f t="shared" si="39"/>
        <v>-44</v>
      </c>
      <c r="O199" s="279">
        <f t="shared" ref="O199:O210" si="40" xml:space="preserve"> IF( G199 = 0, "-", N199 / G199 )</f>
        <v>-0.16603773584905659</v>
      </c>
    </row>
    <row r="200" spans="2:16" outlineLevel="1" x14ac:dyDescent="0.2">
      <c r="C200" s="8" t="s">
        <v>84</v>
      </c>
      <c r="D200" s="18" t="s">
        <v>140</v>
      </c>
      <c r="E200" s="272">
        <f xml:space="preserve"> INPUTS│Outcomes!E149</f>
        <v>0</v>
      </c>
      <c r="F200" s="272">
        <f xml:space="preserve"> INPUTS│Outcomes!F149</f>
        <v>0</v>
      </c>
      <c r="G200" s="272">
        <f xml:space="preserve"> INPUTS│Outcomes!G149</f>
        <v>0</v>
      </c>
      <c r="H200" s="272">
        <f xml:space="preserve"> INPUTS│Outcomes!H149</f>
        <v>0</v>
      </c>
      <c r="I200" s="272">
        <f xml:space="preserve"> INPUTS│Outcomes!I149</f>
        <v>0</v>
      </c>
      <c r="J200" s="272">
        <f xml:space="preserve"> INPUTS│Outcomes!J149</f>
        <v>0</v>
      </c>
      <c r="K200" s="272">
        <f xml:space="preserve"> INPUTS│Outcomes!K149</f>
        <v>4</v>
      </c>
      <c r="L200" s="272">
        <f xml:space="preserve"> INPUTS│Outcomes!L149</f>
        <v>0</v>
      </c>
      <c r="N200" s="17">
        <f t="shared" si="39"/>
        <v>4</v>
      </c>
      <c r="O200" s="279" t="str">
        <f t="shared" si="40"/>
        <v>-</v>
      </c>
    </row>
    <row r="201" spans="2:16" outlineLevel="1" x14ac:dyDescent="0.2">
      <c r="C201" s="8" t="s">
        <v>86</v>
      </c>
      <c r="D201" s="18" t="s">
        <v>140</v>
      </c>
      <c r="E201" s="272">
        <f xml:space="preserve"> INPUTS│Outcomes!E150</f>
        <v>0</v>
      </c>
      <c r="F201" s="272">
        <f xml:space="preserve"> INPUTS│Outcomes!F150</f>
        <v>0</v>
      </c>
      <c r="G201" s="272">
        <f xml:space="preserve"> INPUTS│Outcomes!G150</f>
        <v>416</v>
      </c>
      <c r="H201" s="272">
        <f xml:space="preserve"> INPUTS│Outcomes!H150</f>
        <v>362</v>
      </c>
      <c r="I201" s="272">
        <f xml:space="preserve"> INPUTS│Outcomes!I150</f>
        <v>334</v>
      </c>
      <c r="J201" s="272">
        <f xml:space="preserve"> INPUTS│Outcomes!J150</f>
        <v>295</v>
      </c>
      <c r="K201" s="272">
        <f xml:space="preserve"> INPUTS│Outcomes!K150</f>
        <v>370</v>
      </c>
      <c r="L201" s="272">
        <f xml:space="preserve"> INPUTS│Outcomes!L150</f>
        <v>0</v>
      </c>
      <c r="N201" s="17">
        <f t="shared" si="39"/>
        <v>-46</v>
      </c>
      <c r="O201" s="279">
        <f t="shared" si="40"/>
        <v>-0.11057692307692307</v>
      </c>
    </row>
    <row r="202" spans="2:16" outlineLevel="1" x14ac:dyDescent="0.2">
      <c r="C202" s="8" t="s">
        <v>88</v>
      </c>
      <c r="D202" s="18" t="s">
        <v>140</v>
      </c>
      <c r="E202" s="272">
        <f xml:space="preserve"> INPUTS│Outcomes!E151</f>
        <v>0</v>
      </c>
      <c r="F202" s="272">
        <f xml:space="preserve"> INPUTS│Outcomes!F151</f>
        <v>0</v>
      </c>
      <c r="G202" s="272">
        <f xml:space="preserve"> INPUTS│Outcomes!G151</f>
        <v>1168</v>
      </c>
      <c r="H202" s="272">
        <f xml:space="preserve"> INPUTS│Outcomes!H151</f>
        <v>809</v>
      </c>
      <c r="I202" s="272">
        <f xml:space="preserve"> INPUTS│Outcomes!I151</f>
        <v>901</v>
      </c>
      <c r="J202" s="272">
        <f xml:space="preserve"> INPUTS│Outcomes!J151</f>
        <v>662</v>
      </c>
      <c r="K202" s="272">
        <f xml:space="preserve"> INPUTS│Outcomes!K151</f>
        <v>725</v>
      </c>
      <c r="L202" s="272">
        <f xml:space="preserve"> INPUTS│Outcomes!L151</f>
        <v>0</v>
      </c>
      <c r="N202" s="17">
        <f t="shared" si="39"/>
        <v>-443</v>
      </c>
      <c r="O202" s="279">
        <f t="shared" si="40"/>
        <v>-0.37928082191780821</v>
      </c>
    </row>
    <row r="203" spans="2:16" outlineLevel="1" x14ac:dyDescent="0.2">
      <c r="C203" s="8" t="s">
        <v>90</v>
      </c>
      <c r="D203" s="18" t="s">
        <v>140</v>
      </c>
      <c r="E203" s="272">
        <f xml:space="preserve"> INPUTS│Outcomes!E152</f>
        <v>0</v>
      </c>
      <c r="F203" s="272">
        <f xml:space="preserve"> INPUTS│Outcomes!F152</f>
        <v>0</v>
      </c>
      <c r="G203" s="272">
        <f xml:space="preserve"> INPUTS│Outcomes!G152</f>
        <v>182</v>
      </c>
      <c r="H203" s="272">
        <f xml:space="preserve"> INPUTS│Outcomes!H152</f>
        <v>189</v>
      </c>
      <c r="I203" s="272">
        <f xml:space="preserve"> INPUTS│Outcomes!I152</f>
        <v>165</v>
      </c>
      <c r="J203" s="272">
        <f xml:space="preserve"> INPUTS│Outcomes!J152</f>
        <v>141</v>
      </c>
      <c r="K203" s="272">
        <f xml:space="preserve"> INPUTS│Outcomes!K152</f>
        <v>93</v>
      </c>
      <c r="L203" s="272">
        <f xml:space="preserve"> INPUTS│Outcomes!L152</f>
        <v>0</v>
      </c>
      <c r="N203" s="17">
        <f t="shared" si="39"/>
        <v>-89</v>
      </c>
      <c r="O203" s="279">
        <f t="shared" si="40"/>
        <v>-0.48901098901098899</v>
      </c>
    </row>
    <row r="204" spans="2:16" outlineLevel="1" x14ac:dyDescent="0.2">
      <c r="C204" s="8" t="s">
        <v>93</v>
      </c>
      <c r="D204" s="18" t="s">
        <v>140</v>
      </c>
      <c r="E204" s="272">
        <f xml:space="preserve"> INPUTS│Outcomes!E153</f>
        <v>0</v>
      </c>
      <c r="F204" s="272">
        <f xml:space="preserve"> INPUTS│Outcomes!F153</f>
        <v>0</v>
      </c>
      <c r="G204" s="272">
        <f xml:space="preserve"> INPUTS│Outcomes!G153</f>
        <v>487</v>
      </c>
      <c r="H204" s="272">
        <f xml:space="preserve"> INPUTS│Outcomes!H153</f>
        <v>492</v>
      </c>
      <c r="I204" s="272">
        <f xml:space="preserve"> INPUTS│Outcomes!I153</f>
        <v>448</v>
      </c>
      <c r="J204" s="272">
        <f xml:space="preserve"> INPUTS│Outcomes!J153</f>
        <v>401</v>
      </c>
      <c r="K204" s="272">
        <f xml:space="preserve"> INPUTS│Outcomes!K153</f>
        <v>389</v>
      </c>
      <c r="L204" s="272">
        <f xml:space="preserve"> INPUTS│Outcomes!L153</f>
        <v>0</v>
      </c>
      <c r="N204" s="17">
        <f t="shared" si="39"/>
        <v>-98</v>
      </c>
      <c r="O204" s="279">
        <f t="shared" si="40"/>
        <v>-0.20123203285420946</v>
      </c>
    </row>
    <row r="205" spans="2:16" outlineLevel="1" x14ac:dyDescent="0.2">
      <c r="C205" s="8" t="s">
        <v>95</v>
      </c>
      <c r="D205" s="18" t="s">
        <v>140</v>
      </c>
      <c r="E205" s="272">
        <f xml:space="preserve"> INPUTS│Outcomes!E154</f>
        <v>0</v>
      </c>
      <c r="F205" s="272">
        <f xml:space="preserve"> INPUTS│Outcomes!F154</f>
        <v>0</v>
      </c>
      <c r="G205" s="272">
        <f xml:space="preserve"> INPUTS│Outcomes!G154</f>
        <v>1655</v>
      </c>
      <c r="H205" s="272">
        <f xml:space="preserve"> INPUTS│Outcomes!H154</f>
        <v>1403</v>
      </c>
      <c r="I205" s="272">
        <f xml:space="preserve"> INPUTS│Outcomes!I154</f>
        <v>1214</v>
      </c>
      <c r="J205" s="272">
        <f xml:space="preserve"> INPUTS│Outcomes!J154</f>
        <v>1062</v>
      </c>
      <c r="K205" s="272">
        <f xml:space="preserve"> INPUTS│Outcomes!K154</f>
        <v>1032</v>
      </c>
      <c r="L205" s="272">
        <f xml:space="preserve"> INPUTS│Outcomes!L154</f>
        <v>0</v>
      </c>
      <c r="N205" s="17">
        <f t="shared" si="39"/>
        <v>-623</v>
      </c>
      <c r="O205" s="279">
        <f t="shared" si="40"/>
        <v>-0.37643504531722055</v>
      </c>
    </row>
    <row r="206" spans="2:16" outlineLevel="1" x14ac:dyDescent="0.2">
      <c r="C206" s="8" t="s">
        <v>97</v>
      </c>
      <c r="D206" s="18" t="s">
        <v>140</v>
      </c>
      <c r="E206" s="272">
        <f xml:space="preserve"> INPUTS│Outcomes!E155</f>
        <v>0</v>
      </c>
      <c r="F206" s="272">
        <f xml:space="preserve"> INPUTS│Outcomes!F155</f>
        <v>0</v>
      </c>
      <c r="G206" s="272">
        <f xml:space="preserve"> INPUTS│Outcomes!G155</f>
        <v>808</v>
      </c>
      <c r="H206" s="272">
        <f xml:space="preserve"> INPUTS│Outcomes!H155</f>
        <v>986</v>
      </c>
      <c r="I206" s="272">
        <f xml:space="preserve"> INPUTS│Outcomes!I155</f>
        <v>941</v>
      </c>
      <c r="J206" s="272">
        <f xml:space="preserve"> INPUTS│Outcomes!J155</f>
        <v>650</v>
      </c>
      <c r="K206" s="272">
        <f xml:space="preserve"> INPUTS│Outcomes!K155</f>
        <v>566</v>
      </c>
      <c r="L206" s="272">
        <f xml:space="preserve"> INPUTS│Outcomes!L155</f>
        <v>0</v>
      </c>
      <c r="N206" s="17">
        <f t="shared" si="39"/>
        <v>-242</v>
      </c>
      <c r="O206" s="279">
        <f t="shared" si="40"/>
        <v>-0.29950495049504949</v>
      </c>
    </row>
    <row r="207" spans="2:16" outlineLevel="1" x14ac:dyDescent="0.2">
      <c r="C207" s="8" t="s">
        <v>99</v>
      </c>
      <c r="D207" s="18" t="s">
        <v>140</v>
      </c>
      <c r="E207" s="272">
        <f xml:space="preserve"> INPUTS│Outcomes!E156</f>
        <v>0</v>
      </c>
      <c r="F207" s="272">
        <f xml:space="preserve"> INPUTS│Outcomes!F156</f>
        <v>0</v>
      </c>
      <c r="G207" s="272">
        <f xml:space="preserve"> INPUTS│Outcomes!G156</f>
        <v>140</v>
      </c>
      <c r="H207" s="272">
        <f xml:space="preserve"> INPUTS│Outcomes!H156</f>
        <v>167</v>
      </c>
      <c r="I207" s="272">
        <f xml:space="preserve"> INPUTS│Outcomes!I156</f>
        <v>148</v>
      </c>
      <c r="J207" s="272">
        <f xml:space="preserve"> INPUTS│Outcomes!J156</f>
        <v>151</v>
      </c>
      <c r="K207" s="272">
        <f xml:space="preserve"> INPUTS│Outcomes!K156</f>
        <v>179</v>
      </c>
      <c r="L207" s="272">
        <f xml:space="preserve"> INPUTS│Outcomes!L156</f>
        <v>0</v>
      </c>
      <c r="N207" s="17">
        <f t="shared" si="39"/>
        <v>39</v>
      </c>
      <c r="O207" s="279">
        <f t="shared" si="40"/>
        <v>0.27857142857142858</v>
      </c>
    </row>
    <row r="208" spans="2:16" outlineLevel="1" x14ac:dyDescent="0.2">
      <c r="C208" s="8" t="s">
        <v>101</v>
      </c>
      <c r="D208" s="18" t="s">
        <v>140</v>
      </c>
      <c r="E208" s="272">
        <f xml:space="preserve"> INPUTS│Outcomes!E157</f>
        <v>0</v>
      </c>
      <c r="F208" s="272">
        <f xml:space="preserve"> INPUTS│Outcomes!F157</f>
        <v>0</v>
      </c>
      <c r="G208" s="272">
        <f xml:space="preserve"> INPUTS│Outcomes!G157</f>
        <v>1947</v>
      </c>
      <c r="H208" s="272">
        <f xml:space="preserve"> INPUTS│Outcomes!H157</f>
        <v>1842</v>
      </c>
      <c r="I208" s="272">
        <f xml:space="preserve"> INPUTS│Outcomes!I157</f>
        <v>1769</v>
      </c>
      <c r="J208" s="272">
        <f xml:space="preserve"> INPUTS│Outcomes!J157</f>
        <v>1682</v>
      </c>
      <c r="K208" s="272">
        <f xml:space="preserve"> INPUTS│Outcomes!K157</f>
        <v>1692</v>
      </c>
      <c r="L208" s="272">
        <f xml:space="preserve"> INPUTS│Outcomes!L157</f>
        <v>0</v>
      </c>
      <c r="N208" s="17">
        <f t="shared" si="39"/>
        <v>-255</v>
      </c>
      <c r="O208" s="279">
        <f t="shared" si="40"/>
        <v>-0.13097072419106318</v>
      </c>
    </row>
    <row r="209" spans="2:16" outlineLevel="1" x14ac:dyDescent="0.2"/>
    <row r="210" spans="2:16" outlineLevel="1" x14ac:dyDescent="0.2">
      <c r="C210" s="2" t="s">
        <v>257</v>
      </c>
      <c r="D210" s="3" t="s">
        <v>140</v>
      </c>
      <c r="E210" s="17">
        <f t="shared" ref="E210:L210" si="41">SUM(E198:E208)</f>
        <v>0</v>
      </c>
      <c r="F210" s="17">
        <f t="shared" si="41"/>
        <v>0</v>
      </c>
      <c r="G210" s="17">
        <f t="shared" si="41"/>
        <v>7543</v>
      </c>
      <c r="H210" s="17">
        <f t="shared" si="41"/>
        <v>6884</v>
      </c>
      <c r="I210" s="17">
        <f t="shared" si="41"/>
        <v>6592</v>
      </c>
      <c r="J210" s="17">
        <f t="shared" si="41"/>
        <v>5661</v>
      </c>
      <c r="K210" s="17">
        <f t="shared" si="41"/>
        <v>5613</v>
      </c>
      <c r="L210" s="17">
        <f t="shared" si="41"/>
        <v>0</v>
      </c>
      <c r="N210" s="17">
        <f xml:space="preserve"> INDEX( E210:L210, 1, MATCH( Year, $E$2:$L$2, 0 ) ) - G210</f>
        <v>-1930</v>
      </c>
      <c r="O210" s="279">
        <f t="shared" si="40"/>
        <v>-0.25586636616730746</v>
      </c>
    </row>
    <row r="211" spans="2:16" outlineLevel="1" x14ac:dyDescent="0.2"/>
    <row r="212" spans="2:16" ht="13.5" outlineLevel="1" x14ac:dyDescent="0.25">
      <c r="B212" s="35" t="s">
        <v>317</v>
      </c>
      <c r="C212" s="35"/>
      <c r="D212" s="32"/>
      <c r="E212" s="32"/>
      <c r="F212" s="32"/>
      <c r="G212" s="32"/>
      <c r="H212" s="32"/>
      <c r="I212" s="32"/>
      <c r="J212" s="32"/>
      <c r="K212" s="32"/>
      <c r="L212" s="32"/>
      <c r="M212" s="32"/>
      <c r="N212" s="32"/>
      <c r="O212" s="61"/>
      <c r="P212" s="32"/>
    </row>
    <row r="213" spans="2:16" outlineLevel="1" x14ac:dyDescent="0.2"/>
    <row r="214" spans="2:16" outlineLevel="1" x14ac:dyDescent="0.2">
      <c r="C214" s="8" t="s">
        <v>79</v>
      </c>
      <c r="D214" s="18" t="s">
        <v>128</v>
      </c>
      <c r="E214" s="57">
        <f xml:space="preserve"> INPUTS│Outcomes!E163</f>
        <v>0</v>
      </c>
      <c r="F214" s="57">
        <f xml:space="preserve"> INPUTS│Outcomes!F163</f>
        <v>0</v>
      </c>
      <c r="G214" s="57">
        <f xml:space="preserve"> INPUTS│Outcomes!G163</f>
        <v>2712.1959999999995</v>
      </c>
      <c r="H214" s="57">
        <f xml:space="preserve"> INPUTS│Outcomes!H163</f>
        <v>2711.4470000000001</v>
      </c>
      <c r="I214" s="57">
        <f xml:space="preserve"> INPUTS│Outcomes!I163</f>
        <v>2743.415</v>
      </c>
      <c r="J214" s="57">
        <f xml:space="preserve"> INPUTS│Outcomes!J163</f>
        <v>2756.2719999999999</v>
      </c>
      <c r="K214" s="57">
        <f xml:space="preserve"> INPUTS│Outcomes!K163</f>
        <v>2791.4789999999998</v>
      </c>
      <c r="L214" s="57">
        <f xml:space="preserve"> INPUTS│Outcomes!L163</f>
        <v>0</v>
      </c>
    </row>
    <row r="215" spans="2:16" outlineLevel="1" x14ac:dyDescent="0.2">
      <c r="C215" s="8" t="s">
        <v>81</v>
      </c>
      <c r="D215" s="18" t="s">
        <v>128</v>
      </c>
      <c r="E215" s="57">
        <f xml:space="preserve"> INPUTS│Outcomes!E164</f>
        <v>0</v>
      </c>
      <c r="F215" s="57">
        <f xml:space="preserve"> INPUTS│Outcomes!F164</f>
        <v>0</v>
      </c>
      <c r="G215" s="57">
        <f xml:space="preserve"> INPUTS│Outcomes!G164</f>
        <v>1414.8869999999999</v>
      </c>
      <c r="H215" s="57">
        <f xml:space="preserve"> INPUTS│Outcomes!H164</f>
        <v>1433.2999999999997</v>
      </c>
      <c r="I215" s="57">
        <f xml:space="preserve"> INPUTS│Outcomes!I164</f>
        <v>1438.2340000000002</v>
      </c>
      <c r="J215" s="57">
        <f xml:space="preserve"> INPUTS│Outcomes!J164</f>
        <v>1449.9090000000001</v>
      </c>
      <c r="K215" s="57">
        <f xml:space="preserve"> INPUTS│Outcomes!K164</f>
        <v>1458.152</v>
      </c>
      <c r="L215" s="57">
        <f xml:space="preserve"> INPUTS│Outcomes!L164</f>
        <v>0</v>
      </c>
    </row>
    <row r="216" spans="2:16" outlineLevel="1" x14ac:dyDescent="0.2">
      <c r="C216" s="8" t="s">
        <v>84</v>
      </c>
      <c r="D216" s="18" t="s">
        <v>128</v>
      </c>
      <c r="E216" s="57">
        <f xml:space="preserve"> INPUTS│Outcomes!E165</f>
        <v>0</v>
      </c>
      <c r="F216" s="57">
        <f xml:space="preserve"> INPUTS│Outcomes!F165</f>
        <v>0</v>
      </c>
      <c r="G216" s="57">
        <f xml:space="preserve"> INPUTS│Outcomes!G165</f>
        <v>0</v>
      </c>
      <c r="H216" s="57">
        <f xml:space="preserve"> INPUTS│Outcomes!H165</f>
        <v>0</v>
      </c>
      <c r="I216" s="57">
        <f xml:space="preserve"> INPUTS│Outcomes!I165</f>
        <v>0</v>
      </c>
      <c r="J216" s="57">
        <f xml:space="preserve"> INPUTS│Outcomes!J165</f>
        <v>0</v>
      </c>
      <c r="K216" s="57">
        <f xml:space="preserve"> INPUTS│Outcomes!K165</f>
        <v>21.070999999999998</v>
      </c>
      <c r="L216" s="57">
        <f xml:space="preserve"> INPUTS│Outcomes!L165</f>
        <v>0</v>
      </c>
    </row>
    <row r="217" spans="2:16" outlineLevel="1" x14ac:dyDescent="0.2">
      <c r="C217" s="8" t="s">
        <v>86</v>
      </c>
      <c r="D217" s="18" t="s">
        <v>128</v>
      </c>
      <c r="E217" s="57">
        <f xml:space="preserve"> INPUTS│Outcomes!E166</f>
        <v>0</v>
      </c>
      <c r="F217" s="57">
        <f xml:space="preserve"> INPUTS│Outcomes!F166</f>
        <v>0</v>
      </c>
      <c r="G217" s="57">
        <f xml:space="preserve"> INPUTS│Outcomes!G166</f>
        <v>1242.576</v>
      </c>
      <c r="H217" s="57">
        <f xml:space="preserve"> INPUTS│Outcomes!H166</f>
        <v>1248.567</v>
      </c>
      <c r="I217" s="57">
        <f xml:space="preserve"> INPUTS│Outcomes!I166</f>
        <v>1255.797</v>
      </c>
      <c r="J217" s="57">
        <f xml:space="preserve"> INPUTS│Outcomes!J166</f>
        <v>1264.011</v>
      </c>
      <c r="K217" s="57">
        <f xml:space="preserve"> INPUTS│Outcomes!K166</f>
        <v>1269.944</v>
      </c>
      <c r="L217" s="57">
        <f xml:space="preserve"> INPUTS│Outcomes!L166</f>
        <v>0</v>
      </c>
    </row>
    <row r="218" spans="2:16" outlineLevel="1" x14ac:dyDescent="0.2">
      <c r="C218" s="8" t="s">
        <v>88</v>
      </c>
      <c r="D218" s="18" t="s">
        <v>128</v>
      </c>
      <c r="E218" s="57">
        <f xml:space="preserve"> INPUTS│Outcomes!E167</f>
        <v>0</v>
      </c>
      <c r="F218" s="57">
        <f xml:space="preserve"> INPUTS│Outcomes!F167</f>
        <v>0</v>
      </c>
      <c r="G218" s="57">
        <f xml:space="preserve"> INPUTS│Outcomes!G167</f>
        <v>3998.0690000000004</v>
      </c>
      <c r="H218" s="57">
        <f xml:space="preserve"> INPUTS│Outcomes!H167</f>
        <v>4029.3120000000004</v>
      </c>
      <c r="I218" s="57">
        <f xml:space="preserve"> INPUTS│Outcomes!I167</f>
        <v>4078.6640000000002</v>
      </c>
      <c r="J218" s="57">
        <f xml:space="preserve"> INPUTS│Outcomes!J167</f>
        <v>4130.8130000000001</v>
      </c>
      <c r="K218" s="57">
        <f xml:space="preserve"> INPUTS│Outcomes!K167</f>
        <v>4149.9850000000006</v>
      </c>
      <c r="L218" s="57">
        <f xml:space="preserve"> INPUTS│Outcomes!L167</f>
        <v>0</v>
      </c>
    </row>
    <row r="219" spans="2:16" outlineLevel="1" x14ac:dyDescent="0.2">
      <c r="C219" s="8" t="s">
        <v>90</v>
      </c>
      <c r="D219" s="18" t="s">
        <v>128</v>
      </c>
      <c r="E219" s="57">
        <f xml:space="preserve"> INPUTS│Outcomes!E168</f>
        <v>0</v>
      </c>
      <c r="F219" s="57">
        <f xml:space="preserve"> INPUTS│Outcomes!F168</f>
        <v>0</v>
      </c>
      <c r="G219" s="57">
        <f xml:space="preserve"> INPUTS│Outcomes!G168</f>
        <v>720.61466666666729</v>
      </c>
      <c r="H219" s="57">
        <f xml:space="preserve"> INPUTS│Outcomes!H168</f>
        <v>724.31825000000026</v>
      </c>
      <c r="I219" s="57">
        <f xml:space="preserve"> INPUTS│Outcomes!I168</f>
        <v>733.50299242424319</v>
      </c>
      <c r="J219" s="57">
        <f xml:space="preserve"> INPUTS│Outcomes!J168</f>
        <v>746.38099999999997</v>
      </c>
      <c r="K219" s="57">
        <f xml:space="preserve"> INPUTS│Outcomes!K168</f>
        <v>758.08733333333305</v>
      </c>
      <c r="L219" s="57">
        <f xml:space="preserve"> INPUTS│Outcomes!L168</f>
        <v>0</v>
      </c>
    </row>
    <row r="220" spans="2:16" outlineLevel="1" x14ac:dyDescent="0.2">
      <c r="C220" s="8" t="s">
        <v>93</v>
      </c>
      <c r="D220" s="18" t="s">
        <v>128</v>
      </c>
      <c r="E220" s="57">
        <f xml:space="preserve"> INPUTS│Outcomes!E169</f>
        <v>0</v>
      </c>
      <c r="F220" s="57">
        <f xml:space="preserve"> INPUTS│Outcomes!F169</f>
        <v>0</v>
      </c>
      <c r="G220" s="57">
        <f xml:space="preserve"> INPUTS│Outcomes!G169</f>
        <v>1937.2839999999999</v>
      </c>
      <c r="H220" s="57">
        <f xml:space="preserve"> INPUTS│Outcomes!H169</f>
        <v>1948.0515000000003</v>
      </c>
      <c r="I220" s="57">
        <f xml:space="preserve"> INPUTS│Outcomes!I169</f>
        <v>1962.9179999999999</v>
      </c>
      <c r="J220" s="57">
        <f xml:space="preserve"> INPUTS│Outcomes!J169</f>
        <v>1978.1320000000001</v>
      </c>
      <c r="K220" s="57">
        <f xml:space="preserve"> INPUTS│Outcomes!K169</f>
        <v>1986.644</v>
      </c>
      <c r="L220" s="57">
        <f xml:space="preserve"> INPUTS│Outcomes!L169</f>
        <v>0</v>
      </c>
    </row>
    <row r="221" spans="2:16" outlineLevel="1" x14ac:dyDescent="0.2">
      <c r="C221" s="8" t="s">
        <v>95</v>
      </c>
      <c r="D221" s="18" t="s">
        <v>128</v>
      </c>
      <c r="E221" s="57">
        <f xml:space="preserve"> INPUTS│Outcomes!E170</f>
        <v>0</v>
      </c>
      <c r="F221" s="57">
        <f xml:space="preserve"> INPUTS│Outcomes!F170</f>
        <v>0</v>
      </c>
      <c r="G221" s="57">
        <f xml:space="preserve"> INPUTS│Outcomes!G170</f>
        <v>5689.3329999999996</v>
      </c>
      <c r="H221" s="57">
        <f xml:space="preserve"> INPUTS│Outcomes!H170</f>
        <v>5744.2039999999997</v>
      </c>
      <c r="I221" s="57">
        <f xml:space="preserve"> INPUTS│Outcomes!I170</f>
        <v>5795.3780000000006</v>
      </c>
      <c r="J221" s="57">
        <f xml:space="preserve"> INPUTS│Outcomes!J170</f>
        <v>5838.3990000000003</v>
      </c>
      <c r="K221" s="57">
        <f xml:space="preserve"> INPUTS│Outcomes!K170</f>
        <v>5899.9390000000003</v>
      </c>
      <c r="L221" s="57">
        <f xml:space="preserve"> INPUTS│Outcomes!L170</f>
        <v>0</v>
      </c>
    </row>
    <row r="222" spans="2:16" outlineLevel="1" x14ac:dyDescent="0.2">
      <c r="C222" s="8" t="s">
        <v>97</v>
      </c>
      <c r="D222" s="18" t="s">
        <v>128</v>
      </c>
      <c r="E222" s="57">
        <f xml:space="preserve"> INPUTS│Outcomes!E171</f>
        <v>0</v>
      </c>
      <c r="F222" s="57">
        <f xml:space="preserve"> INPUTS│Outcomes!F171</f>
        <v>0</v>
      </c>
      <c r="G222" s="57">
        <f xml:space="preserve"> INPUTS│Outcomes!G171</f>
        <v>3246.4740000000006</v>
      </c>
      <c r="H222" s="57">
        <f xml:space="preserve"> INPUTS│Outcomes!H171</f>
        <v>3268.3395</v>
      </c>
      <c r="I222" s="57">
        <f xml:space="preserve"> INPUTS│Outcomes!I171</f>
        <v>3289.6909999999998</v>
      </c>
      <c r="J222" s="57">
        <f xml:space="preserve"> INPUTS│Outcomes!J171</f>
        <v>3315.6660000000002</v>
      </c>
      <c r="K222" s="57">
        <f xml:space="preserve"> INPUTS│Outcomes!K171</f>
        <v>3342.0329999999999</v>
      </c>
      <c r="L222" s="57">
        <f xml:space="preserve"> INPUTS│Outcomes!L171</f>
        <v>0</v>
      </c>
    </row>
    <row r="223" spans="2:16" outlineLevel="1" x14ac:dyDescent="0.2">
      <c r="C223" s="8" t="s">
        <v>99</v>
      </c>
      <c r="D223" s="18" t="s">
        <v>128</v>
      </c>
      <c r="E223" s="57">
        <f xml:space="preserve"> INPUTS│Outcomes!E172</f>
        <v>0</v>
      </c>
      <c r="F223" s="57">
        <f xml:space="preserve"> INPUTS│Outcomes!F172</f>
        <v>0</v>
      </c>
      <c r="G223" s="57">
        <f xml:space="preserve"> INPUTS│Outcomes!G172</f>
        <v>1210.396</v>
      </c>
      <c r="H223" s="57">
        <f xml:space="preserve"> INPUTS│Outcomes!H172</f>
        <v>1220.2959999999998</v>
      </c>
      <c r="I223" s="57">
        <f xml:space="preserve"> INPUTS│Outcomes!I172</f>
        <v>1230.3919999999998</v>
      </c>
      <c r="J223" s="57">
        <f xml:space="preserve"> INPUTS│Outcomes!J172</f>
        <v>1238.193</v>
      </c>
      <c r="K223" s="57">
        <f xml:space="preserve"> INPUTS│Outcomes!K172</f>
        <v>1249.4469999999999</v>
      </c>
      <c r="L223" s="57">
        <f xml:space="preserve"> INPUTS│Outcomes!L172</f>
        <v>0</v>
      </c>
    </row>
    <row r="224" spans="2:16" outlineLevel="1" x14ac:dyDescent="0.2">
      <c r="C224" s="8" t="s">
        <v>101</v>
      </c>
      <c r="D224" s="18" t="s">
        <v>128</v>
      </c>
      <c r="E224" s="57">
        <f xml:space="preserve"> INPUTS│Outcomes!E173</f>
        <v>0</v>
      </c>
      <c r="F224" s="57">
        <f xml:space="preserve"> INPUTS│Outcomes!F173</f>
        <v>0</v>
      </c>
      <c r="G224" s="57">
        <f xml:space="preserve"> INPUTS│Outcomes!G173</f>
        <v>2244.73</v>
      </c>
      <c r="H224" s="57">
        <f xml:space="preserve"> INPUTS│Outcomes!H173</f>
        <v>2258.3679999999999</v>
      </c>
      <c r="I224" s="57">
        <f xml:space="preserve"> INPUTS│Outcomes!I173</f>
        <v>2271.9151739726062</v>
      </c>
      <c r="J224" s="57">
        <f xml:space="preserve"> INPUTS│Outcomes!J173</f>
        <v>2283.1219493150702</v>
      </c>
      <c r="K224" s="57">
        <f xml:space="preserve"> INPUTS│Outcomes!K173</f>
        <v>2299.1619999999998</v>
      </c>
      <c r="L224" s="57">
        <f xml:space="preserve"> INPUTS│Outcomes!L173</f>
        <v>0</v>
      </c>
    </row>
    <row r="225" spans="2:16" outlineLevel="1" x14ac:dyDescent="0.2"/>
    <row r="226" spans="2:16" outlineLevel="1" x14ac:dyDescent="0.2">
      <c r="C226" s="2" t="s">
        <v>257</v>
      </c>
      <c r="D226" s="3" t="s">
        <v>128</v>
      </c>
      <c r="E226" s="17">
        <f t="shared" ref="E226:L226" si="42">SUM(E214:E224)</f>
        <v>0</v>
      </c>
      <c r="F226" s="17">
        <f t="shared" si="42"/>
        <v>0</v>
      </c>
      <c r="G226" s="17">
        <f t="shared" si="42"/>
        <v>24416.559666666668</v>
      </c>
      <c r="H226" s="17">
        <f t="shared" si="42"/>
        <v>24586.203249999999</v>
      </c>
      <c r="I226" s="17">
        <f t="shared" si="42"/>
        <v>24799.90716639685</v>
      </c>
      <c r="J226" s="17">
        <f t="shared" si="42"/>
        <v>25000.897949315073</v>
      </c>
      <c r="K226" s="17">
        <f t="shared" si="42"/>
        <v>25225.943333333333</v>
      </c>
      <c r="L226" s="17">
        <f t="shared" si="42"/>
        <v>0</v>
      </c>
    </row>
    <row r="227" spans="2:16" outlineLevel="1" x14ac:dyDescent="0.2"/>
    <row r="228" spans="2:16" ht="13.5" outlineLevel="1" x14ac:dyDescent="0.25">
      <c r="B228" s="35" t="s">
        <v>498</v>
      </c>
      <c r="C228" s="35"/>
      <c r="D228" s="32"/>
      <c r="E228" s="32"/>
      <c r="F228" s="32"/>
      <c r="G228" s="32"/>
      <c r="H228" s="32"/>
      <c r="I228" s="32"/>
      <c r="J228" s="32"/>
      <c r="K228" s="32"/>
      <c r="L228" s="32"/>
      <c r="M228" s="32"/>
      <c r="N228" s="32"/>
      <c r="O228" s="61"/>
      <c r="P228" s="32"/>
    </row>
    <row r="229" spans="2:16" outlineLevel="1" x14ac:dyDescent="0.2"/>
    <row r="230" spans="2:16" ht="30" customHeight="1" outlineLevel="1" x14ac:dyDescent="0.2">
      <c r="N230" s="55" t="s">
        <v>497</v>
      </c>
      <c r="O230" s="56" t="s">
        <v>495</v>
      </c>
    </row>
    <row r="231" spans="2:16" outlineLevel="1" x14ac:dyDescent="0.2">
      <c r="C231" s="88" t="s">
        <v>79</v>
      </c>
      <c r="D231" s="131" t="s">
        <v>140</v>
      </c>
      <c r="E231" s="273" t="str">
        <f xml:space="preserve"> IFERROR( E198 / E214 * 10, "-" )</f>
        <v>-</v>
      </c>
      <c r="F231" s="273" t="str">
        <f t="shared" ref="F231:L231" si="43" xml:space="preserve"> IFERROR( F198 / F214 * 10, "-" )</f>
        <v>-</v>
      </c>
      <c r="G231" s="273">
        <f t="shared" si="43"/>
        <v>1.7513483538800299</v>
      </c>
      <c r="H231" s="273">
        <f t="shared" si="43"/>
        <v>1.5157958093962374</v>
      </c>
      <c r="I231" s="273">
        <f t="shared" si="43"/>
        <v>1.5673895491567991</v>
      </c>
      <c r="J231" s="273">
        <f t="shared" si="43"/>
        <v>1.4367232261547482</v>
      </c>
      <c r="K231" s="273">
        <f t="shared" si="43"/>
        <v>1.2251569866726564</v>
      </c>
      <c r="L231" s="273" t="str">
        <f t="shared" si="43"/>
        <v>-</v>
      </c>
      <c r="N231" s="82">
        <f t="shared" ref="N231:N241" si="44" xml:space="preserve"> IFERROR( INDEX( E231:L231, 1, MATCH( Year, $E$2:$L$2, 0 ) ) - G231, "-" )</f>
        <v>-0.52619136720737347</v>
      </c>
      <c r="O231" s="62">
        <f xml:space="preserve"> IF( G231 = "-", "-", N231 / G231 )</f>
        <v>-0.3004492887103935</v>
      </c>
    </row>
    <row r="232" spans="2:16" outlineLevel="1" x14ac:dyDescent="0.2">
      <c r="C232" s="88" t="s">
        <v>81</v>
      </c>
      <c r="D232" s="131" t="s">
        <v>140</v>
      </c>
      <c r="E232" s="273" t="str">
        <f t="shared" ref="E232:L241" si="45" xml:space="preserve"> IFERROR( E199 / E215 * 10, "-" )</f>
        <v>-</v>
      </c>
      <c r="F232" s="273" t="str">
        <f t="shared" si="45"/>
        <v>-</v>
      </c>
      <c r="G232" s="273">
        <f t="shared" si="45"/>
        <v>1.8729410899951728</v>
      </c>
      <c r="H232" s="273">
        <f t="shared" si="45"/>
        <v>1.5558501360496759</v>
      </c>
      <c r="I232" s="273">
        <f t="shared" si="45"/>
        <v>1.6826191009251623</v>
      </c>
      <c r="J232" s="273">
        <f t="shared" si="45"/>
        <v>1.5242335898321893</v>
      </c>
      <c r="K232" s="273">
        <f t="shared" si="45"/>
        <v>1.5156170275801151</v>
      </c>
      <c r="L232" s="273" t="str">
        <f t="shared" si="45"/>
        <v>-</v>
      </c>
      <c r="N232" s="82">
        <f t="shared" si="44"/>
        <v>-0.35732406241505776</v>
      </c>
      <c r="O232" s="62">
        <f t="shared" ref="O232:O241" si="46" xml:space="preserve"> IF( G232 = "-", "-", N232 / G232 )</f>
        <v>-0.1907823285653788</v>
      </c>
    </row>
    <row r="233" spans="2:16" outlineLevel="1" x14ac:dyDescent="0.2">
      <c r="C233" s="88" t="s">
        <v>84</v>
      </c>
      <c r="D233" s="131" t="s">
        <v>140</v>
      </c>
      <c r="E233" s="273" t="str">
        <f t="shared" si="45"/>
        <v>-</v>
      </c>
      <c r="F233" s="273" t="str">
        <f t="shared" si="45"/>
        <v>-</v>
      </c>
      <c r="G233" s="273" t="str">
        <f t="shared" si="45"/>
        <v>-</v>
      </c>
      <c r="H233" s="273" t="str">
        <f t="shared" si="45"/>
        <v>-</v>
      </c>
      <c r="I233" s="273" t="str">
        <f t="shared" si="45"/>
        <v>-</v>
      </c>
      <c r="J233" s="273" t="str">
        <f t="shared" si="45"/>
        <v>-</v>
      </c>
      <c r="K233" s="273">
        <f t="shared" si="45"/>
        <v>1.8983436951260027</v>
      </c>
      <c r="L233" s="273" t="str">
        <f t="shared" si="45"/>
        <v>-</v>
      </c>
      <c r="N233" s="82" t="str">
        <f t="shared" si="44"/>
        <v>-</v>
      </c>
      <c r="O233" s="62" t="str">
        <f t="shared" si="46"/>
        <v>-</v>
      </c>
    </row>
    <row r="234" spans="2:16" outlineLevel="1" x14ac:dyDescent="0.2">
      <c r="C234" s="88" t="s">
        <v>86</v>
      </c>
      <c r="D234" s="131" t="s">
        <v>140</v>
      </c>
      <c r="E234" s="273" t="str">
        <f t="shared" si="45"/>
        <v>-</v>
      </c>
      <c r="F234" s="273" t="str">
        <f t="shared" si="45"/>
        <v>-</v>
      </c>
      <c r="G234" s="273">
        <f t="shared" si="45"/>
        <v>3.3478837511749782</v>
      </c>
      <c r="H234" s="273">
        <f t="shared" si="45"/>
        <v>2.8993237847868798</v>
      </c>
      <c r="I234" s="273">
        <f t="shared" si="45"/>
        <v>2.6596655351143541</v>
      </c>
      <c r="J234" s="273">
        <f t="shared" si="45"/>
        <v>2.3338404491733065</v>
      </c>
      <c r="K234" s="273">
        <f t="shared" si="45"/>
        <v>2.9135142966933976</v>
      </c>
      <c r="L234" s="273" t="str">
        <f t="shared" si="45"/>
        <v>-</v>
      </c>
      <c r="N234" s="82">
        <f t="shared" si="44"/>
        <v>-0.4343694544815806</v>
      </c>
      <c r="O234" s="62">
        <f t="shared" si="46"/>
        <v>-0.12974448540190012</v>
      </c>
    </row>
    <row r="235" spans="2:16" outlineLevel="1" x14ac:dyDescent="0.2">
      <c r="C235" s="88" t="s">
        <v>88</v>
      </c>
      <c r="D235" s="131" t="s">
        <v>140</v>
      </c>
      <c r="E235" s="273" t="str">
        <f t="shared" si="45"/>
        <v>-</v>
      </c>
      <c r="F235" s="273" t="str">
        <f t="shared" si="45"/>
        <v>-</v>
      </c>
      <c r="G235" s="273">
        <f t="shared" si="45"/>
        <v>2.921410310827552</v>
      </c>
      <c r="H235" s="273">
        <f t="shared" si="45"/>
        <v>2.0077869373232948</v>
      </c>
      <c r="I235" s="273">
        <f t="shared" si="45"/>
        <v>2.20905669111258</v>
      </c>
      <c r="J235" s="273">
        <f t="shared" si="45"/>
        <v>1.6025900954606274</v>
      </c>
      <c r="K235" s="273">
        <f t="shared" si="45"/>
        <v>1.7469942662443354</v>
      </c>
      <c r="L235" s="273" t="str">
        <f t="shared" si="45"/>
        <v>-</v>
      </c>
      <c r="N235" s="82">
        <f t="shared" si="44"/>
        <v>-1.1744160445832166</v>
      </c>
      <c r="O235" s="62">
        <f t="shared" si="46"/>
        <v>-0.40200311480742945</v>
      </c>
    </row>
    <row r="236" spans="2:16" outlineLevel="1" x14ac:dyDescent="0.2">
      <c r="C236" s="88" t="s">
        <v>90</v>
      </c>
      <c r="D236" s="131" t="s">
        <v>140</v>
      </c>
      <c r="E236" s="273" t="str">
        <f t="shared" si="45"/>
        <v>-</v>
      </c>
      <c r="F236" s="273" t="str">
        <f t="shared" si="45"/>
        <v>-</v>
      </c>
      <c r="G236" s="273">
        <f t="shared" si="45"/>
        <v>2.525621645225093</v>
      </c>
      <c r="H236" s="273">
        <f t="shared" si="45"/>
        <v>2.6093502407263647</v>
      </c>
      <c r="I236" s="273">
        <f t="shared" si="45"/>
        <v>2.2494795754639179</v>
      </c>
      <c r="J236" s="273">
        <f t="shared" si="45"/>
        <v>1.8891156125356889</v>
      </c>
      <c r="K236" s="273">
        <f t="shared" si="45"/>
        <v>1.2267715856836201</v>
      </c>
      <c r="L236" s="273" t="str">
        <f t="shared" si="45"/>
        <v>-</v>
      </c>
      <c r="N236" s="82">
        <f t="shared" si="44"/>
        <v>-1.2988500595414729</v>
      </c>
      <c r="O236" s="62">
        <f t="shared" si="46"/>
        <v>-0.51426945203651608</v>
      </c>
    </row>
    <row r="237" spans="2:16" outlineLevel="1" x14ac:dyDescent="0.2">
      <c r="C237" s="88" t="s">
        <v>93</v>
      </c>
      <c r="D237" s="131" t="s">
        <v>140</v>
      </c>
      <c r="E237" s="273" t="str">
        <f t="shared" si="45"/>
        <v>-</v>
      </c>
      <c r="F237" s="273" t="str">
        <f t="shared" si="45"/>
        <v>-</v>
      </c>
      <c r="G237" s="273">
        <f t="shared" si="45"/>
        <v>2.5138286384443376</v>
      </c>
      <c r="H237" s="273">
        <f t="shared" si="45"/>
        <v>2.525600580888133</v>
      </c>
      <c r="I237" s="273">
        <f t="shared" si="45"/>
        <v>2.2823164289083904</v>
      </c>
      <c r="J237" s="273">
        <f t="shared" si="45"/>
        <v>2.0271650223544233</v>
      </c>
      <c r="K237" s="273">
        <f t="shared" si="45"/>
        <v>1.9580760317399595</v>
      </c>
      <c r="L237" s="273" t="str">
        <f t="shared" si="45"/>
        <v>-</v>
      </c>
      <c r="N237" s="82">
        <f t="shared" si="44"/>
        <v>-0.55575260670437809</v>
      </c>
      <c r="O237" s="62">
        <f t="shared" si="46"/>
        <v>-0.22107815871184486</v>
      </c>
    </row>
    <row r="238" spans="2:16" outlineLevel="1" x14ac:dyDescent="0.2">
      <c r="C238" s="88" t="s">
        <v>95</v>
      </c>
      <c r="D238" s="131" t="s">
        <v>140</v>
      </c>
      <c r="E238" s="273" t="str">
        <f t="shared" si="45"/>
        <v>-</v>
      </c>
      <c r="F238" s="273" t="str">
        <f t="shared" si="45"/>
        <v>-</v>
      </c>
      <c r="G238" s="273">
        <f t="shared" si="45"/>
        <v>2.9089525960248768</v>
      </c>
      <c r="H238" s="273">
        <f t="shared" si="45"/>
        <v>2.4424620016977112</v>
      </c>
      <c r="I238" s="273">
        <f t="shared" si="45"/>
        <v>2.09477276546931</v>
      </c>
      <c r="J238" s="273">
        <f t="shared" si="45"/>
        <v>1.818991816078346</v>
      </c>
      <c r="K238" s="273">
        <f t="shared" si="45"/>
        <v>1.7491706270183471</v>
      </c>
      <c r="L238" s="273" t="str">
        <f t="shared" si="45"/>
        <v>-</v>
      </c>
      <c r="N238" s="82">
        <f t="shared" si="44"/>
        <v>-1.1597819690065296</v>
      </c>
      <c r="O238" s="62">
        <f t="shared" si="46"/>
        <v>-0.39869400779902275</v>
      </c>
    </row>
    <row r="239" spans="2:16" outlineLevel="1" x14ac:dyDescent="0.2">
      <c r="C239" s="88" t="s">
        <v>97</v>
      </c>
      <c r="D239" s="131" t="s">
        <v>140</v>
      </c>
      <c r="E239" s="273" t="str">
        <f t="shared" si="45"/>
        <v>-</v>
      </c>
      <c r="F239" s="273" t="str">
        <f t="shared" si="45"/>
        <v>-</v>
      </c>
      <c r="G239" s="273">
        <f t="shared" si="45"/>
        <v>2.4888540613601089</v>
      </c>
      <c r="H239" s="273">
        <f t="shared" si="45"/>
        <v>3.0168224567857775</v>
      </c>
      <c r="I239" s="273">
        <f t="shared" si="45"/>
        <v>2.8604510271633417</v>
      </c>
      <c r="J239" s="273">
        <f t="shared" si="45"/>
        <v>1.9603904615241703</v>
      </c>
      <c r="K239" s="273">
        <f t="shared" si="45"/>
        <v>1.6935799257517805</v>
      </c>
      <c r="L239" s="273" t="str">
        <f t="shared" si="45"/>
        <v>-</v>
      </c>
      <c r="N239" s="82">
        <f t="shared" si="44"/>
        <v>-0.79527413560832838</v>
      </c>
      <c r="O239" s="62">
        <f t="shared" si="46"/>
        <v>-0.31953425793625156</v>
      </c>
    </row>
    <row r="240" spans="2:16" outlineLevel="1" x14ac:dyDescent="0.2">
      <c r="C240" s="88" t="s">
        <v>99</v>
      </c>
      <c r="D240" s="131" t="s">
        <v>140</v>
      </c>
      <c r="E240" s="273" t="str">
        <f t="shared" si="45"/>
        <v>-</v>
      </c>
      <c r="F240" s="273" t="str">
        <f t="shared" si="45"/>
        <v>-</v>
      </c>
      <c r="G240" s="273">
        <f t="shared" si="45"/>
        <v>1.1566462546141925</v>
      </c>
      <c r="H240" s="273">
        <f t="shared" si="45"/>
        <v>1.3685204245527316</v>
      </c>
      <c r="I240" s="273">
        <f t="shared" si="45"/>
        <v>1.2028686792501904</v>
      </c>
      <c r="J240" s="273">
        <f t="shared" si="45"/>
        <v>1.2195190895118937</v>
      </c>
      <c r="K240" s="273">
        <f t="shared" si="45"/>
        <v>1.4326337971918779</v>
      </c>
      <c r="L240" s="273" t="str">
        <f t="shared" si="45"/>
        <v>-</v>
      </c>
      <c r="N240" s="82">
        <f t="shared" si="44"/>
        <v>0.27598754257768543</v>
      </c>
      <c r="O240" s="62">
        <f t="shared" si="46"/>
        <v>0.2386101554184715</v>
      </c>
    </row>
    <row r="241" spans="2:16" outlineLevel="1" x14ac:dyDescent="0.2">
      <c r="C241" s="88" t="s">
        <v>101</v>
      </c>
      <c r="D241" s="131" t="s">
        <v>140</v>
      </c>
      <c r="E241" s="273" t="str">
        <f t="shared" si="45"/>
        <v>-</v>
      </c>
      <c r="F241" s="273" t="str">
        <f t="shared" si="45"/>
        <v>-</v>
      </c>
      <c r="G241" s="273">
        <f t="shared" si="45"/>
        <v>8.6736489466439171</v>
      </c>
      <c r="H241" s="273">
        <f t="shared" si="45"/>
        <v>8.1563323603593396</v>
      </c>
      <c r="I241" s="273">
        <f t="shared" si="45"/>
        <v>7.7863822569870731</v>
      </c>
      <c r="J241" s="273">
        <f t="shared" si="45"/>
        <v>7.367105381754115</v>
      </c>
      <c r="K241" s="273">
        <f t="shared" si="45"/>
        <v>7.3592030487629847</v>
      </c>
      <c r="L241" s="273" t="str">
        <f t="shared" si="45"/>
        <v>-</v>
      </c>
      <c r="N241" s="82">
        <f t="shared" si="44"/>
        <v>-1.3144458978809324</v>
      </c>
      <c r="O241" s="62">
        <f t="shared" si="46"/>
        <v>-0.15154474269903775</v>
      </c>
    </row>
    <row r="242" spans="2:16" outlineLevel="1" x14ac:dyDescent="0.2"/>
    <row r="243" spans="2:16" outlineLevel="1" x14ac:dyDescent="0.2">
      <c r="C243" s="2" t="s">
        <v>257</v>
      </c>
      <c r="D243" s="3" t="s">
        <v>140</v>
      </c>
      <c r="E243" s="15">
        <f t="shared" ref="E243:L243" si="47" xml:space="preserve"> IFERROR( E210 / E226 * 10, 0 )</f>
        <v>0</v>
      </c>
      <c r="F243" s="15">
        <f t="shared" si="47"/>
        <v>0</v>
      </c>
      <c r="G243" s="15">
        <f t="shared" si="47"/>
        <v>3.0892968145293849</v>
      </c>
      <c r="H243" s="15">
        <f t="shared" si="47"/>
        <v>2.7999443142974911</v>
      </c>
      <c r="I243" s="15">
        <f t="shared" si="47"/>
        <v>2.6580744660737956</v>
      </c>
      <c r="J243" s="15">
        <f t="shared" si="47"/>
        <v>2.2643186702640374</v>
      </c>
      <c r="K243" s="15">
        <f t="shared" si="47"/>
        <v>2.2250902278778342</v>
      </c>
      <c r="L243" s="15">
        <f t="shared" si="47"/>
        <v>0</v>
      </c>
      <c r="N243" s="15">
        <f xml:space="preserve"> INDEX( E243:L243, 1, MATCH( Year, $E$2:$L$2, 0 ) ) - G243</f>
        <v>-0.8642065866515507</v>
      </c>
      <c r="O243" s="62">
        <f xml:space="preserve"> IF( G243 = 0, "-", N243 / G243 )</f>
        <v>-0.27974216740426788</v>
      </c>
    </row>
    <row r="245" spans="2:16" ht="13.5" x14ac:dyDescent="0.25">
      <c r="B245" s="9" t="s">
        <v>164</v>
      </c>
      <c r="C245" s="9"/>
      <c r="D245" s="10"/>
      <c r="E245" s="10"/>
      <c r="F245" s="10"/>
      <c r="G245" s="10"/>
      <c r="H245" s="10"/>
      <c r="I245" s="10"/>
      <c r="J245" s="10"/>
      <c r="K245" s="10"/>
      <c r="L245" s="10"/>
      <c r="M245" s="10"/>
      <c r="N245" s="10"/>
      <c r="O245" s="64"/>
      <c r="P245" s="10"/>
    </row>
    <row r="246" spans="2:16" outlineLevel="1" x14ac:dyDescent="0.2">
      <c r="E246" s="11"/>
      <c r="F246" s="11"/>
      <c r="G246" s="11"/>
      <c r="H246" s="11"/>
      <c r="I246" s="11"/>
      <c r="J246" s="11"/>
      <c r="K246" s="11"/>
      <c r="L246" s="11"/>
      <c r="M246" s="11"/>
      <c r="N246" s="11"/>
      <c r="O246" s="27"/>
      <c r="P246" s="11"/>
    </row>
    <row r="247" spans="2:16" ht="13.5" outlineLevel="1" x14ac:dyDescent="0.25">
      <c r="B247" s="35" t="s">
        <v>319</v>
      </c>
      <c r="C247" s="35"/>
      <c r="D247" s="32"/>
      <c r="E247" s="32"/>
      <c r="F247" s="32"/>
      <c r="G247" s="32"/>
      <c r="H247" s="32"/>
      <c r="I247" s="32"/>
      <c r="J247" s="32"/>
      <c r="K247" s="32"/>
      <c r="L247" s="32"/>
      <c r="M247" s="32"/>
      <c r="N247" s="32"/>
      <c r="O247" s="61"/>
      <c r="P247" s="32"/>
    </row>
    <row r="248" spans="2:16" outlineLevel="1" x14ac:dyDescent="0.2"/>
    <row r="249" spans="2:16" ht="30" customHeight="1" outlineLevel="1" x14ac:dyDescent="0.2">
      <c r="N249" s="55" t="s">
        <v>492</v>
      </c>
      <c r="O249" s="56" t="s">
        <v>495</v>
      </c>
    </row>
    <row r="250" spans="2:16" outlineLevel="1" x14ac:dyDescent="0.2">
      <c r="C250" s="8" t="s">
        <v>79</v>
      </c>
      <c r="D250" s="18" t="s">
        <v>140</v>
      </c>
      <c r="E250" s="57">
        <f xml:space="preserve"> INPUTS│Outcomes!E181</f>
        <v>101</v>
      </c>
      <c r="F250" s="57">
        <f xml:space="preserve"> INPUTS│Outcomes!F181</f>
        <v>89</v>
      </c>
      <c r="G250" s="57">
        <f xml:space="preserve"> INPUTS│Outcomes!G181</f>
        <v>90</v>
      </c>
      <c r="H250" s="57">
        <f xml:space="preserve"> INPUTS│Outcomes!H181</f>
        <v>35</v>
      </c>
      <c r="I250" s="57">
        <f xml:space="preserve"> INPUTS│Outcomes!I181</f>
        <v>32</v>
      </c>
      <c r="J250" s="57">
        <f xml:space="preserve"> INPUTS│Outcomes!J181</f>
        <v>30</v>
      </c>
      <c r="K250" s="57">
        <f xml:space="preserve"> INPUTS│Outcomes!K181</f>
        <v>25</v>
      </c>
      <c r="L250" s="57">
        <f xml:space="preserve"> INPUTS│Outcomes!L181</f>
        <v>0</v>
      </c>
      <c r="N250" s="93">
        <f t="shared" ref="N250:N260" si="48" xml:space="preserve"> IFERROR( INDEX( E250:L250, 1, MATCH( Year, $E$2:$L$2, 0 ) ) - E250, "-" )</f>
        <v>-76</v>
      </c>
      <c r="O250" s="62">
        <f xml:space="preserve"> IFERROR( IF( E250 = 0, "-", N250 / E250 ), "-" )</f>
        <v>-0.75247524752475248</v>
      </c>
    </row>
    <row r="251" spans="2:16" outlineLevel="1" x14ac:dyDescent="0.2">
      <c r="C251" s="8" t="s">
        <v>81</v>
      </c>
      <c r="D251" s="18" t="s">
        <v>140</v>
      </c>
      <c r="E251" s="57">
        <f xml:space="preserve"> INPUTS│Outcomes!E182</f>
        <v>110</v>
      </c>
      <c r="F251" s="57">
        <f xml:space="preserve"> INPUTS│Outcomes!F182</f>
        <v>66</v>
      </c>
      <c r="G251" s="57">
        <f xml:space="preserve"> INPUTS│Outcomes!G182</f>
        <v>59</v>
      </c>
      <c r="H251" s="57">
        <f xml:space="preserve"> INPUTS│Outcomes!H182</f>
        <v>59</v>
      </c>
      <c r="I251" s="57">
        <f xml:space="preserve"> INPUTS│Outcomes!I182</f>
        <v>29.8</v>
      </c>
      <c r="J251" s="57">
        <f xml:space="preserve"> INPUTS│Outcomes!J182</f>
        <v>28.2</v>
      </c>
      <c r="K251" s="57">
        <f xml:space="preserve"> INPUTS│Outcomes!K182</f>
        <v>28</v>
      </c>
      <c r="L251" s="57">
        <f xml:space="preserve"> INPUTS│Outcomes!L182</f>
        <v>0</v>
      </c>
      <c r="N251" s="93">
        <f t="shared" si="48"/>
        <v>-82</v>
      </c>
      <c r="O251" s="62">
        <f t="shared" ref="O251:O260" si="49" xml:space="preserve"> IFERROR( IF( E251 = 0, "-", N251 / E251 ), "-" )</f>
        <v>-0.74545454545454548</v>
      </c>
    </row>
    <row r="252" spans="2:16" outlineLevel="1" x14ac:dyDescent="0.2">
      <c r="C252" s="8" t="s">
        <v>84</v>
      </c>
      <c r="D252" s="18" t="s">
        <v>140</v>
      </c>
      <c r="E252" s="115" t="str">
        <f xml:space="preserve"> INPUTS│Outcomes!E183</f>
        <v>-</v>
      </c>
      <c r="F252" s="115" t="str">
        <f xml:space="preserve"> INPUTS│Outcomes!F183</f>
        <v>-</v>
      </c>
      <c r="G252" s="115" t="str">
        <f xml:space="preserve"> INPUTS│Outcomes!G183</f>
        <v>-</v>
      </c>
      <c r="H252" s="115" t="str">
        <f xml:space="preserve"> INPUTS│Outcomes!H183</f>
        <v>-</v>
      </c>
      <c r="I252" s="115" t="str">
        <f xml:space="preserve"> INPUTS│Outcomes!I183</f>
        <v>-</v>
      </c>
      <c r="J252" s="115" t="str">
        <f xml:space="preserve"> INPUTS│Outcomes!J183</f>
        <v>-</v>
      </c>
      <c r="K252" s="115" t="str">
        <f xml:space="preserve"> INPUTS│Outcomes!K183</f>
        <v>-</v>
      </c>
      <c r="L252" s="115">
        <f xml:space="preserve"> INPUTS│Outcomes!L183</f>
        <v>0</v>
      </c>
      <c r="N252" s="93" t="str">
        <f t="shared" si="48"/>
        <v>-</v>
      </c>
      <c r="O252" s="62" t="str">
        <f t="shared" si="49"/>
        <v>-</v>
      </c>
    </row>
    <row r="253" spans="2:16" outlineLevel="1" x14ac:dyDescent="0.2">
      <c r="C253" s="8" t="s">
        <v>86</v>
      </c>
      <c r="D253" s="18" t="s">
        <v>140</v>
      </c>
      <c r="E253" s="57">
        <f xml:space="preserve"> INPUTS│Outcomes!E184</f>
        <v>120</v>
      </c>
      <c r="F253" s="57">
        <f xml:space="preserve"> INPUTS│Outcomes!F184</f>
        <v>79</v>
      </c>
      <c r="G253" s="57">
        <f xml:space="preserve"> INPUTS│Outcomes!G184</f>
        <v>54</v>
      </c>
      <c r="H253" s="57">
        <f xml:space="preserve"> INPUTS│Outcomes!H184</f>
        <v>97</v>
      </c>
      <c r="I253" s="57">
        <f xml:space="preserve"> INPUTS│Outcomes!I184</f>
        <v>38</v>
      </c>
      <c r="J253" s="57">
        <f xml:space="preserve"> INPUTS│Outcomes!J184</f>
        <v>17</v>
      </c>
      <c r="K253" s="57">
        <f xml:space="preserve"> INPUTS│Outcomes!K184</f>
        <v>12</v>
      </c>
      <c r="L253" s="57">
        <f xml:space="preserve"> INPUTS│Outcomes!L184</f>
        <v>0</v>
      </c>
      <c r="N253" s="93">
        <f t="shared" si="48"/>
        <v>-108</v>
      </c>
      <c r="O253" s="62">
        <f t="shared" si="49"/>
        <v>-0.9</v>
      </c>
    </row>
    <row r="254" spans="2:16" outlineLevel="1" x14ac:dyDescent="0.2">
      <c r="C254" s="8" t="s">
        <v>88</v>
      </c>
      <c r="D254" s="18" t="s">
        <v>140</v>
      </c>
      <c r="E254" s="57">
        <f xml:space="preserve"> INPUTS│Outcomes!E185</f>
        <v>67</v>
      </c>
      <c r="F254" s="57">
        <f xml:space="preserve"> INPUTS│Outcomes!F185</f>
        <v>79</v>
      </c>
      <c r="G254" s="57">
        <f xml:space="preserve"> INPUTS│Outcomes!G185</f>
        <v>65</v>
      </c>
      <c r="H254" s="57">
        <f xml:space="preserve"> INPUTS│Outcomes!H185</f>
        <v>47</v>
      </c>
      <c r="I254" s="57">
        <f xml:space="preserve"> INPUTS│Outcomes!I185</f>
        <v>30</v>
      </c>
      <c r="J254" s="57">
        <f xml:space="preserve"> INPUTS│Outcomes!J185</f>
        <v>30</v>
      </c>
      <c r="K254" s="57">
        <f xml:space="preserve"> INPUTS│Outcomes!K185</f>
        <v>31</v>
      </c>
      <c r="L254" s="57">
        <f xml:space="preserve"> INPUTS│Outcomes!L185</f>
        <v>0</v>
      </c>
      <c r="N254" s="93">
        <f t="shared" si="48"/>
        <v>-36</v>
      </c>
      <c r="O254" s="62">
        <f t="shared" si="49"/>
        <v>-0.53731343283582089</v>
      </c>
    </row>
    <row r="255" spans="2:16" outlineLevel="1" x14ac:dyDescent="0.2">
      <c r="C255" s="8" t="s">
        <v>90</v>
      </c>
      <c r="D255" s="18" t="s">
        <v>140</v>
      </c>
      <c r="E255" s="57">
        <f xml:space="preserve"> INPUTS│Outcomes!E186</f>
        <v>223</v>
      </c>
      <c r="F255" s="57">
        <f xml:space="preserve"> INPUTS│Outcomes!F186</f>
        <v>267</v>
      </c>
      <c r="G255" s="57">
        <f xml:space="preserve"> INPUTS│Outcomes!G186</f>
        <v>169</v>
      </c>
      <c r="H255" s="57">
        <f xml:space="preserve"> INPUTS│Outcomes!H186</f>
        <v>171</v>
      </c>
      <c r="I255" s="57">
        <f xml:space="preserve"> INPUTS│Outcomes!I186</f>
        <v>115</v>
      </c>
      <c r="J255" s="57">
        <f xml:space="preserve"> INPUTS│Outcomes!J186</f>
        <v>109</v>
      </c>
      <c r="K255" s="57">
        <f xml:space="preserve"> INPUTS│Outcomes!K186</f>
        <v>98</v>
      </c>
      <c r="L255" s="57">
        <f xml:space="preserve"> INPUTS│Outcomes!L186</f>
        <v>0</v>
      </c>
      <c r="N255" s="93">
        <f t="shared" si="48"/>
        <v>-125</v>
      </c>
      <c r="O255" s="62">
        <f t="shared" si="49"/>
        <v>-0.5605381165919282</v>
      </c>
    </row>
    <row r="256" spans="2:16" outlineLevel="1" x14ac:dyDescent="0.2">
      <c r="C256" s="8" t="s">
        <v>93</v>
      </c>
      <c r="D256" s="18" t="s">
        <v>140</v>
      </c>
      <c r="E256" s="57">
        <f xml:space="preserve"> INPUTS│Outcomes!E187</f>
        <v>189</v>
      </c>
      <c r="F256" s="57">
        <f xml:space="preserve"> INPUTS│Outcomes!F187</f>
        <v>148</v>
      </c>
      <c r="G256" s="57">
        <f xml:space="preserve"> INPUTS│Outcomes!G187</f>
        <v>135</v>
      </c>
      <c r="H256" s="57">
        <f xml:space="preserve"> INPUTS│Outcomes!H187</f>
        <v>75</v>
      </c>
      <c r="I256" s="57">
        <f xml:space="preserve"> INPUTS│Outcomes!I187</f>
        <v>35</v>
      </c>
      <c r="J256" s="57">
        <f xml:space="preserve"> INPUTS│Outcomes!J187</f>
        <v>31</v>
      </c>
      <c r="K256" s="57">
        <f xml:space="preserve"> INPUTS│Outcomes!K187</f>
        <v>39</v>
      </c>
      <c r="L256" s="57">
        <f xml:space="preserve"> INPUTS│Outcomes!L187</f>
        <v>0</v>
      </c>
      <c r="N256" s="93">
        <f t="shared" si="48"/>
        <v>-150</v>
      </c>
      <c r="O256" s="62">
        <f t="shared" si="49"/>
        <v>-0.79365079365079361</v>
      </c>
    </row>
    <row r="257" spans="2:16" outlineLevel="1" x14ac:dyDescent="0.2">
      <c r="C257" s="8" t="s">
        <v>95</v>
      </c>
      <c r="D257" s="18" t="s">
        <v>140</v>
      </c>
      <c r="E257" s="57">
        <f xml:space="preserve"> INPUTS│Outcomes!E188</f>
        <v>68</v>
      </c>
      <c r="F257" s="57">
        <f xml:space="preserve"> INPUTS│Outcomes!F188</f>
        <v>90</v>
      </c>
      <c r="G257" s="57">
        <f xml:space="preserve"> INPUTS│Outcomes!G188</f>
        <v>76</v>
      </c>
      <c r="H257" s="57">
        <f xml:space="preserve"> INPUTS│Outcomes!H188</f>
        <v>38</v>
      </c>
      <c r="I257" s="57">
        <f xml:space="preserve"> INPUTS│Outcomes!I188</f>
        <v>33</v>
      </c>
      <c r="J257" s="57">
        <f xml:space="preserve"> INPUTS│Outcomes!J188</f>
        <v>28</v>
      </c>
      <c r="K257" s="57">
        <f xml:space="preserve"> INPUTS│Outcomes!K188</f>
        <v>27</v>
      </c>
      <c r="L257" s="57">
        <f xml:space="preserve"> INPUTS│Outcomes!L188</f>
        <v>0</v>
      </c>
      <c r="N257" s="93">
        <f t="shared" si="48"/>
        <v>-41</v>
      </c>
      <c r="O257" s="62">
        <f t="shared" si="49"/>
        <v>-0.6029411764705882</v>
      </c>
    </row>
    <row r="258" spans="2:16" outlineLevel="1" x14ac:dyDescent="0.2">
      <c r="C258" s="8" t="s">
        <v>97</v>
      </c>
      <c r="D258" s="18" t="s">
        <v>140</v>
      </c>
      <c r="E258" s="57">
        <f xml:space="preserve"> INPUTS│Outcomes!E189</f>
        <v>74</v>
      </c>
      <c r="F258" s="57">
        <f xml:space="preserve"> INPUTS│Outcomes!F189</f>
        <v>48</v>
      </c>
      <c r="G258" s="57">
        <f xml:space="preserve"> INPUTS│Outcomes!G189</f>
        <v>49</v>
      </c>
      <c r="H258" s="57">
        <f xml:space="preserve"> INPUTS│Outcomes!H189</f>
        <v>40</v>
      </c>
      <c r="I258" s="57">
        <f xml:space="preserve"> INPUTS│Outcomes!I189</f>
        <v>22</v>
      </c>
      <c r="J258" s="57">
        <f xml:space="preserve"> INPUTS│Outcomes!J189</f>
        <v>23</v>
      </c>
      <c r="K258" s="57">
        <f xml:space="preserve"> INPUTS│Outcomes!K189</f>
        <v>24</v>
      </c>
      <c r="L258" s="57">
        <f xml:space="preserve"> INPUTS│Outcomes!L189</f>
        <v>0</v>
      </c>
      <c r="N258" s="93">
        <f t="shared" si="48"/>
        <v>-50</v>
      </c>
      <c r="O258" s="62">
        <f t="shared" si="49"/>
        <v>-0.67567567567567566</v>
      </c>
    </row>
    <row r="259" spans="2:16" outlineLevel="1" x14ac:dyDescent="0.2">
      <c r="C259" s="8" t="s">
        <v>99</v>
      </c>
      <c r="D259" s="18" t="s">
        <v>140</v>
      </c>
      <c r="E259" s="57">
        <f xml:space="preserve"> INPUTS│Outcomes!E190</f>
        <v>35</v>
      </c>
      <c r="F259" s="57">
        <f xml:space="preserve"> INPUTS│Outcomes!F190</f>
        <v>48</v>
      </c>
      <c r="G259" s="57">
        <f xml:space="preserve"> INPUTS│Outcomes!G190</f>
        <v>44</v>
      </c>
      <c r="H259" s="57">
        <f xml:space="preserve"> INPUTS│Outcomes!H190</f>
        <v>48</v>
      </c>
      <c r="I259" s="57">
        <f xml:space="preserve"> INPUTS│Outcomes!I190</f>
        <v>22</v>
      </c>
      <c r="J259" s="57">
        <f xml:space="preserve"> INPUTS│Outcomes!J190</f>
        <v>23</v>
      </c>
      <c r="K259" s="57">
        <f xml:space="preserve"> INPUTS│Outcomes!K190</f>
        <v>24</v>
      </c>
      <c r="L259" s="57">
        <f xml:space="preserve"> INPUTS│Outcomes!L190</f>
        <v>0</v>
      </c>
      <c r="N259" s="93">
        <f t="shared" si="48"/>
        <v>-11</v>
      </c>
      <c r="O259" s="62">
        <f t="shared" si="49"/>
        <v>-0.31428571428571428</v>
      </c>
    </row>
    <row r="260" spans="2:16" outlineLevel="1" x14ac:dyDescent="0.2">
      <c r="C260" s="8" t="s">
        <v>101</v>
      </c>
      <c r="D260" s="18" t="s">
        <v>140</v>
      </c>
      <c r="E260" s="57">
        <f xml:space="preserve"> INPUTS│Outcomes!E191</f>
        <v>83</v>
      </c>
      <c r="F260" s="57">
        <f xml:space="preserve"> INPUTS│Outcomes!F191</f>
        <v>78</v>
      </c>
      <c r="G260" s="57">
        <f xml:space="preserve"> INPUTS│Outcomes!G191</f>
        <v>59</v>
      </c>
      <c r="H260" s="57">
        <f xml:space="preserve"> INPUTS│Outcomes!H191</f>
        <v>72</v>
      </c>
      <c r="I260" s="57">
        <f xml:space="preserve"> INPUTS│Outcomes!I191</f>
        <v>46</v>
      </c>
      <c r="J260" s="57">
        <f xml:space="preserve"> INPUTS│Outcomes!J191</f>
        <v>43</v>
      </c>
      <c r="K260" s="57">
        <f xml:space="preserve"> INPUTS│Outcomes!K191</f>
        <v>44</v>
      </c>
      <c r="L260" s="57">
        <f xml:space="preserve"> INPUTS│Outcomes!L191</f>
        <v>0</v>
      </c>
      <c r="N260" s="93">
        <f t="shared" si="48"/>
        <v>-39</v>
      </c>
      <c r="O260" s="62">
        <f t="shared" si="49"/>
        <v>-0.46987951807228917</v>
      </c>
    </row>
    <row r="261" spans="2:16" outlineLevel="1" x14ac:dyDescent="0.2"/>
    <row r="262" spans="2:16" ht="13.5" outlineLevel="1" x14ac:dyDescent="0.25">
      <c r="B262" s="35" t="s">
        <v>323</v>
      </c>
      <c r="C262" s="35"/>
      <c r="D262" s="35"/>
      <c r="E262" s="35"/>
      <c r="F262" s="35"/>
      <c r="G262" s="35"/>
      <c r="H262" s="35"/>
      <c r="I262" s="35"/>
      <c r="J262" s="35"/>
      <c r="K262" s="35"/>
      <c r="L262" s="35"/>
      <c r="M262" s="35"/>
      <c r="N262" s="35"/>
      <c r="O262" s="35"/>
      <c r="P262" s="35"/>
    </row>
    <row r="263" spans="2:16" outlineLevel="1" x14ac:dyDescent="0.2"/>
    <row r="264" spans="2:16" ht="30" customHeight="1" outlineLevel="1" x14ac:dyDescent="0.2">
      <c r="N264" s="55" t="s">
        <v>492</v>
      </c>
      <c r="O264" s="56" t="s">
        <v>495</v>
      </c>
    </row>
    <row r="265" spans="2:16" outlineLevel="1" x14ac:dyDescent="0.2">
      <c r="C265" s="8" t="s">
        <v>79</v>
      </c>
      <c r="D265" s="18" t="s">
        <v>140</v>
      </c>
      <c r="E265" s="272">
        <f xml:space="preserve"> INPUTS│Outcomes!E197</f>
        <v>446</v>
      </c>
      <c r="F265" s="272">
        <f xml:space="preserve"> INPUTS│Outcomes!F197</f>
        <v>392</v>
      </c>
      <c r="G265" s="272">
        <f xml:space="preserve"> INPUTS│Outcomes!G197</f>
        <v>392</v>
      </c>
      <c r="H265" s="272">
        <f xml:space="preserve"> INPUTS│Outcomes!H197</f>
        <v>151</v>
      </c>
      <c r="I265" s="272">
        <f xml:space="preserve"> INPUTS│Outcomes!I197</f>
        <v>220</v>
      </c>
      <c r="J265" s="272">
        <f xml:space="preserve"> INPUTS│Outcomes!J197</f>
        <v>224</v>
      </c>
      <c r="K265" s="272">
        <f xml:space="preserve"> INPUTS│Outcomes!K197</f>
        <v>189</v>
      </c>
      <c r="L265" s="272">
        <f xml:space="preserve"> INPUTS│Outcomes!L197</f>
        <v>0</v>
      </c>
      <c r="N265" s="17">
        <f t="shared" ref="N265" si="50" xml:space="preserve"> INDEX( E265:L265, 1, MATCH( Year, $E$2:$L$2, 0 ) ) - E265</f>
        <v>-257</v>
      </c>
      <c r="O265" s="279">
        <f xml:space="preserve"> IF( E265 = 0, "-", N265 / E265 )</f>
        <v>-0.57623318385650224</v>
      </c>
    </row>
    <row r="266" spans="2:16" outlineLevel="1" x14ac:dyDescent="0.2">
      <c r="C266" s="8" t="s">
        <v>81</v>
      </c>
      <c r="D266" s="18" t="s">
        <v>140</v>
      </c>
      <c r="E266" s="272">
        <f xml:space="preserve"> INPUTS│Outcomes!E198</f>
        <v>193</v>
      </c>
      <c r="F266" s="272">
        <f xml:space="preserve"> INPUTS│Outcomes!F198</f>
        <v>120</v>
      </c>
      <c r="G266" s="272">
        <f xml:space="preserve"> INPUTS│Outcomes!G198</f>
        <v>104</v>
      </c>
      <c r="H266" s="272">
        <f xml:space="preserve"> INPUTS│Outcomes!H198</f>
        <v>107</v>
      </c>
      <c r="I266" s="272">
        <f xml:space="preserve"> INPUTS│Outcomes!I198</f>
        <v>105</v>
      </c>
      <c r="J266" s="272">
        <f xml:space="preserve"> INPUTS│Outcomes!J198</f>
        <v>101</v>
      </c>
      <c r="K266" s="272">
        <f xml:space="preserve"> INPUTS│Outcomes!K198</f>
        <v>98</v>
      </c>
      <c r="L266" s="272">
        <f xml:space="preserve"> INPUTS│Outcomes!L198</f>
        <v>0</v>
      </c>
      <c r="N266" s="17">
        <f t="shared" ref="N266:N275" si="51" xml:space="preserve"> INDEX( E266:L266, 1, MATCH( Year, $E$2:$L$2, 0 ) ) - E266</f>
        <v>-95</v>
      </c>
      <c r="O266" s="279">
        <f t="shared" ref="O266:O275" si="52" xml:space="preserve"> IF( E266 = 0, "-", N266 / E266 )</f>
        <v>-0.49222797927461137</v>
      </c>
    </row>
    <row r="267" spans="2:16" outlineLevel="1" x14ac:dyDescent="0.2">
      <c r="C267" s="8" t="s">
        <v>84</v>
      </c>
      <c r="D267" s="18" t="s">
        <v>140</v>
      </c>
      <c r="E267" s="272">
        <f xml:space="preserve"> INPUTS│Outcomes!E199</f>
        <v>0</v>
      </c>
      <c r="F267" s="272">
        <f xml:space="preserve"> INPUTS│Outcomes!F199</f>
        <v>0</v>
      </c>
      <c r="G267" s="272">
        <f xml:space="preserve"> INPUTS│Outcomes!G199</f>
        <v>0</v>
      </c>
      <c r="H267" s="272">
        <f xml:space="preserve"> INPUTS│Outcomes!H199</f>
        <v>0</v>
      </c>
      <c r="I267" s="272">
        <f xml:space="preserve"> INPUTS│Outcomes!I199</f>
        <v>0</v>
      </c>
      <c r="J267" s="272">
        <f xml:space="preserve"> INPUTS│Outcomes!J199</f>
        <v>0</v>
      </c>
      <c r="K267" s="272">
        <f xml:space="preserve"> INPUTS│Outcomes!K199</f>
        <v>4</v>
      </c>
      <c r="L267" s="272">
        <f xml:space="preserve"> INPUTS│Outcomes!L199</f>
        <v>0</v>
      </c>
      <c r="N267" s="17">
        <f t="shared" si="51"/>
        <v>4</v>
      </c>
      <c r="O267" s="279" t="str">
        <f t="shared" si="52"/>
        <v>-</v>
      </c>
    </row>
    <row r="268" spans="2:16" outlineLevel="1" x14ac:dyDescent="0.2">
      <c r="C268" s="8" t="s">
        <v>86</v>
      </c>
      <c r="D268" s="18" t="s">
        <v>140</v>
      </c>
      <c r="E268" s="272">
        <f xml:space="preserve"> INPUTS│Outcomes!E200</f>
        <v>192</v>
      </c>
      <c r="F268" s="272">
        <f xml:space="preserve"> INPUTS│Outcomes!F200</f>
        <v>127</v>
      </c>
      <c r="G268" s="272">
        <f xml:space="preserve"> INPUTS│Outcomes!G200</f>
        <v>87</v>
      </c>
      <c r="H268" s="272">
        <f xml:space="preserve"> INPUTS│Outcomes!H200</f>
        <v>156</v>
      </c>
      <c r="I268" s="272">
        <f xml:space="preserve"> INPUTS│Outcomes!I200</f>
        <v>110</v>
      </c>
      <c r="J268" s="272">
        <f xml:space="preserve"> INPUTS│Outcomes!J200</f>
        <v>50</v>
      </c>
      <c r="K268" s="272">
        <f xml:space="preserve"> INPUTS│Outcomes!K200</f>
        <v>37</v>
      </c>
      <c r="L268" s="272">
        <f xml:space="preserve"> INPUTS│Outcomes!L200</f>
        <v>0</v>
      </c>
      <c r="N268" s="17">
        <f t="shared" si="51"/>
        <v>-155</v>
      </c>
      <c r="O268" s="279">
        <f t="shared" si="52"/>
        <v>-0.80729166666666663</v>
      </c>
    </row>
    <row r="269" spans="2:16" outlineLevel="1" x14ac:dyDescent="0.2">
      <c r="C269" s="8" t="s">
        <v>88</v>
      </c>
      <c r="D269" s="18" t="s">
        <v>140</v>
      </c>
      <c r="E269" s="272">
        <f xml:space="preserve"> INPUTS│Outcomes!E201</f>
        <v>365</v>
      </c>
      <c r="F269" s="272">
        <f xml:space="preserve"> INPUTS│Outcomes!F201</f>
        <v>431</v>
      </c>
      <c r="G269" s="272">
        <f xml:space="preserve"> INPUTS│Outcomes!G201</f>
        <v>351</v>
      </c>
      <c r="H269" s="272">
        <f xml:space="preserve"> INPUTS│Outcomes!H201</f>
        <v>255</v>
      </c>
      <c r="I269" s="272">
        <f xml:space="preserve"> INPUTS│Outcomes!I201</f>
        <v>268</v>
      </c>
      <c r="J269" s="272">
        <f xml:space="preserve"> INPUTS│Outcomes!J201</f>
        <v>277</v>
      </c>
      <c r="K269" s="272">
        <f xml:space="preserve"> INPUTS│Outcomes!K201</f>
        <v>279</v>
      </c>
      <c r="L269" s="272">
        <f xml:space="preserve"> INPUTS│Outcomes!L201</f>
        <v>0</v>
      </c>
      <c r="N269" s="17">
        <f t="shared" si="51"/>
        <v>-86</v>
      </c>
      <c r="O269" s="279">
        <f t="shared" si="52"/>
        <v>-0.23561643835616439</v>
      </c>
    </row>
    <row r="270" spans="2:16" outlineLevel="1" x14ac:dyDescent="0.2">
      <c r="C270" s="8" t="s">
        <v>90</v>
      </c>
      <c r="D270" s="18" t="s">
        <v>140</v>
      </c>
      <c r="E270" s="272">
        <f xml:space="preserve"> INPUTS│Outcomes!E202</f>
        <v>206</v>
      </c>
      <c r="F270" s="272">
        <f xml:space="preserve"> INPUTS│Outcomes!F202</f>
        <v>246</v>
      </c>
      <c r="G270" s="272">
        <f xml:space="preserve"> INPUTS│Outcomes!G202</f>
        <v>156</v>
      </c>
      <c r="H270" s="272">
        <f xml:space="preserve"> INPUTS│Outcomes!H202</f>
        <v>158</v>
      </c>
      <c r="I270" s="272">
        <f xml:space="preserve"> INPUTS│Outcomes!I202</f>
        <v>179</v>
      </c>
      <c r="J270" s="272">
        <f xml:space="preserve"> INPUTS│Outcomes!J202</f>
        <v>169</v>
      </c>
      <c r="K270" s="272">
        <f xml:space="preserve"> INPUTS│Outcomes!K202</f>
        <v>168</v>
      </c>
      <c r="L270" s="272">
        <f xml:space="preserve"> INPUTS│Outcomes!L202</f>
        <v>0</v>
      </c>
      <c r="N270" s="17">
        <f t="shared" si="51"/>
        <v>-38</v>
      </c>
      <c r="O270" s="279">
        <f t="shared" si="52"/>
        <v>-0.18446601941747573</v>
      </c>
    </row>
    <row r="271" spans="2:16" outlineLevel="1" x14ac:dyDescent="0.2">
      <c r="C271" s="8" t="s">
        <v>93</v>
      </c>
      <c r="D271" s="18" t="s">
        <v>140</v>
      </c>
      <c r="E271" s="272">
        <f xml:space="preserve"> INPUTS│Outcomes!E203</f>
        <v>409</v>
      </c>
      <c r="F271" s="272">
        <f xml:space="preserve"> INPUTS│Outcomes!F203</f>
        <v>320</v>
      </c>
      <c r="G271" s="272">
        <f xml:space="preserve"> INPUTS│Outcomes!G203</f>
        <v>287</v>
      </c>
      <c r="H271" s="272">
        <f xml:space="preserve"> INPUTS│Outcomes!H203</f>
        <v>161</v>
      </c>
      <c r="I271" s="272">
        <f xml:space="preserve"> INPUTS│Outcomes!I203</f>
        <v>138</v>
      </c>
      <c r="J271" s="272">
        <f xml:space="preserve"> INPUTS│Outcomes!J203</f>
        <v>123</v>
      </c>
      <c r="K271" s="272">
        <f xml:space="preserve"> INPUTS│Outcomes!K203</f>
        <v>149</v>
      </c>
      <c r="L271" s="272">
        <f xml:space="preserve"> INPUTS│Outcomes!L203</f>
        <v>0</v>
      </c>
      <c r="N271" s="17">
        <f t="shared" si="51"/>
        <v>-260</v>
      </c>
      <c r="O271" s="279">
        <f t="shared" si="52"/>
        <v>-0.63569682151589246</v>
      </c>
    </row>
    <row r="272" spans="2:16" outlineLevel="1" x14ac:dyDescent="0.2">
      <c r="C272" s="8" t="s">
        <v>95</v>
      </c>
      <c r="D272" s="18" t="s">
        <v>140</v>
      </c>
      <c r="E272" s="272">
        <f xml:space="preserve"> INPUTS│Outcomes!E204</f>
        <v>468</v>
      </c>
      <c r="F272" s="272">
        <f xml:space="preserve"> INPUTS│Outcomes!F204</f>
        <v>612</v>
      </c>
      <c r="G272" s="272">
        <f xml:space="preserve"> INPUTS│Outcomes!G204</f>
        <v>506</v>
      </c>
      <c r="H272" s="272">
        <f xml:space="preserve"> INPUTS│Outcomes!H204</f>
        <v>263</v>
      </c>
      <c r="I272" s="272">
        <f xml:space="preserve"> INPUTS│Outcomes!I204</f>
        <v>357</v>
      </c>
      <c r="J272" s="272">
        <f xml:space="preserve"> INPUTS│Outcomes!J204</f>
        <v>302</v>
      </c>
      <c r="K272" s="272">
        <f xml:space="preserve"> INPUTS│Outcomes!K204</f>
        <v>297</v>
      </c>
      <c r="L272" s="272">
        <f xml:space="preserve"> INPUTS│Outcomes!L204</f>
        <v>0</v>
      </c>
      <c r="N272" s="17">
        <f t="shared" si="51"/>
        <v>-171</v>
      </c>
      <c r="O272" s="279">
        <f t="shared" si="52"/>
        <v>-0.36538461538461536</v>
      </c>
    </row>
    <row r="273" spans="2:16" outlineLevel="1" x14ac:dyDescent="0.2">
      <c r="C273" s="8" t="s">
        <v>97</v>
      </c>
      <c r="D273" s="18" t="s">
        <v>140</v>
      </c>
      <c r="E273" s="272">
        <f xml:space="preserve"> INPUTS│Outcomes!E205</f>
        <v>324</v>
      </c>
      <c r="F273" s="272">
        <f xml:space="preserve"> INPUTS│Outcomes!F205</f>
        <v>208</v>
      </c>
      <c r="G273" s="272">
        <f xml:space="preserve"> INPUTS│Outcomes!G205</f>
        <v>214</v>
      </c>
      <c r="H273" s="272">
        <f xml:space="preserve"> INPUTS│Outcomes!H205</f>
        <v>175</v>
      </c>
      <c r="I273" s="272">
        <f xml:space="preserve"> INPUTS│Outcomes!I205</f>
        <v>171</v>
      </c>
      <c r="J273" s="272">
        <f xml:space="preserve"> INPUTS│Outcomes!J205</f>
        <v>166</v>
      </c>
      <c r="K273" s="272">
        <f xml:space="preserve"> INPUTS│Outcomes!K205</f>
        <v>179</v>
      </c>
      <c r="L273" s="272">
        <f xml:space="preserve"> INPUTS│Outcomes!L205</f>
        <v>0</v>
      </c>
      <c r="N273" s="17">
        <f t="shared" si="51"/>
        <v>-145</v>
      </c>
      <c r="O273" s="279">
        <f t="shared" si="52"/>
        <v>-0.44753086419753085</v>
      </c>
    </row>
    <row r="274" spans="2:16" outlineLevel="1" x14ac:dyDescent="0.2">
      <c r="C274" s="8" t="s">
        <v>99</v>
      </c>
      <c r="D274" s="18" t="s">
        <v>140</v>
      </c>
      <c r="E274" s="272">
        <f xml:space="preserve"> INPUTS│Outcomes!E206</f>
        <v>61</v>
      </c>
      <c r="F274" s="272">
        <f xml:space="preserve"> INPUTS│Outcomes!F206</f>
        <v>83</v>
      </c>
      <c r="G274" s="272">
        <f xml:space="preserve"> INPUTS│Outcomes!G206</f>
        <v>75</v>
      </c>
      <c r="H274" s="272">
        <f xml:space="preserve"> INPUTS│Outcomes!H206</f>
        <v>83</v>
      </c>
      <c r="I274" s="272">
        <f xml:space="preserve"> INPUTS│Outcomes!I206</f>
        <v>74</v>
      </c>
      <c r="J274" s="272">
        <f xml:space="preserve"> INPUTS│Outcomes!J206</f>
        <v>79</v>
      </c>
      <c r="K274" s="272">
        <f xml:space="preserve"> INPUTS│Outcomes!K206</f>
        <v>82</v>
      </c>
      <c r="L274" s="272">
        <f xml:space="preserve"> INPUTS│Outcomes!L206</f>
        <v>0</v>
      </c>
      <c r="N274" s="17">
        <f t="shared" si="51"/>
        <v>21</v>
      </c>
      <c r="O274" s="279">
        <f t="shared" si="52"/>
        <v>0.34426229508196721</v>
      </c>
    </row>
    <row r="275" spans="2:16" outlineLevel="1" x14ac:dyDescent="0.2">
      <c r="C275" s="8" t="s">
        <v>101</v>
      </c>
      <c r="D275" s="18" t="s">
        <v>140</v>
      </c>
      <c r="E275" s="272">
        <f xml:space="preserve"> INPUTS│Outcomes!E207</f>
        <v>253</v>
      </c>
      <c r="F275" s="272">
        <f xml:space="preserve"> INPUTS│Outcomes!F207</f>
        <v>239</v>
      </c>
      <c r="G275" s="272">
        <f xml:space="preserve"> INPUTS│Outcomes!G207</f>
        <v>180</v>
      </c>
      <c r="H275" s="272">
        <f xml:space="preserve"> INPUTS│Outcomes!H207</f>
        <v>219</v>
      </c>
      <c r="I275" s="272">
        <f xml:space="preserve"> INPUTS│Outcomes!I207</f>
        <v>237</v>
      </c>
      <c r="J275" s="272">
        <f xml:space="preserve"> INPUTS│Outcomes!J207</f>
        <v>222</v>
      </c>
      <c r="K275" s="272">
        <f xml:space="preserve"> INPUTS│Outcomes!K207</f>
        <v>224</v>
      </c>
      <c r="L275" s="272">
        <f xml:space="preserve"> INPUTS│Outcomes!L207</f>
        <v>0</v>
      </c>
      <c r="N275" s="17">
        <f t="shared" si="51"/>
        <v>-29</v>
      </c>
      <c r="O275" s="279">
        <f t="shared" si="52"/>
        <v>-0.11462450592885376</v>
      </c>
    </row>
    <row r="276" spans="2:16" outlineLevel="1" x14ac:dyDescent="0.2">
      <c r="N276" s="59"/>
    </row>
    <row r="277" spans="2:16" outlineLevel="1" x14ac:dyDescent="0.2">
      <c r="C277" s="2" t="s">
        <v>257</v>
      </c>
      <c r="D277" s="3" t="s">
        <v>140</v>
      </c>
      <c r="E277" s="17">
        <f t="shared" ref="E277:L277" si="53" xml:space="preserve"> SUM( E265:E275 )</f>
        <v>2917</v>
      </c>
      <c r="F277" s="17">
        <f t="shared" si="53"/>
        <v>2778</v>
      </c>
      <c r="G277" s="17">
        <f t="shared" si="53"/>
        <v>2352</v>
      </c>
      <c r="H277" s="17">
        <f t="shared" si="53"/>
        <v>1728</v>
      </c>
      <c r="I277" s="17">
        <f t="shared" si="53"/>
        <v>1859</v>
      </c>
      <c r="J277" s="17">
        <f t="shared" si="53"/>
        <v>1713</v>
      </c>
      <c r="K277" s="17">
        <f t="shared" si="53"/>
        <v>1706</v>
      </c>
      <c r="L277" s="17">
        <f t="shared" si="53"/>
        <v>0</v>
      </c>
      <c r="N277" s="17">
        <f xml:space="preserve"> INDEX( E277:L277, 1, MATCH( Year, $E$2:$L$2, 0 ) ) - E277</f>
        <v>-1211</v>
      </c>
      <c r="O277" s="279">
        <f xml:space="preserve"> IF( E277 = 0, "-", N277 / E277 )</f>
        <v>-0.41515255399382928</v>
      </c>
    </row>
    <row r="279" spans="2:16" ht="13.5" x14ac:dyDescent="0.25">
      <c r="B279" s="9" t="s">
        <v>325</v>
      </c>
      <c r="C279" s="9"/>
      <c r="D279" s="10"/>
      <c r="E279" s="9"/>
      <c r="F279" s="9"/>
      <c r="G279" s="9"/>
      <c r="H279" s="9"/>
      <c r="I279" s="9"/>
      <c r="J279" s="9"/>
      <c r="K279" s="9"/>
      <c r="L279" s="9"/>
      <c r="M279" s="9"/>
      <c r="N279" s="9"/>
      <c r="O279" s="9"/>
      <c r="P279" s="9"/>
    </row>
    <row r="280" spans="2:16" outlineLevel="1" x14ac:dyDescent="0.2"/>
    <row r="281" spans="2:16" ht="30" customHeight="1" outlineLevel="1" x14ac:dyDescent="0.2">
      <c r="N281" s="55" t="s">
        <v>499</v>
      </c>
    </row>
    <row r="282" spans="2:16" outlineLevel="1" x14ac:dyDescent="0.2">
      <c r="C282" s="88" t="s">
        <v>79</v>
      </c>
      <c r="D282" s="11" t="s">
        <v>142</v>
      </c>
      <c r="E282" s="277">
        <f>INPUTS│Outcomes!E213</f>
        <v>0</v>
      </c>
      <c r="F282" s="277">
        <f>INPUTS│Outcomes!F213</f>
        <v>0</v>
      </c>
      <c r="G282" s="277">
        <f>INPUTS│Outcomes!G213</f>
        <v>0</v>
      </c>
      <c r="H282" s="277">
        <f>INPUTS│Outcomes!H213</f>
        <v>85.12</v>
      </c>
      <c r="I282" s="277">
        <f>INPUTS│Outcomes!I213</f>
        <v>85.64</v>
      </c>
      <c r="J282" s="277">
        <f>INPUTS│Outcomes!J213</f>
        <v>88.37</v>
      </c>
      <c r="K282" s="277">
        <f>INPUTS│Outcomes!K213</f>
        <v>90.036500000000004</v>
      </c>
      <c r="L282" s="277">
        <f>INPUTS│Outcomes!L213</f>
        <v>0</v>
      </c>
      <c r="N282" s="277">
        <f t="shared" ref="N282:N299" si="54" xml:space="preserve"> INDEX( E282:L282, 1, MATCH( Year, $E$2:$L$2, 0 ) ) - H282</f>
        <v>4.9164999999999992</v>
      </c>
    </row>
    <row r="283" spans="2:16" outlineLevel="1" x14ac:dyDescent="0.2">
      <c r="C283" s="88" t="s">
        <v>81</v>
      </c>
      <c r="D283" s="11" t="s">
        <v>142</v>
      </c>
      <c r="E283" s="277">
        <f>INPUTS│Outcomes!E214</f>
        <v>0</v>
      </c>
      <c r="F283" s="277">
        <f>INPUTS│Outcomes!F214</f>
        <v>0</v>
      </c>
      <c r="G283" s="277">
        <f>INPUTS│Outcomes!G214</f>
        <v>0</v>
      </c>
      <c r="H283" s="277">
        <f>INPUTS│Outcomes!H214</f>
        <v>83</v>
      </c>
      <c r="I283" s="277">
        <f>INPUTS│Outcomes!I214</f>
        <v>82.86</v>
      </c>
      <c r="J283" s="277">
        <f>INPUTS│Outcomes!J214</f>
        <v>84.64</v>
      </c>
      <c r="K283" s="277">
        <f>INPUTS│Outcomes!K214</f>
        <v>86.884</v>
      </c>
      <c r="L283" s="277">
        <f>INPUTS│Outcomes!L214</f>
        <v>0</v>
      </c>
      <c r="N283" s="277">
        <f t="shared" si="54"/>
        <v>3.8840000000000003</v>
      </c>
    </row>
    <row r="284" spans="2:16" outlineLevel="1" x14ac:dyDescent="0.2">
      <c r="C284" s="88" t="s">
        <v>84</v>
      </c>
      <c r="D284" s="11" t="s">
        <v>142</v>
      </c>
      <c r="E284" s="277">
        <f xml:space="preserve"> INPUTS│Outcomes!E228</f>
        <v>0</v>
      </c>
      <c r="F284" s="277">
        <f xml:space="preserve"> INPUTS│Outcomes!F228</f>
        <v>0</v>
      </c>
      <c r="G284" s="277">
        <f xml:space="preserve"> INPUTS│Outcomes!G228</f>
        <v>0</v>
      </c>
      <c r="H284" s="277">
        <f xml:space="preserve"> INPUTS│Outcomes!H228</f>
        <v>83.42</v>
      </c>
      <c r="I284" s="277">
        <f xml:space="preserve"> INPUTS│Outcomes!I228</f>
        <v>85.98</v>
      </c>
      <c r="J284" s="277">
        <f xml:space="preserve"> INPUTS│Outcomes!J228</f>
        <v>86.5</v>
      </c>
      <c r="K284" s="277">
        <f>INPUTS│Outcomes!K215</f>
        <v>78.414339197459626</v>
      </c>
      <c r="L284" s="277">
        <f>INPUTS│Outcomes!L215</f>
        <v>0</v>
      </c>
      <c r="N284" s="277">
        <f t="shared" si="54"/>
        <v>-5.0056608025403762</v>
      </c>
    </row>
    <row r="285" spans="2:16" outlineLevel="1" x14ac:dyDescent="0.2">
      <c r="C285" s="88" t="s">
        <v>86</v>
      </c>
      <c r="D285" s="11" t="s">
        <v>142</v>
      </c>
      <c r="E285" s="277">
        <f>INPUTS│Outcomes!E216</f>
        <v>0</v>
      </c>
      <c r="F285" s="277">
        <f>INPUTS│Outcomes!F216</f>
        <v>0</v>
      </c>
      <c r="G285" s="277">
        <f>INPUTS│Outcomes!G216</f>
        <v>0</v>
      </c>
      <c r="H285" s="277">
        <f>INPUTS│Outcomes!H216</f>
        <v>83.64</v>
      </c>
      <c r="I285" s="277">
        <f>INPUTS│Outcomes!I216</f>
        <v>87.53</v>
      </c>
      <c r="J285" s="277">
        <f>INPUTS│Outcomes!J216</f>
        <v>86.39</v>
      </c>
      <c r="K285" s="277">
        <f>INPUTS│Outcomes!K216</f>
        <v>85.868625000000009</v>
      </c>
      <c r="L285" s="277">
        <f>INPUTS│Outcomes!L216</f>
        <v>0</v>
      </c>
      <c r="N285" s="277">
        <f t="shared" si="54"/>
        <v>2.2286250000000081</v>
      </c>
    </row>
    <row r="286" spans="2:16" outlineLevel="1" x14ac:dyDescent="0.2">
      <c r="C286" s="88" t="s">
        <v>88</v>
      </c>
      <c r="D286" s="11" t="s">
        <v>142</v>
      </c>
      <c r="E286" s="277">
        <f>INPUTS│Outcomes!E218</f>
        <v>0</v>
      </c>
      <c r="F286" s="277">
        <f>INPUTS│Outcomes!F218</f>
        <v>0</v>
      </c>
      <c r="G286" s="277">
        <f>INPUTS│Outcomes!G218</f>
        <v>0</v>
      </c>
      <c r="H286" s="277">
        <f>INPUTS│Outcomes!H218</f>
        <v>83.7</v>
      </c>
      <c r="I286" s="277">
        <f>INPUTS│Outcomes!I218</f>
        <v>83.61</v>
      </c>
      <c r="J286" s="277">
        <f>INPUTS│Outcomes!J218</f>
        <v>83.2</v>
      </c>
      <c r="K286" s="277">
        <f>INPUTS│Outcomes!K217</f>
        <v>81.447664175787068</v>
      </c>
      <c r="L286" s="277">
        <f>INPUTS│Outcomes!L217</f>
        <v>0</v>
      </c>
      <c r="N286" s="277">
        <f t="shared" si="54"/>
        <v>-2.2523358242129348</v>
      </c>
    </row>
    <row r="287" spans="2:16" outlineLevel="1" x14ac:dyDescent="0.2">
      <c r="C287" s="88" t="s">
        <v>117</v>
      </c>
      <c r="D287" s="11" t="s">
        <v>142</v>
      </c>
      <c r="E287" s="277">
        <f>INPUTS│Outcomes!E219</f>
        <v>0</v>
      </c>
      <c r="F287" s="277">
        <f>INPUTS│Outcomes!F219</f>
        <v>0</v>
      </c>
      <c r="G287" s="277">
        <f>INPUTS│Outcomes!G219</f>
        <v>0</v>
      </c>
      <c r="H287" s="277">
        <f>INPUTS│Outcomes!H219</f>
        <v>78.599999999999994</v>
      </c>
      <c r="I287" s="277">
        <f>INPUTS│Outcomes!I219</f>
        <v>81.64</v>
      </c>
      <c r="J287" s="277">
        <f>INPUTS│Outcomes!J219</f>
        <v>84.54849999999999</v>
      </c>
      <c r="K287" s="277">
        <f>INPUTS│Outcomes!K219</f>
        <v>87.617000000000004</v>
      </c>
      <c r="L287" s="277">
        <f>INPUTS│Outcomes!L219</f>
        <v>0</v>
      </c>
      <c r="N287" s="277">
        <f t="shared" si="54"/>
        <v>9.0170000000000101</v>
      </c>
    </row>
    <row r="288" spans="2:16" outlineLevel="1" x14ac:dyDescent="0.2">
      <c r="C288" s="88" t="s">
        <v>115</v>
      </c>
      <c r="D288" s="11" t="s">
        <v>142</v>
      </c>
      <c r="E288" s="277">
        <f>INPUTS│Outcomes!E220</f>
        <v>0</v>
      </c>
      <c r="F288" s="277">
        <f>INPUTS│Outcomes!F220</f>
        <v>0</v>
      </c>
      <c r="G288" s="277">
        <f>INPUTS│Outcomes!G220</f>
        <v>0</v>
      </c>
      <c r="H288" s="277">
        <f>INPUTS│Outcomes!H220</f>
        <v>86.2</v>
      </c>
      <c r="I288" s="277">
        <f>INPUTS│Outcomes!I220</f>
        <v>86.314999999999998</v>
      </c>
      <c r="J288" s="277">
        <f>INPUTS│Outcomes!J220</f>
        <v>87.608999999999995</v>
      </c>
      <c r="K288" s="277">
        <f>INPUTS│Outcomes!K220</f>
        <v>87.57</v>
      </c>
      <c r="L288" s="277">
        <f>INPUTS│Outcomes!L220</f>
        <v>0</v>
      </c>
      <c r="N288" s="277">
        <f t="shared" si="54"/>
        <v>1.3699999999999903</v>
      </c>
    </row>
    <row r="289" spans="2:16" outlineLevel="1" x14ac:dyDescent="0.2">
      <c r="C289" s="88" t="s">
        <v>93</v>
      </c>
      <c r="D289" s="11" t="s">
        <v>142</v>
      </c>
      <c r="E289" s="277">
        <f>INPUTS│Outcomes!E221</f>
        <v>0</v>
      </c>
      <c r="F289" s="277">
        <f>INPUTS│Outcomes!F221</f>
        <v>0</v>
      </c>
      <c r="G289" s="277">
        <f>INPUTS│Outcomes!G221</f>
        <v>0</v>
      </c>
      <c r="H289" s="277">
        <f>INPUTS│Outcomes!H221</f>
        <v>73</v>
      </c>
      <c r="I289" s="277">
        <f>INPUTS│Outcomes!I221</f>
        <v>78.13</v>
      </c>
      <c r="J289" s="277">
        <f>INPUTS│Outcomes!J221</f>
        <v>79.33</v>
      </c>
      <c r="K289" s="277">
        <f>INPUTS│Outcomes!K221</f>
        <v>80.137</v>
      </c>
      <c r="L289" s="277">
        <f>INPUTS│Outcomes!L221</f>
        <v>0</v>
      </c>
      <c r="N289" s="277">
        <f t="shared" si="54"/>
        <v>7.1370000000000005</v>
      </c>
    </row>
    <row r="290" spans="2:16" outlineLevel="1" x14ac:dyDescent="0.2">
      <c r="C290" s="88" t="s">
        <v>95</v>
      </c>
      <c r="D290" s="11" t="s">
        <v>142</v>
      </c>
      <c r="E290" s="277">
        <f>INPUTS│Outcomes!E222</f>
        <v>0</v>
      </c>
      <c r="F290" s="277">
        <f>INPUTS│Outcomes!F222</f>
        <v>0</v>
      </c>
      <c r="G290" s="277">
        <f>INPUTS│Outcomes!G222</f>
        <v>0</v>
      </c>
      <c r="H290" s="277">
        <f>INPUTS│Outcomes!H222</f>
        <v>76.739999999999995</v>
      </c>
      <c r="I290" s="277">
        <f>INPUTS│Outcomes!I222</f>
        <v>77.264009835474994</v>
      </c>
      <c r="J290" s="277">
        <f>INPUTS│Outcomes!J222</f>
        <v>78.428740527351835</v>
      </c>
      <c r="K290" s="277">
        <f>INPUTS│Outcomes!K222</f>
        <v>75.026663774526256</v>
      </c>
      <c r="L290" s="277">
        <f>INPUTS│Outcomes!L222</f>
        <v>0</v>
      </c>
      <c r="N290" s="277">
        <f t="shared" si="54"/>
        <v>-1.7133362254737392</v>
      </c>
    </row>
    <row r="291" spans="2:16" outlineLevel="1" x14ac:dyDescent="0.2">
      <c r="C291" s="88" t="s">
        <v>97</v>
      </c>
      <c r="D291" s="11" t="s">
        <v>142</v>
      </c>
      <c r="E291" s="277">
        <f>INPUTS│Outcomes!E223</f>
        <v>0</v>
      </c>
      <c r="F291" s="277">
        <f>INPUTS│Outcomes!F223</f>
        <v>0</v>
      </c>
      <c r="G291" s="277">
        <f>INPUTS│Outcomes!G223</f>
        <v>0</v>
      </c>
      <c r="H291" s="277">
        <f>INPUTS│Outcomes!H223</f>
        <v>81.55</v>
      </c>
      <c r="I291" s="277">
        <f>INPUTS│Outcomes!I223</f>
        <v>85.44</v>
      </c>
      <c r="J291" s="277">
        <f>INPUTS│Outcomes!J223</f>
        <v>86.873881667676727</v>
      </c>
      <c r="K291" s="277">
        <f>INPUTS│Outcomes!K223</f>
        <v>87.639669640685241</v>
      </c>
      <c r="L291" s="277">
        <f>INPUTS│Outcomes!L223</f>
        <v>0</v>
      </c>
      <c r="N291" s="277">
        <f t="shared" si="54"/>
        <v>6.0896696406852442</v>
      </c>
    </row>
    <row r="292" spans="2:16" outlineLevel="1" x14ac:dyDescent="0.2">
      <c r="C292" s="88" t="s">
        <v>99</v>
      </c>
      <c r="D292" s="11" t="s">
        <v>142</v>
      </c>
      <c r="E292" s="277">
        <f>INPUTS│Outcomes!E224</f>
        <v>0</v>
      </c>
      <c r="F292" s="277">
        <f>INPUTS│Outcomes!F224</f>
        <v>0</v>
      </c>
      <c r="G292" s="277">
        <f>INPUTS│Outcomes!G224</f>
        <v>0</v>
      </c>
      <c r="H292" s="277">
        <f>INPUTS│Outcomes!H224</f>
        <v>87.1</v>
      </c>
      <c r="I292" s="277">
        <f>INPUTS│Outcomes!I224</f>
        <v>87.55</v>
      </c>
      <c r="J292" s="277">
        <f>INPUTS│Outcomes!J224</f>
        <v>86.89</v>
      </c>
      <c r="K292" s="277">
        <f>INPUTS│Outcomes!K224</f>
        <v>87.202624999999998</v>
      </c>
      <c r="L292" s="277">
        <f>INPUTS│Outcomes!L224</f>
        <v>0</v>
      </c>
      <c r="N292" s="277">
        <f t="shared" si="54"/>
        <v>0.1026250000000033</v>
      </c>
    </row>
    <row r="293" spans="2:16" outlineLevel="1" x14ac:dyDescent="0.2">
      <c r="C293" s="88" t="s">
        <v>101</v>
      </c>
      <c r="D293" s="11" t="s">
        <v>142</v>
      </c>
      <c r="E293" s="277">
        <f>INPUTS│Outcomes!E225</f>
        <v>0</v>
      </c>
      <c r="F293" s="277">
        <f>INPUTS│Outcomes!F225</f>
        <v>0</v>
      </c>
      <c r="G293" s="277">
        <f>INPUTS│Outcomes!G225</f>
        <v>0</v>
      </c>
      <c r="H293" s="277">
        <f>INPUTS│Outcomes!H225</f>
        <v>82.6</v>
      </c>
      <c r="I293" s="277">
        <f>INPUTS│Outcomes!I225</f>
        <v>83.4</v>
      </c>
      <c r="J293" s="277">
        <f>INPUTS│Outcomes!J225</f>
        <v>84.27</v>
      </c>
      <c r="K293" s="277">
        <f>INPUTS│Outcomes!K225</f>
        <v>84.000500000000002</v>
      </c>
      <c r="L293" s="277">
        <f>INPUTS│Outcomes!L225</f>
        <v>0</v>
      </c>
      <c r="N293" s="277">
        <f t="shared" si="54"/>
        <v>1.4005000000000081</v>
      </c>
    </row>
    <row r="294" spans="2:16" outlineLevel="1" x14ac:dyDescent="0.2">
      <c r="C294" s="88" t="s">
        <v>103</v>
      </c>
      <c r="D294" s="11" t="s">
        <v>142</v>
      </c>
      <c r="E294" s="277">
        <f>INPUTS│Outcomes!E226</f>
        <v>0</v>
      </c>
      <c r="F294" s="277">
        <f>INPUTS│Outcomes!F226</f>
        <v>0</v>
      </c>
      <c r="G294" s="277">
        <f>INPUTS│Outcomes!G226</f>
        <v>0</v>
      </c>
      <c r="H294" s="277">
        <f>INPUTS│Outcomes!H226</f>
        <v>76.73</v>
      </c>
      <c r="I294" s="277">
        <f>INPUTS│Outcomes!I226</f>
        <v>78.510000000000005</v>
      </c>
      <c r="J294" s="277">
        <f>INPUTS│Outcomes!J226</f>
        <v>80.909102903993897</v>
      </c>
      <c r="K294" s="277">
        <f>INPUTS│Outcomes!K226</f>
        <v>81.200500000000005</v>
      </c>
      <c r="L294" s="277">
        <f>INPUTS│Outcomes!L226</f>
        <v>0</v>
      </c>
      <c r="N294" s="277">
        <f t="shared" si="54"/>
        <v>4.4705000000000013</v>
      </c>
    </row>
    <row r="295" spans="2:16" outlineLevel="1" x14ac:dyDescent="0.2">
      <c r="C295" s="88" t="s">
        <v>105</v>
      </c>
      <c r="D295" s="11" t="s">
        <v>142</v>
      </c>
      <c r="E295" s="277">
        <f>INPUTS│Outcomes!E227</f>
        <v>0</v>
      </c>
      <c r="F295" s="277">
        <f>INPUTS│Outcomes!F227</f>
        <v>0</v>
      </c>
      <c r="G295" s="277">
        <f>INPUTS│Outcomes!G227</f>
        <v>0</v>
      </c>
      <c r="H295" s="277">
        <f>INPUTS│Outcomes!H227</f>
        <v>85.1</v>
      </c>
      <c r="I295" s="277">
        <f>INPUTS│Outcomes!I227</f>
        <v>85.9</v>
      </c>
      <c r="J295" s="277">
        <f>INPUTS│Outcomes!J227</f>
        <v>83.38</v>
      </c>
      <c r="K295" s="277">
        <f>INPUTS│Outcomes!K227</f>
        <v>84.711500000000001</v>
      </c>
      <c r="L295" s="277">
        <f>INPUTS│Outcomes!L227</f>
        <v>0</v>
      </c>
      <c r="N295" s="277">
        <f t="shared" si="54"/>
        <v>-0.38849999999999341</v>
      </c>
    </row>
    <row r="296" spans="2:16" outlineLevel="1" x14ac:dyDescent="0.2">
      <c r="C296" s="88" t="s">
        <v>107</v>
      </c>
      <c r="D296" s="11" t="s">
        <v>142</v>
      </c>
      <c r="E296" s="277">
        <f>INPUTS│Outcomes!E229</f>
        <v>0</v>
      </c>
      <c r="F296" s="277">
        <f>INPUTS│Outcomes!F229</f>
        <v>0</v>
      </c>
      <c r="G296" s="277">
        <f>INPUTS│Outcomes!G229</f>
        <v>0</v>
      </c>
      <c r="H296" s="277">
        <f>INPUTS│Outcomes!H229</f>
        <v>89.5</v>
      </c>
      <c r="I296" s="277">
        <f>INPUTS│Outcomes!I229</f>
        <v>87.68</v>
      </c>
      <c r="J296" s="277">
        <f>INPUTS│Outcomes!J229</f>
        <v>87.9</v>
      </c>
      <c r="K296" s="277">
        <f>INPUTS│Outcomes!K229</f>
        <v>89.069000000000003</v>
      </c>
      <c r="L296" s="277">
        <f>INPUTS│Outcomes!L229</f>
        <v>0</v>
      </c>
      <c r="N296" s="277">
        <f t="shared" si="54"/>
        <v>-0.43099999999999739</v>
      </c>
    </row>
    <row r="297" spans="2:16" outlineLevel="1" x14ac:dyDescent="0.2">
      <c r="C297" s="88" t="s">
        <v>111</v>
      </c>
      <c r="D297" s="11" t="s">
        <v>142</v>
      </c>
      <c r="E297" s="277">
        <f>INPUTS│Outcomes!E230</f>
        <v>0</v>
      </c>
      <c r="F297" s="277">
        <f>INPUTS│Outcomes!F230</f>
        <v>0</v>
      </c>
      <c r="G297" s="277">
        <f>INPUTS│Outcomes!G230</f>
        <v>0</v>
      </c>
      <c r="H297" s="277">
        <f>INPUTS│Outcomes!H230</f>
        <v>81.95</v>
      </c>
      <c r="I297" s="277">
        <f>INPUTS│Outcomes!I230</f>
        <v>84.6</v>
      </c>
      <c r="J297" s="277">
        <f>INPUTS│Outcomes!J230</f>
        <v>85.6</v>
      </c>
      <c r="K297" s="277">
        <f>INPUTS│Outcomes!K230</f>
        <v>85.358499999999992</v>
      </c>
      <c r="L297" s="277">
        <f>INPUTS│Outcomes!L230</f>
        <v>0</v>
      </c>
      <c r="N297" s="277">
        <f t="shared" si="54"/>
        <v>3.4084999999999894</v>
      </c>
    </row>
    <row r="298" spans="2:16" outlineLevel="1" x14ac:dyDescent="0.2">
      <c r="C298" s="88" t="s">
        <v>113</v>
      </c>
      <c r="D298" s="11" t="s">
        <v>142</v>
      </c>
      <c r="E298" s="277">
        <f>INPUTS│Outcomes!E231</f>
        <v>0</v>
      </c>
      <c r="F298" s="277">
        <f>INPUTS│Outcomes!F231</f>
        <v>0</v>
      </c>
      <c r="G298" s="277">
        <f>INPUTS│Outcomes!G231</f>
        <v>0</v>
      </c>
      <c r="H298" s="277">
        <f>INPUTS│Outcomes!H231</f>
        <v>86.3</v>
      </c>
      <c r="I298" s="277">
        <f>INPUTS│Outcomes!I231</f>
        <v>84.4</v>
      </c>
      <c r="J298" s="277">
        <f>INPUTS│Outcomes!J231</f>
        <v>87.03</v>
      </c>
      <c r="K298" s="277">
        <f>INPUTS│Outcomes!K231</f>
        <v>86.404774303995708</v>
      </c>
      <c r="L298" s="277">
        <f>INPUTS│Outcomes!L231</f>
        <v>0</v>
      </c>
      <c r="N298" s="277">
        <f t="shared" si="54"/>
        <v>0.10477430399571119</v>
      </c>
    </row>
    <row r="299" spans="2:16" outlineLevel="1" x14ac:dyDescent="0.2">
      <c r="C299" s="88" t="s">
        <v>109</v>
      </c>
      <c r="D299" s="11" t="s">
        <v>142</v>
      </c>
      <c r="E299" s="277">
        <f>INPUTS│Outcomes!E232</f>
        <v>0</v>
      </c>
      <c r="F299" s="277">
        <f>INPUTS│Outcomes!F232</f>
        <v>0</v>
      </c>
      <c r="G299" s="277">
        <f>INPUTS│Outcomes!G232</f>
        <v>0</v>
      </c>
      <c r="H299" s="277">
        <f>INPUTS│Outcomes!H232</f>
        <v>80.8</v>
      </c>
      <c r="I299" s="277">
        <f>INPUTS│Outcomes!I232</f>
        <v>79.599999999999994</v>
      </c>
      <c r="J299" s="277">
        <f>INPUTS│Outcomes!J232</f>
        <v>78.7</v>
      </c>
      <c r="K299" s="277">
        <f>INPUTS│Outcomes!K232</f>
        <v>80.503999999999991</v>
      </c>
      <c r="L299" s="277">
        <f>INPUTS│Outcomes!L232</f>
        <v>0</v>
      </c>
      <c r="N299" s="277">
        <f t="shared" si="54"/>
        <v>-0.29600000000000648</v>
      </c>
    </row>
    <row r="300" spans="2:16" outlineLevel="1" x14ac:dyDescent="0.2"/>
    <row r="301" spans="2:16" outlineLevel="1" x14ac:dyDescent="0.2">
      <c r="C301" s="2" t="s">
        <v>327</v>
      </c>
      <c r="D301" s="14" t="s">
        <v>142</v>
      </c>
      <c r="E301" s="277">
        <f t="shared" ref="E301:L301" si="55" xml:space="preserve"> IFERROR( AVERAGE( E282:E299 ), 0 )</f>
        <v>0</v>
      </c>
      <c r="F301" s="277">
        <f t="shared" si="55"/>
        <v>0</v>
      </c>
      <c r="G301" s="277">
        <f t="shared" si="55"/>
        <v>0</v>
      </c>
      <c r="H301" s="277">
        <f t="shared" si="55"/>
        <v>82.50277777777778</v>
      </c>
      <c r="I301" s="277">
        <f t="shared" si="55"/>
        <v>83.669389435304169</v>
      </c>
      <c r="J301" s="277">
        <f t="shared" si="55"/>
        <v>84.476068061056793</v>
      </c>
      <c r="K301" s="277">
        <f t="shared" si="55"/>
        <v>84.39404783846966</v>
      </c>
      <c r="L301" s="277">
        <f t="shared" si="55"/>
        <v>0</v>
      </c>
      <c r="N301" s="277">
        <f xml:space="preserve"> INDEX( E301:L301, 1, MATCH( Year, $E$2:$L$2, 0 ) ) - H301</f>
        <v>1.8912700606918804</v>
      </c>
    </row>
    <row r="303" spans="2:16" ht="13.5" x14ac:dyDescent="0.25">
      <c r="B303" s="9" t="s">
        <v>328</v>
      </c>
      <c r="C303" s="9"/>
      <c r="D303" s="9"/>
      <c r="E303" s="9"/>
      <c r="F303" s="9"/>
      <c r="G303" s="9"/>
      <c r="H303" s="9"/>
      <c r="I303" s="9"/>
      <c r="J303" s="9"/>
      <c r="K303" s="9"/>
      <c r="L303" s="9"/>
      <c r="M303" s="9"/>
      <c r="N303" s="9"/>
      <c r="O303" s="9"/>
      <c r="P303" s="9"/>
    </row>
    <row r="304" spans="2:16" outlineLevel="1" x14ac:dyDescent="0.2"/>
    <row r="305" spans="3:12" outlineLevel="1" x14ac:dyDescent="0.2">
      <c r="C305" s="8" t="s">
        <v>79</v>
      </c>
      <c r="D305" s="11" t="s">
        <v>132</v>
      </c>
      <c r="E305" s="280">
        <f xml:space="preserve"> IFERROR( INPUTS│Outcomes!E264 / INPUTS│Outcomes!E240, 0 )</f>
        <v>0</v>
      </c>
      <c r="F305" s="280">
        <f xml:space="preserve"> IFERROR( INPUTS│Outcomes!F264 / INPUTS│Outcomes!F240, 0 )</f>
        <v>0</v>
      </c>
      <c r="G305" s="280">
        <f xml:space="preserve"> IFERROR( INPUTS│Outcomes!G264 / INPUTS│Outcomes!G240, 0 )</f>
        <v>0</v>
      </c>
      <c r="H305" s="280">
        <f xml:space="preserve"> IFERROR( INPUTS│Outcomes!H264 / INPUTS│Outcomes!H240, 0 )</f>
        <v>1</v>
      </c>
      <c r="I305" s="280">
        <f xml:space="preserve"> IFERROR( INPUTS│Outcomes!I264 / INPUTS│Outcomes!I240, 0 )</f>
        <v>0.7857142857142857</v>
      </c>
      <c r="J305" s="280">
        <f xml:space="preserve"> IFERROR( INPUTS│Outcomes!J264 / INPUTS│Outcomes!J240, 0 )</f>
        <v>0.93333333333333335</v>
      </c>
      <c r="K305" s="280">
        <f xml:space="preserve"> IFERROR( INPUTS│Outcomes!K264 / INPUTS│Outcomes!K240, 0 )</f>
        <v>0.9285714285714286</v>
      </c>
      <c r="L305" s="280">
        <f xml:space="preserve"> IFERROR( INPUTS│Outcomes!L264 / INPUTS│Outcomes!L240, 0 )</f>
        <v>0</v>
      </c>
    </row>
    <row r="306" spans="3:12" outlineLevel="1" x14ac:dyDescent="0.2">
      <c r="C306" s="8" t="s">
        <v>81</v>
      </c>
      <c r="D306" s="11" t="s">
        <v>132</v>
      </c>
      <c r="E306" s="280">
        <f xml:space="preserve"> IFERROR( INPUTS│Outcomes!E265 / INPUTS│Outcomes!E241, 0 )</f>
        <v>0</v>
      </c>
      <c r="F306" s="280">
        <f xml:space="preserve"> IFERROR( INPUTS│Outcomes!F265 / INPUTS│Outcomes!F241, 0 )</f>
        <v>0</v>
      </c>
      <c r="G306" s="280">
        <f xml:space="preserve"> IFERROR( INPUTS│Outcomes!G265 / INPUTS│Outcomes!G241, 0 )</f>
        <v>0</v>
      </c>
      <c r="H306" s="280">
        <f xml:space="preserve"> IFERROR( INPUTS│Outcomes!H265 / INPUTS│Outcomes!H241, 0 )</f>
        <v>0.77419354838709675</v>
      </c>
      <c r="I306" s="280">
        <f xml:space="preserve"> IFERROR( INPUTS│Outcomes!I265 / INPUTS│Outcomes!I241, 0 )</f>
        <v>0.77419354838709675</v>
      </c>
      <c r="J306" s="280">
        <f xml:space="preserve"> IFERROR( INPUTS│Outcomes!J265 / INPUTS│Outcomes!J241, 0 )</f>
        <v>0.77777777777777779</v>
      </c>
      <c r="K306" s="280">
        <f xml:space="preserve"> IFERROR( INPUTS│Outcomes!K265 / INPUTS│Outcomes!K241, 0 )</f>
        <v>0.62962962962962965</v>
      </c>
      <c r="L306" s="280">
        <f xml:space="preserve"> IFERROR( INPUTS│Outcomes!L265 / INPUTS│Outcomes!L241, 0 )</f>
        <v>0</v>
      </c>
    </row>
    <row r="307" spans="3:12" outlineLevel="1" x14ac:dyDescent="0.2">
      <c r="C307" s="8" t="s">
        <v>84</v>
      </c>
      <c r="D307" s="11" t="s">
        <v>132</v>
      </c>
      <c r="E307" s="280">
        <f xml:space="preserve"> IFERROR( INPUTS│Outcomes!E266 / INPUTS│Outcomes!E242, 0 )</f>
        <v>0</v>
      </c>
      <c r="F307" s="280">
        <f xml:space="preserve"> IFERROR( INPUTS│Outcomes!F266 / INPUTS│Outcomes!F242, 0 )</f>
        <v>0</v>
      </c>
      <c r="G307" s="280">
        <f xml:space="preserve"> IFERROR( INPUTS│Outcomes!G266 / INPUTS│Outcomes!G242, 0 )</f>
        <v>0</v>
      </c>
      <c r="H307" s="280">
        <f xml:space="preserve"> IFERROR( INPUTS│Outcomes!H266 / INPUTS│Outcomes!H242, 0 )</f>
        <v>0</v>
      </c>
      <c r="I307" s="280">
        <f xml:space="preserve"> IFERROR( INPUTS│Outcomes!I266 / INPUTS│Outcomes!I242, 0 )</f>
        <v>0</v>
      </c>
      <c r="J307" s="280">
        <f xml:space="preserve"> IFERROR( INPUTS│Outcomes!J266 / INPUTS│Outcomes!J242, 0 )</f>
        <v>0</v>
      </c>
      <c r="K307" s="280">
        <f xml:space="preserve"> IFERROR( INPUTS│Outcomes!K266 / INPUTS│Outcomes!K242, 0 )</f>
        <v>0.51282051282051277</v>
      </c>
      <c r="L307" s="280">
        <f xml:space="preserve"> IFERROR( INPUTS│Outcomes!L266 / INPUTS│Outcomes!L242, 0 )</f>
        <v>0</v>
      </c>
    </row>
    <row r="308" spans="3:12" outlineLevel="1" x14ac:dyDescent="0.2">
      <c r="C308" s="8" t="s">
        <v>86</v>
      </c>
      <c r="D308" s="11" t="s">
        <v>132</v>
      </c>
      <c r="E308" s="280">
        <f xml:space="preserve"> IFERROR( INPUTS│Outcomes!E267 / INPUTS│Outcomes!E243, 0 )</f>
        <v>0</v>
      </c>
      <c r="F308" s="280">
        <f xml:space="preserve"> IFERROR( INPUTS│Outcomes!F267 / INPUTS│Outcomes!F243, 0 )</f>
        <v>0</v>
      </c>
      <c r="G308" s="280">
        <f xml:space="preserve"> IFERROR( INPUTS│Outcomes!G267 / INPUTS│Outcomes!G243, 0 )</f>
        <v>0</v>
      </c>
      <c r="H308" s="280">
        <f xml:space="preserve"> IFERROR( INPUTS│Outcomes!H267 / INPUTS│Outcomes!H243, 0 )</f>
        <v>0.68965517241379315</v>
      </c>
      <c r="I308" s="280">
        <f xml:space="preserve"> IFERROR( INPUTS│Outcomes!I267 / INPUTS│Outcomes!I243, 0 )</f>
        <v>0.68965517241379315</v>
      </c>
      <c r="J308" s="280">
        <f xml:space="preserve"> IFERROR( INPUTS│Outcomes!J267 / INPUTS│Outcomes!J243, 0 )</f>
        <v>0.75609756097560976</v>
      </c>
      <c r="K308" s="280">
        <f xml:space="preserve"> IFERROR( INPUTS│Outcomes!K267 / INPUTS│Outcomes!K243, 0 )</f>
        <v>0.58536585365853655</v>
      </c>
      <c r="L308" s="280">
        <f xml:space="preserve"> IFERROR( INPUTS│Outcomes!L267 / INPUTS│Outcomes!L243, 0 )</f>
        <v>0</v>
      </c>
    </row>
    <row r="309" spans="3:12" outlineLevel="1" x14ac:dyDescent="0.2">
      <c r="C309" s="8" t="s">
        <v>88</v>
      </c>
      <c r="D309" s="11" t="s">
        <v>132</v>
      </c>
      <c r="E309" s="280">
        <f xml:space="preserve"> IFERROR( INPUTS│Outcomes!E268 / INPUTS│Outcomes!E244, 0 )</f>
        <v>0</v>
      </c>
      <c r="F309" s="280">
        <f xml:space="preserve"> IFERROR( INPUTS│Outcomes!F268 / INPUTS│Outcomes!F244, 0 )</f>
        <v>0</v>
      </c>
      <c r="G309" s="280">
        <f xml:space="preserve"> IFERROR( INPUTS│Outcomes!G268 / INPUTS│Outcomes!G244, 0 )</f>
        <v>0</v>
      </c>
      <c r="H309" s="280">
        <f xml:space="preserve"> IFERROR( INPUTS│Outcomes!H268 / INPUTS│Outcomes!H244, 0 )</f>
        <v>0</v>
      </c>
      <c r="I309" s="280">
        <f xml:space="preserve"> IFERROR( INPUTS│Outcomes!I268 / INPUTS│Outcomes!I244, 0 )</f>
        <v>0</v>
      </c>
      <c r="J309" s="280">
        <f xml:space="preserve"> IFERROR( INPUTS│Outcomes!J268 / INPUTS│Outcomes!J244, 0 )</f>
        <v>0</v>
      </c>
      <c r="K309" s="280">
        <f xml:space="preserve"> IFERROR( INPUTS│Outcomes!K268 / INPUTS│Outcomes!K244, 0 )</f>
        <v>0.62222222222222223</v>
      </c>
      <c r="L309" s="280">
        <f xml:space="preserve"> IFERROR( INPUTS│Outcomes!L268 / INPUTS│Outcomes!L244, 0 )</f>
        <v>0</v>
      </c>
    </row>
    <row r="310" spans="3:12" outlineLevel="1" x14ac:dyDescent="0.2">
      <c r="C310" s="8" t="s">
        <v>90</v>
      </c>
      <c r="D310" s="11" t="s">
        <v>132</v>
      </c>
      <c r="E310" s="280">
        <f xml:space="preserve"> IFERROR( INPUTS│Outcomes!E270 / INPUTS│Outcomes!E246, 0 )</f>
        <v>0</v>
      </c>
      <c r="F310" s="280">
        <f xml:space="preserve"> IFERROR( INPUTS│Outcomes!F270 / INPUTS│Outcomes!F246, 0 )</f>
        <v>0</v>
      </c>
      <c r="G310" s="280">
        <f xml:space="preserve"> IFERROR( INPUTS│Outcomes!G270 / INPUTS│Outcomes!G246, 0 )</f>
        <v>0</v>
      </c>
      <c r="H310" s="280">
        <f xml:space="preserve"> IFERROR( INPUTS│Outcomes!H270 / INPUTS│Outcomes!H246, 0 )</f>
        <v>0.62068965517241381</v>
      </c>
      <c r="I310" s="280">
        <f xml:space="preserve"> IFERROR( INPUTS│Outcomes!I270 / INPUTS│Outcomes!I246, 0 )</f>
        <v>0.66666666666666663</v>
      </c>
      <c r="J310" s="280">
        <f xml:space="preserve"> IFERROR( INPUTS│Outcomes!J270 / INPUTS│Outcomes!J246, 0 )</f>
        <v>0.7142857142857143</v>
      </c>
      <c r="K310" s="280">
        <f xml:space="preserve"> IFERROR( INPUTS│Outcomes!K270 / INPUTS│Outcomes!K246, 0 )</f>
        <v>0.7142857142857143</v>
      </c>
      <c r="L310" s="280">
        <f xml:space="preserve"> IFERROR( INPUTS│Outcomes!L270 / INPUTS│Outcomes!L246, 0 )</f>
        <v>0</v>
      </c>
    </row>
    <row r="311" spans="3:12" outlineLevel="1" x14ac:dyDescent="0.2">
      <c r="C311" s="8" t="s">
        <v>93</v>
      </c>
      <c r="D311" s="11" t="s">
        <v>132</v>
      </c>
      <c r="E311" s="280">
        <f xml:space="preserve"> IFERROR( INPUTS│Outcomes!E271 / INPUTS│Outcomes!E247, 0 )</f>
        <v>0</v>
      </c>
      <c r="F311" s="280">
        <f xml:space="preserve"> IFERROR( INPUTS│Outcomes!F271 / INPUTS│Outcomes!F247, 0 )</f>
        <v>0</v>
      </c>
      <c r="G311" s="280">
        <f xml:space="preserve"> IFERROR( INPUTS│Outcomes!G271 / INPUTS│Outcomes!G247, 0 )</f>
        <v>0</v>
      </c>
      <c r="H311" s="280">
        <f xml:space="preserve"> IFERROR( INPUTS│Outcomes!H271 / INPUTS│Outcomes!H247, 0 )</f>
        <v>0.63157894736842102</v>
      </c>
      <c r="I311" s="280">
        <f xml:space="preserve"> IFERROR( INPUTS│Outcomes!I271 / INPUTS│Outcomes!I247, 0 )</f>
        <v>0.625</v>
      </c>
      <c r="J311" s="280">
        <f xml:space="preserve"> IFERROR( INPUTS│Outcomes!J271 / INPUTS│Outcomes!J247, 0 )</f>
        <v>0.56000000000000005</v>
      </c>
      <c r="K311" s="280">
        <f xml:space="preserve"> IFERROR( INPUTS│Outcomes!K271 / INPUTS│Outcomes!K247, 0 )</f>
        <v>0.64</v>
      </c>
      <c r="L311" s="280">
        <f xml:space="preserve"> IFERROR( INPUTS│Outcomes!L271 / INPUTS│Outcomes!L247, 0 )</f>
        <v>0</v>
      </c>
    </row>
    <row r="312" spans="3:12" outlineLevel="1" x14ac:dyDescent="0.2">
      <c r="C312" s="8" t="s">
        <v>95</v>
      </c>
      <c r="D312" s="11" t="s">
        <v>132</v>
      </c>
      <c r="E312" s="280">
        <f xml:space="preserve"> IFERROR( INPUTS│Outcomes!E272 / INPUTS│Outcomes!E248, 0 )</f>
        <v>0</v>
      </c>
      <c r="F312" s="280">
        <f xml:space="preserve"> IFERROR( INPUTS│Outcomes!F272 / INPUTS│Outcomes!F248, 0 )</f>
        <v>0</v>
      </c>
      <c r="G312" s="280">
        <f xml:space="preserve"> IFERROR( INPUTS│Outcomes!G272 / INPUTS│Outcomes!G248, 0 )</f>
        <v>0</v>
      </c>
      <c r="H312" s="280">
        <f xml:space="preserve"> IFERROR( INPUTS│Outcomes!H272 / INPUTS│Outcomes!H248, 0 )</f>
        <v>0.64102564102564108</v>
      </c>
      <c r="I312" s="280">
        <f xml:space="preserve"> IFERROR( INPUTS│Outcomes!I272 / INPUTS│Outcomes!I248, 0 )</f>
        <v>0.65853658536585369</v>
      </c>
      <c r="J312" s="280">
        <f xml:space="preserve"> IFERROR( INPUTS│Outcomes!J272 / INPUTS│Outcomes!J248, 0 )</f>
        <v>0.65116279069767447</v>
      </c>
      <c r="K312" s="280">
        <f xml:space="preserve"> IFERROR( INPUTS│Outcomes!K272 / INPUTS│Outcomes!K248, 0 )</f>
        <v>0.55000000000000004</v>
      </c>
      <c r="L312" s="280">
        <f xml:space="preserve"> IFERROR( INPUTS│Outcomes!L272 / INPUTS│Outcomes!L248, 0 )</f>
        <v>0</v>
      </c>
    </row>
    <row r="313" spans="3:12" outlineLevel="1" x14ac:dyDescent="0.2">
      <c r="C313" s="8" t="s">
        <v>97</v>
      </c>
      <c r="D313" s="11" t="s">
        <v>132</v>
      </c>
      <c r="E313" s="280">
        <f xml:space="preserve"> IFERROR( INPUTS│Outcomes!E273 / INPUTS│Outcomes!E249, 0 )</f>
        <v>0</v>
      </c>
      <c r="F313" s="280">
        <f xml:space="preserve"> IFERROR( INPUTS│Outcomes!F273 / INPUTS│Outcomes!F249, 0 )</f>
        <v>0</v>
      </c>
      <c r="G313" s="280">
        <f xml:space="preserve"> IFERROR( INPUTS│Outcomes!G273 / INPUTS│Outcomes!G249, 0 )</f>
        <v>0</v>
      </c>
      <c r="H313" s="280">
        <f xml:space="preserve"> IFERROR( INPUTS│Outcomes!H273 / INPUTS│Outcomes!H249, 0 )</f>
        <v>0.66666666666666663</v>
      </c>
      <c r="I313" s="280">
        <f xml:space="preserve"> IFERROR( INPUTS│Outcomes!I273 / INPUTS│Outcomes!I249, 0 )</f>
        <v>0.70370370370370372</v>
      </c>
      <c r="J313" s="280">
        <f xml:space="preserve"> IFERROR( INPUTS│Outcomes!J273 / INPUTS│Outcomes!J249, 0 )</f>
        <v>0.69230769230769229</v>
      </c>
      <c r="K313" s="280">
        <f xml:space="preserve"> IFERROR( INPUTS│Outcomes!K273 / INPUTS│Outcomes!K249, 0 )</f>
        <v>0.7407407407407407</v>
      </c>
      <c r="L313" s="280">
        <f xml:space="preserve"> IFERROR( INPUTS│Outcomes!L273 / INPUTS│Outcomes!L249, 0 )</f>
        <v>0</v>
      </c>
    </row>
    <row r="314" spans="3:12" outlineLevel="1" x14ac:dyDescent="0.2">
      <c r="C314" s="8" t="s">
        <v>99</v>
      </c>
      <c r="D314" s="11" t="s">
        <v>132</v>
      </c>
      <c r="E314" s="280">
        <f xml:space="preserve"> IFERROR( INPUTS│Outcomes!E274 / INPUTS│Outcomes!E250, 0 )</f>
        <v>0</v>
      </c>
      <c r="F314" s="280">
        <f xml:space="preserve"> IFERROR( INPUTS│Outcomes!F274 / INPUTS│Outcomes!F250, 0 )</f>
        <v>0</v>
      </c>
      <c r="G314" s="280">
        <f xml:space="preserve"> IFERROR( INPUTS│Outcomes!G274 / INPUTS│Outcomes!G250, 0 )</f>
        <v>0</v>
      </c>
      <c r="H314" s="280">
        <f xml:space="preserve"> IFERROR( INPUTS│Outcomes!H274 / INPUTS│Outcomes!H250, 0 )</f>
        <v>0.8125</v>
      </c>
      <c r="I314" s="280">
        <f xml:space="preserve"> IFERROR( INPUTS│Outcomes!I274 / INPUTS│Outcomes!I250, 0 )</f>
        <v>0.76666666666666672</v>
      </c>
      <c r="J314" s="280">
        <f xml:space="preserve"> IFERROR( INPUTS│Outcomes!J274 / INPUTS│Outcomes!J250, 0 )</f>
        <v>0.77419354838709675</v>
      </c>
      <c r="K314" s="280">
        <f xml:space="preserve"> IFERROR( INPUTS│Outcomes!K274 / INPUTS│Outcomes!K250, 0 )</f>
        <v>0.77419354838709675</v>
      </c>
      <c r="L314" s="280">
        <f xml:space="preserve"> IFERROR( INPUTS│Outcomes!L274 / INPUTS│Outcomes!L250, 0 )</f>
        <v>0</v>
      </c>
    </row>
    <row r="315" spans="3:12" outlineLevel="1" x14ac:dyDescent="0.2">
      <c r="C315" s="8" t="s">
        <v>101</v>
      </c>
      <c r="D315" s="11" t="s">
        <v>132</v>
      </c>
      <c r="E315" s="280">
        <f xml:space="preserve"> IFERROR( INPUTS│Outcomes!E275 / INPUTS│Outcomes!E251, 0 )</f>
        <v>0</v>
      </c>
      <c r="F315" s="280">
        <f xml:space="preserve"> IFERROR( INPUTS│Outcomes!F275 / INPUTS│Outcomes!F251, 0 )</f>
        <v>0</v>
      </c>
      <c r="G315" s="280">
        <f xml:space="preserve"> IFERROR( INPUTS│Outcomes!G275 / INPUTS│Outcomes!G251, 0 )</f>
        <v>0</v>
      </c>
      <c r="H315" s="280">
        <f xml:space="preserve"> IFERROR( INPUTS│Outcomes!H275 / INPUTS│Outcomes!H251, 0 )</f>
        <v>0.81818181818181823</v>
      </c>
      <c r="I315" s="280">
        <f xml:space="preserve"> IFERROR( INPUTS│Outcomes!I275 / INPUTS│Outcomes!I251, 0 )</f>
        <v>0.81818181818181823</v>
      </c>
      <c r="J315" s="280">
        <f xml:space="preserve"> IFERROR( INPUTS│Outcomes!J275 / INPUTS│Outcomes!J251, 0 )</f>
        <v>0.72727272727272729</v>
      </c>
      <c r="K315" s="280">
        <f xml:space="preserve"> IFERROR( INPUTS│Outcomes!K275 / INPUTS│Outcomes!K251, 0 )</f>
        <v>0.76666666666666672</v>
      </c>
      <c r="L315" s="280">
        <f xml:space="preserve"> IFERROR( INPUTS│Outcomes!L275 / INPUTS│Outcomes!L251, 0 )</f>
        <v>0</v>
      </c>
    </row>
    <row r="316" spans="3:12" outlineLevel="1" x14ac:dyDescent="0.2">
      <c r="C316" s="8" t="s">
        <v>103</v>
      </c>
      <c r="D316" s="11" t="s">
        <v>132</v>
      </c>
      <c r="E316" s="280">
        <f xml:space="preserve"> IFERROR( INPUTS│Outcomes!E276 / INPUTS│Outcomes!E252, 0 )</f>
        <v>0</v>
      </c>
      <c r="F316" s="280">
        <f xml:space="preserve"> IFERROR( INPUTS│Outcomes!F276 / INPUTS│Outcomes!F252, 0 )</f>
        <v>0</v>
      </c>
      <c r="G316" s="280">
        <f xml:space="preserve"> IFERROR( INPUTS│Outcomes!G276 / INPUTS│Outcomes!G252, 0 )</f>
        <v>0</v>
      </c>
      <c r="H316" s="280">
        <f xml:space="preserve"> IFERROR( INPUTS│Outcomes!H276 / INPUTS│Outcomes!H252, 0 )</f>
        <v>0.8</v>
      </c>
      <c r="I316" s="280">
        <f xml:space="preserve"> IFERROR( INPUTS│Outcomes!I276 / INPUTS│Outcomes!I252, 0 )</f>
        <v>0.7</v>
      </c>
      <c r="J316" s="280">
        <f xml:space="preserve"> IFERROR( INPUTS│Outcomes!J276 / INPUTS│Outcomes!J252, 0 )</f>
        <v>0.7</v>
      </c>
      <c r="K316" s="280">
        <f xml:space="preserve"> IFERROR( INPUTS│Outcomes!K276 / INPUTS│Outcomes!K252, 0 )</f>
        <v>0.9</v>
      </c>
      <c r="L316" s="280">
        <f xml:space="preserve"> IFERROR( INPUTS│Outcomes!L276 / INPUTS│Outcomes!L252, 0 )</f>
        <v>0</v>
      </c>
    </row>
    <row r="317" spans="3:12" outlineLevel="1" x14ac:dyDescent="0.2">
      <c r="C317" s="8" t="s">
        <v>105</v>
      </c>
      <c r="D317" s="11" t="s">
        <v>132</v>
      </c>
      <c r="E317" s="280">
        <f xml:space="preserve"> IFERROR( INPUTS│Outcomes!E277 / INPUTS│Outcomes!E253, 0 )</f>
        <v>0</v>
      </c>
      <c r="F317" s="280">
        <f xml:space="preserve"> IFERROR( INPUTS│Outcomes!F277 / INPUTS│Outcomes!F253, 0 )</f>
        <v>0</v>
      </c>
      <c r="G317" s="280">
        <f xml:space="preserve"> IFERROR( INPUTS│Outcomes!G277 / INPUTS│Outcomes!G253, 0 )</f>
        <v>0</v>
      </c>
      <c r="H317" s="280">
        <f xml:space="preserve"> IFERROR( INPUTS│Outcomes!H277 / INPUTS│Outcomes!H253, 0 )</f>
        <v>0.5714285714285714</v>
      </c>
      <c r="I317" s="280">
        <f xml:space="preserve"> IFERROR( INPUTS│Outcomes!I277 / INPUTS│Outcomes!I253, 0 )</f>
        <v>0.66666666666666663</v>
      </c>
      <c r="J317" s="280">
        <f xml:space="preserve"> IFERROR( INPUTS│Outcomes!J277 / INPUTS│Outcomes!J253, 0 )</f>
        <v>0.42857142857142855</v>
      </c>
      <c r="K317" s="280">
        <f xml:space="preserve"> IFERROR( INPUTS│Outcomes!K277 / INPUTS│Outcomes!K253, 0 )</f>
        <v>0.42857142857142855</v>
      </c>
      <c r="L317" s="280">
        <f xml:space="preserve"> IFERROR( INPUTS│Outcomes!L277 / INPUTS│Outcomes!L253, 0 )</f>
        <v>0</v>
      </c>
    </row>
    <row r="318" spans="3:12" outlineLevel="1" x14ac:dyDescent="0.2">
      <c r="C318" s="8" t="s">
        <v>107</v>
      </c>
      <c r="D318" s="11" t="s">
        <v>132</v>
      </c>
      <c r="E318" s="280">
        <f xml:space="preserve"> IFERROR( INPUTS│Outcomes!E279 / INPUTS│Outcomes!E255, 0 )</f>
        <v>0</v>
      </c>
      <c r="F318" s="280">
        <f xml:space="preserve"> IFERROR( INPUTS│Outcomes!F279 / INPUTS│Outcomes!F255, 0 )</f>
        <v>0</v>
      </c>
      <c r="G318" s="280">
        <f xml:space="preserve"> IFERROR( INPUTS│Outcomes!G279 / INPUTS│Outcomes!G255, 0 )</f>
        <v>0</v>
      </c>
      <c r="H318" s="280">
        <f xml:space="preserve"> IFERROR( INPUTS│Outcomes!H279 / INPUTS│Outcomes!H255, 0 )</f>
        <v>0.84615384615384615</v>
      </c>
      <c r="I318" s="280">
        <f xml:space="preserve"> IFERROR( INPUTS│Outcomes!I279 / INPUTS│Outcomes!I255, 0 )</f>
        <v>0.84615384615384615</v>
      </c>
      <c r="J318" s="280">
        <f xml:space="preserve"> IFERROR( INPUTS│Outcomes!J279 / INPUTS│Outcomes!J255, 0 )</f>
        <v>0.7</v>
      </c>
      <c r="K318" s="280">
        <f xml:space="preserve"> IFERROR( INPUTS│Outcomes!K279 / INPUTS│Outcomes!K255, 0 )</f>
        <v>0.8</v>
      </c>
      <c r="L318" s="280">
        <f xml:space="preserve"> IFERROR( INPUTS│Outcomes!L279 / INPUTS│Outcomes!L255, 0 )</f>
        <v>0</v>
      </c>
    </row>
    <row r="319" spans="3:12" outlineLevel="1" x14ac:dyDescent="0.2">
      <c r="C319" s="8" t="s">
        <v>111</v>
      </c>
      <c r="D319" s="11" t="s">
        <v>132</v>
      </c>
      <c r="E319" s="280">
        <f xml:space="preserve"> IFERROR( INPUTS│Outcomes!E280 / INPUTS│Outcomes!E256, 0 )</f>
        <v>0</v>
      </c>
      <c r="F319" s="280">
        <f xml:space="preserve"> IFERROR( INPUTS│Outcomes!F280 / INPUTS│Outcomes!F256, 0 )</f>
        <v>0</v>
      </c>
      <c r="G319" s="280">
        <f xml:space="preserve"> IFERROR( INPUTS│Outcomes!G280 / INPUTS│Outcomes!G256, 0 )</f>
        <v>0</v>
      </c>
      <c r="H319" s="280">
        <f xml:space="preserve"> IFERROR( INPUTS│Outcomes!H280 / INPUTS│Outcomes!H256, 0 )</f>
        <v>0.40740740740740738</v>
      </c>
      <c r="I319" s="280">
        <f xml:space="preserve"> IFERROR( INPUTS│Outcomes!I280 / INPUTS│Outcomes!I256, 0 )</f>
        <v>0.32142857142857145</v>
      </c>
      <c r="J319" s="280">
        <f xml:space="preserve"> IFERROR( INPUTS│Outcomes!J280 / INPUTS│Outcomes!J256, 0 )</f>
        <v>0.35714285714285715</v>
      </c>
      <c r="K319" s="280">
        <f xml:space="preserve"> IFERROR( INPUTS│Outcomes!K280 / INPUTS│Outcomes!K256, 0 )</f>
        <v>0.32142857142857145</v>
      </c>
      <c r="L319" s="280">
        <f xml:space="preserve"> IFERROR( INPUTS│Outcomes!L280 / INPUTS│Outcomes!L256, 0 )</f>
        <v>0</v>
      </c>
    </row>
    <row r="320" spans="3:12" outlineLevel="1" x14ac:dyDescent="0.2">
      <c r="C320" s="8" t="s">
        <v>113</v>
      </c>
      <c r="D320" s="11" t="s">
        <v>132</v>
      </c>
      <c r="E320" s="280">
        <f xml:space="preserve"> IFERROR( INPUTS│Outcomes!E281 / INPUTS│Outcomes!E257, 0 )</f>
        <v>0</v>
      </c>
      <c r="F320" s="280">
        <f xml:space="preserve"> IFERROR( INPUTS│Outcomes!F281 / INPUTS│Outcomes!F257, 0 )</f>
        <v>0</v>
      </c>
      <c r="G320" s="280">
        <f xml:space="preserve"> IFERROR( INPUTS│Outcomes!G281 / INPUTS│Outcomes!G257, 0 )</f>
        <v>0</v>
      </c>
      <c r="H320" s="280">
        <f xml:space="preserve"> IFERROR( INPUTS│Outcomes!H281 / INPUTS│Outcomes!H257, 0 )</f>
        <v>0.66666666666666663</v>
      </c>
      <c r="I320" s="280">
        <f xml:space="preserve"> IFERROR( INPUTS│Outcomes!I281 / INPUTS│Outcomes!I257, 0 )</f>
        <v>0.66666666666666663</v>
      </c>
      <c r="J320" s="280">
        <f xml:space="preserve"> IFERROR( INPUTS│Outcomes!J281 / INPUTS│Outcomes!J257, 0 )</f>
        <v>0.46666666666666667</v>
      </c>
      <c r="K320" s="280">
        <f xml:space="preserve"> IFERROR( INPUTS│Outcomes!K281 / INPUTS│Outcomes!K257, 0 )</f>
        <v>0.66666666666666663</v>
      </c>
      <c r="L320" s="280">
        <f xml:space="preserve"> IFERROR( INPUTS│Outcomes!L281 / INPUTS│Outcomes!L257, 0 )</f>
        <v>0</v>
      </c>
    </row>
    <row r="321" spans="2:16" outlineLevel="1" x14ac:dyDescent="0.2">
      <c r="C321" s="8" t="s">
        <v>109</v>
      </c>
      <c r="D321" s="11" t="s">
        <v>132</v>
      </c>
      <c r="E321" s="280">
        <f xml:space="preserve"> IFERROR( INPUTS│Outcomes!E282 / INPUTS│Outcomes!E258, 0 )</f>
        <v>0</v>
      </c>
      <c r="F321" s="280">
        <f xml:space="preserve"> IFERROR( INPUTS│Outcomes!F282 / INPUTS│Outcomes!F258, 0 )</f>
        <v>0</v>
      </c>
      <c r="G321" s="280">
        <f xml:space="preserve"> IFERROR( INPUTS│Outcomes!G282 / INPUTS│Outcomes!G258, 0 )</f>
        <v>0</v>
      </c>
      <c r="H321" s="280">
        <f xml:space="preserve"> IFERROR( INPUTS│Outcomes!H282 / INPUTS│Outcomes!H258, 0 )</f>
        <v>0.76190476190476186</v>
      </c>
      <c r="I321" s="280">
        <f xml:space="preserve"> IFERROR( INPUTS│Outcomes!I282 / INPUTS│Outcomes!I258, 0 )</f>
        <v>0.7142857142857143</v>
      </c>
      <c r="J321" s="280">
        <f xml:space="preserve"> IFERROR( INPUTS│Outcomes!J282 / INPUTS│Outcomes!J258, 0 )</f>
        <v>0.76190476190476186</v>
      </c>
      <c r="K321" s="280">
        <f xml:space="preserve"> IFERROR( INPUTS│Outcomes!K282 / INPUTS│Outcomes!K258, 0 )</f>
        <v>0.7142857142857143</v>
      </c>
      <c r="L321" s="280">
        <f xml:space="preserve"> IFERROR( INPUTS│Outcomes!L282 / INPUTS│Outcomes!L258, 0 )</f>
        <v>0</v>
      </c>
    </row>
    <row r="322" spans="2:16" outlineLevel="1" x14ac:dyDescent="0.2"/>
    <row r="323" spans="2:16" outlineLevel="1" x14ac:dyDescent="0.2">
      <c r="C323" s="2" t="s">
        <v>257</v>
      </c>
      <c r="D323" s="14" t="s">
        <v>132</v>
      </c>
      <c r="E323" s="65">
        <f xml:space="preserve"> IFERROR( INPUTS│Outcomes!E284 / INPUTS│Outcomes!E260, 0 )</f>
        <v>0</v>
      </c>
      <c r="F323" s="65">
        <f xml:space="preserve"> IFERROR( INPUTS│Outcomes!F284 / INPUTS│Outcomes!F260, 0 )</f>
        <v>0</v>
      </c>
      <c r="G323" s="65">
        <f xml:space="preserve"> IFERROR( INPUTS│Outcomes!G284 / INPUTS│Outcomes!G260, 0 )</f>
        <v>0</v>
      </c>
      <c r="H323" s="65">
        <f xml:space="preserve"> IFERROR( INPUTS│Outcomes!H284 / INPUTS│Outcomes!H260, 0 )</f>
        <v>0.69329896907216493</v>
      </c>
      <c r="I323" s="65">
        <f xml:space="preserve"> IFERROR( INPUTS│Outcomes!I284 / INPUTS│Outcomes!I260, 0 )</f>
        <v>0.67929292929292928</v>
      </c>
      <c r="J323" s="65">
        <f xml:space="preserve"> IFERROR( INPUTS│Outcomes!J284 / INPUTS│Outcomes!J260, 0 )</f>
        <v>0.66503667481662587</v>
      </c>
      <c r="K323" s="65">
        <f xml:space="preserve"> IFERROR( INPUTS│Outcomes!K284 / INPUTS│Outcomes!K260, 0 )</f>
        <v>0.63495575221238942</v>
      </c>
      <c r="L323" s="65">
        <f xml:space="preserve"> IFERROR( INPUTS│Outcomes!L284 / INPUTS│Outcomes!L260, 0 )</f>
        <v>0</v>
      </c>
    </row>
    <row r="325" spans="2:16" ht="13.5" x14ac:dyDescent="0.25">
      <c r="B325" s="9"/>
      <c r="C325" s="9"/>
      <c r="D325" s="9"/>
      <c r="E325" s="9"/>
      <c r="F325" s="9"/>
      <c r="G325" s="9"/>
      <c r="H325" s="9"/>
      <c r="I325" s="9"/>
      <c r="J325" s="9"/>
      <c r="K325" s="9"/>
      <c r="L325" s="9"/>
      <c r="M325" s="9"/>
      <c r="N325" s="9"/>
      <c r="O325" s="9"/>
      <c r="P325" s="9"/>
    </row>
    <row r="327" spans="2:16" ht="13.5" x14ac:dyDescent="0.25">
      <c r="B327" s="35" t="s">
        <v>500</v>
      </c>
      <c r="C327" s="35"/>
      <c r="D327" s="35"/>
      <c r="E327" s="35"/>
      <c r="F327" s="35"/>
      <c r="G327" s="35"/>
      <c r="H327" s="35"/>
      <c r="I327" s="35"/>
      <c r="J327" s="35"/>
      <c r="K327" s="35"/>
      <c r="L327" s="35"/>
      <c r="M327" s="35"/>
      <c r="N327" s="35"/>
      <c r="O327" s="35"/>
      <c r="P327" s="35"/>
    </row>
    <row r="329" spans="2:16" x14ac:dyDescent="0.2">
      <c r="C329" s="8" t="s">
        <v>79</v>
      </c>
      <c r="D329" s="11" t="s">
        <v>126</v>
      </c>
      <c r="E329" s="273">
        <f xml:space="preserve"> SUMIF( INPUTS│Outcomes!$C$290:$C$382, $C329, INPUTS│Outcomes!E$290:E$382 )</f>
        <v>0</v>
      </c>
      <c r="F329" s="273">
        <f xml:space="preserve"> SUMIF( INPUTS│Outcomes!$C$290:$C$382, $C329, INPUTS│Outcomes!F$290:F$382 )</f>
        <v>0</v>
      </c>
      <c r="G329" s="273">
        <f xml:space="preserve"> SUMIF( INPUTS│Outcomes!$C$290:$C$382, $C329, INPUTS│Outcomes!G$290:G$382 )</f>
        <v>0</v>
      </c>
      <c r="H329" s="273">
        <f xml:space="preserve"> SUMIF( INPUTS│Outcomes!$C$290:$C$382, $C329, INPUTS│Outcomes!H$290:H$382 )</f>
        <v>11.026</v>
      </c>
      <c r="I329" s="273">
        <f xml:space="preserve"> SUMIF( INPUTS│Outcomes!$C$290:$C$382, $C329, INPUTS│Outcomes!I$290:I$382 )</f>
        <v>5.3196000000000003</v>
      </c>
      <c r="J329" s="273">
        <f xml:space="preserve"> SUMIF( INPUTS│Outcomes!$C$290:$C$382, $C329, INPUTS│Outcomes!J$290:J$382 )</f>
        <v>13.358999999999998</v>
      </c>
      <c r="K329" s="273">
        <f xml:space="preserve"> SUMIF( INPUTS│Outcomes!$C$290:$C$382, $C329, INPUTS│Outcomes!K$290:K$382 )</f>
        <v>12.1914</v>
      </c>
      <c r="L329" s="273">
        <f xml:space="preserve"> SUMIF( INPUTS│Outcomes!$C$290:$C$382, $C329, INPUTS│Outcomes!L$290:L$382 )</f>
        <v>0</v>
      </c>
    </row>
    <row r="330" spans="2:16" x14ac:dyDescent="0.2">
      <c r="C330" s="8" t="s">
        <v>81</v>
      </c>
      <c r="D330" s="11" t="s">
        <v>126</v>
      </c>
      <c r="E330" s="273">
        <f xml:space="preserve"> SUMIF( INPUTS│Outcomes!$C$290:$C$382, $C330, INPUTS│Outcomes!E$290:E$382 )</f>
        <v>0</v>
      </c>
      <c r="F330" s="273">
        <f xml:space="preserve"> SUMIF( INPUTS│Outcomes!$C$290:$C$382, $C330, INPUTS│Outcomes!F$290:F$382 )</f>
        <v>0</v>
      </c>
      <c r="G330" s="273">
        <f xml:space="preserve"> SUMIF( INPUTS│Outcomes!$C$290:$C$382, $C330, INPUTS│Outcomes!G$290:G$382 )</f>
        <v>0</v>
      </c>
      <c r="H330" s="273">
        <f xml:space="preserve"> SUMIF( INPUTS│Outcomes!$C$290:$C$382, $C330, INPUTS│Outcomes!H$290:H$382 )</f>
        <v>0.98699999999999999</v>
      </c>
      <c r="I330" s="273">
        <f xml:space="preserve"> SUMIF( INPUTS│Outcomes!$C$290:$C$382, $C330, INPUTS│Outcomes!I$290:I$382 )</f>
        <v>2.8</v>
      </c>
      <c r="J330" s="273">
        <f xml:space="preserve"> SUMIF( INPUTS│Outcomes!$C$290:$C$382, $C330, INPUTS│Outcomes!J$290:J$382 )</f>
        <v>-3.379</v>
      </c>
      <c r="K330" s="273">
        <f xml:space="preserve"> SUMIF( INPUTS│Outcomes!$C$290:$C$382, $C330, INPUTS│Outcomes!K$290:K$382 )</f>
        <v>-0.3550000000000002</v>
      </c>
      <c r="L330" s="273">
        <f xml:space="preserve"> SUMIF( INPUTS│Outcomes!$C$290:$C$382, $C330, INPUTS│Outcomes!L$290:L$382 )</f>
        <v>0</v>
      </c>
    </row>
    <row r="331" spans="2:16" x14ac:dyDescent="0.2">
      <c r="C331" s="8" t="s">
        <v>84</v>
      </c>
      <c r="D331" s="11" t="s">
        <v>126</v>
      </c>
      <c r="E331" s="273">
        <f xml:space="preserve"> SUMIF( INPUTS│Outcomes!$C$290:$C$382, $C331, INPUTS│Outcomes!E$290:E$382 ) + SUMIF( INPUTS│Outcomes!$C$290:$C$382, "DVW", INPUTS│Outcomes!E$290:E$382 )</f>
        <v>0</v>
      </c>
      <c r="F331" s="273">
        <f xml:space="preserve"> SUMIF( INPUTS│Outcomes!$C$290:$C$382, $C331, INPUTS│Outcomes!F$290:F$382 ) + SUMIF( INPUTS│Outcomes!$C$290:$C$382, "DVW", INPUTS│Outcomes!F$290:F$382 )</f>
        <v>0</v>
      </c>
      <c r="G331" s="273">
        <f xml:space="preserve"> SUMIF( INPUTS│Outcomes!$C$290:$C$382, $C331, INPUTS│Outcomes!G$290:G$382 ) + SUMIF( INPUTS│Outcomes!$C$290:$C$382, "DVW", INPUTS│Outcomes!G$290:G$382 )</f>
        <v>0</v>
      </c>
      <c r="H331" s="273">
        <f xml:space="preserve"> SUMIF( INPUTS│Outcomes!$C$290:$C$382, $C331, INPUTS│Outcomes!H$290:H$382 ) + SUMIF( INPUTS│Outcomes!$C$290:$C$382, "DVW", INPUTS│Outcomes!H$290:H$382 )</f>
        <v>2.5425160000000002E-2</v>
      </c>
      <c r="I331" s="273">
        <f xml:space="preserve"> SUMIF( INPUTS│Outcomes!$C$290:$C$382, $C331, INPUTS│Outcomes!I$290:I$382 ) + SUMIF( INPUTS│Outcomes!$C$290:$C$382, "DVW", INPUTS│Outcomes!I$290:I$382 )</f>
        <v>-3.7756720000000001E-2</v>
      </c>
      <c r="J331" s="273">
        <f xml:space="preserve"> SUMIF( INPUTS│Outcomes!$C$290:$C$382, $C331, INPUTS│Outcomes!J$290:J$382 ) + SUMIF( INPUTS│Outcomes!$C$290:$C$382, "DVW", INPUTS│Outcomes!J$290:J$382 )</f>
        <v>1.4644999999999998E-2</v>
      </c>
      <c r="K331" s="273">
        <f xml:space="preserve"> SUMIF( INPUTS│Outcomes!$C$290:$C$382, $C331, INPUTS│Outcomes!K$290:K$382 ) + SUMIF( INPUTS│Outcomes!$C$290:$C$382, "DVW", INPUTS│Outcomes!K$290:K$382 )</f>
        <v>-0.42946659999999998</v>
      </c>
      <c r="L331" s="273">
        <f xml:space="preserve"> SUMIF( INPUTS│Outcomes!$C$290:$C$382, $C331, INPUTS│Outcomes!L$290:L$382 ) + SUMIF( INPUTS│Outcomes!$C$290:$C$382, "DVW", INPUTS│Outcomes!L$290:L$382 )</f>
        <v>0</v>
      </c>
    </row>
    <row r="332" spans="2:16" x14ac:dyDescent="0.2">
      <c r="C332" s="8" t="s">
        <v>86</v>
      </c>
      <c r="D332" s="11" t="s">
        <v>126</v>
      </c>
      <c r="E332" s="273">
        <f xml:space="preserve"> SUMIF( INPUTS│Outcomes!$C$290:$C$382, $C332, INPUTS│Outcomes!E$290:E$382 )</f>
        <v>0</v>
      </c>
      <c r="F332" s="273">
        <f xml:space="preserve"> SUMIF( INPUTS│Outcomes!$C$290:$C$382, $C332, INPUTS│Outcomes!F$290:F$382 )</f>
        <v>0</v>
      </c>
      <c r="G332" s="273">
        <f xml:space="preserve"> SUMIF( INPUTS│Outcomes!$C$290:$C$382, $C332, INPUTS│Outcomes!G$290:G$382 )</f>
        <v>0</v>
      </c>
      <c r="H332" s="273">
        <f xml:space="preserve"> SUMIF( INPUTS│Outcomes!$C$290:$C$382, $C332, INPUTS│Outcomes!H$290:H$382 )</f>
        <v>4.4949999999999992</v>
      </c>
      <c r="I332" s="273">
        <f xml:space="preserve"> SUMIF( INPUTS│Outcomes!$C$290:$C$382, $C332, INPUTS│Outcomes!I$290:I$382 )</f>
        <v>4.9109999999999996</v>
      </c>
      <c r="J332" s="273">
        <f xml:space="preserve"> SUMIF( INPUTS│Outcomes!$C$290:$C$382, $C332, INPUTS│Outcomes!J$290:J$382 )</f>
        <v>3.7772999999999999</v>
      </c>
      <c r="K332" s="273">
        <f xml:space="preserve"> SUMIF( INPUTS│Outcomes!$C$290:$C$382, $C332, INPUTS│Outcomes!K$290:K$382 )</f>
        <v>-3.1887999999999996</v>
      </c>
      <c r="L332" s="273">
        <f xml:space="preserve"> SUMIF( INPUTS│Outcomes!$C$290:$C$382, $C332, INPUTS│Outcomes!L$290:L$382 )</f>
        <v>0</v>
      </c>
    </row>
    <row r="333" spans="2:16" x14ac:dyDescent="0.2">
      <c r="C333" s="8" t="s">
        <v>88</v>
      </c>
      <c r="D333" s="11" t="s">
        <v>126</v>
      </c>
      <c r="E333" s="273">
        <f xml:space="preserve"> SUMIF( INPUTS│Outcomes!$C$290:$C$382, $C333, INPUTS│Outcomes!E$290:E$382 ) + SUMIF( INPUTS│Outcomes!$C$290:$C$382, "SVT", INPUTS│Outcomes!E$290:E$382 )</f>
        <v>0</v>
      </c>
      <c r="F333" s="273">
        <f xml:space="preserve"> SUMIF( INPUTS│Outcomes!$C$290:$C$382, $C333, INPUTS│Outcomes!F$290:F$382 ) + SUMIF( INPUTS│Outcomes!$C$290:$C$382, "SVT", INPUTS│Outcomes!F$290:F$382 )</f>
        <v>0</v>
      </c>
      <c r="G333" s="273">
        <f xml:space="preserve"> SUMIF( INPUTS│Outcomes!$C$290:$C$382, $C333, INPUTS│Outcomes!G$290:G$382 ) + SUMIF( INPUTS│Outcomes!$C$290:$C$382, "SVT", INPUTS│Outcomes!G$290:G$382 )</f>
        <v>0</v>
      </c>
      <c r="H333" s="273">
        <f xml:space="preserve"> SUMIF( INPUTS│Outcomes!$C$290:$C$382, $C333, INPUTS│Outcomes!H$290:H$382 ) + SUMIF( INPUTS│Outcomes!$C$290:$C$382, "SVT", INPUTS│Outcomes!H$290:H$382 )</f>
        <v>18.786661519999999</v>
      </c>
      <c r="I333" s="273">
        <f xml:space="preserve"> SUMIF( INPUTS│Outcomes!$C$290:$C$382, $C333, INPUTS│Outcomes!I$290:I$382 ) + SUMIF( INPUTS│Outcomes!$C$290:$C$382, "SVT", INPUTS│Outcomes!I$290:I$382 )</f>
        <v>38.366010000001623</v>
      </c>
      <c r="J333" s="273">
        <f xml:space="preserve"> SUMIF( INPUTS│Outcomes!$C$290:$C$382, $C333, INPUTS│Outcomes!J$290:J$382 ) + SUMIF( INPUTS│Outcomes!$C$290:$C$382, "SVT", INPUTS│Outcomes!J$290:J$382 )</f>
        <v>58.01001500000001</v>
      </c>
      <c r="K333" s="273">
        <f xml:space="preserve"> SUMIF( INPUTS│Outcomes!$C$290:$C$382, $C333, INPUTS│Outcomes!K$290:K$382 ) + SUMIF( INPUTS│Outcomes!$C$290:$C$382, "SVT", INPUTS│Outcomes!K$290:K$382 )</f>
        <v>-3.3028659999999999</v>
      </c>
      <c r="L333" s="273">
        <f xml:space="preserve"> SUMIF( INPUTS│Outcomes!$C$290:$C$382, $C333, INPUTS│Outcomes!L$290:L$382 ) + SUMIF( INPUTS│Outcomes!$C$290:$C$382, "SVT", INPUTS│Outcomes!L$290:L$382 )</f>
        <v>0</v>
      </c>
    </row>
    <row r="334" spans="2:16" x14ac:dyDescent="0.2">
      <c r="C334" s="8" t="s">
        <v>90</v>
      </c>
      <c r="D334" s="11" t="s">
        <v>126</v>
      </c>
      <c r="E334" s="273">
        <f xml:space="preserve"> SUMIF( INPUTS│Outcomes!$C$290:$C$382, $C334, INPUTS│Outcomes!E$290:E$382 )</f>
        <v>0</v>
      </c>
      <c r="F334" s="273">
        <f xml:space="preserve"> SUMIF( INPUTS│Outcomes!$C$290:$C$382, $C334, INPUTS│Outcomes!F$290:F$382 )</f>
        <v>0</v>
      </c>
      <c r="G334" s="273">
        <f xml:space="preserve"> SUMIF( INPUTS│Outcomes!$C$290:$C$382, $C334, INPUTS│Outcomes!G$290:G$382 )</f>
        <v>0</v>
      </c>
      <c r="H334" s="273">
        <f xml:space="preserve"> SUMIF( INPUTS│Outcomes!$C$290:$C$382, $C334, INPUTS│Outcomes!H$290:H$382 )</f>
        <v>0.206067</v>
      </c>
      <c r="I334" s="273">
        <f xml:space="preserve"> SUMIF( INPUTS│Outcomes!$C$290:$C$382, $C334, INPUTS│Outcomes!I$290:I$382 )</f>
        <v>1.9954000000000001</v>
      </c>
      <c r="J334" s="273">
        <f xml:space="preserve"> SUMIF( INPUTS│Outcomes!$C$290:$C$382, $C334, INPUTS│Outcomes!J$290:J$382 )</f>
        <v>6.1699999999999644E-2</v>
      </c>
      <c r="K334" s="273">
        <f xml:space="preserve"> SUMIF( INPUTS│Outcomes!$C$290:$C$382, $C334, INPUTS│Outcomes!K$290:K$382 )</f>
        <v>4.1318000000000001</v>
      </c>
      <c r="L334" s="273">
        <f xml:space="preserve"> SUMIF( INPUTS│Outcomes!$C$290:$C$382, $C334, INPUTS│Outcomes!L$290:L$382 )</f>
        <v>0</v>
      </c>
    </row>
    <row r="335" spans="2:16" x14ac:dyDescent="0.2">
      <c r="C335" s="8" t="s">
        <v>93</v>
      </c>
      <c r="D335" s="11" t="s">
        <v>126</v>
      </c>
      <c r="E335" s="273">
        <f xml:space="preserve"> SUMIF( INPUTS│Outcomes!$C$290:$C$382, $C335, INPUTS│Outcomes!E$290:E$382 )</f>
        <v>0</v>
      </c>
      <c r="F335" s="273">
        <f xml:space="preserve"> SUMIF( INPUTS│Outcomes!$C$290:$C$382, $C335, INPUTS│Outcomes!F$290:F$382 )</f>
        <v>0</v>
      </c>
      <c r="G335" s="273">
        <f xml:space="preserve"> SUMIF( INPUTS│Outcomes!$C$290:$C$382, $C335, INPUTS│Outcomes!G$290:G$382 )</f>
        <v>0</v>
      </c>
      <c r="H335" s="273">
        <f xml:space="preserve"> SUMIF( INPUTS│Outcomes!$C$290:$C$382, $C335, INPUTS│Outcomes!H$290:H$382 )</f>
        <v>-1.4575</v>
      </c>
      <c r="I335" s="273">
        <f xml:space="preserve"> SUMIF( INPUTS│Outcomes!$C$290:$C$382, $C335, INPUTS│Outcomes!I$290:I$382 )</f>
        <v>0</v>
      </c>
      <c r="J335" s="273">
        <f xml:space="preserve"> SUMIF( INPUTS│Outcomes!$C$290:$C$382, $C335, INPUTS│Outcomes!J$290:J$382 )</f>
        <v>-0.28701500000000002</v>
      </c>
      <c r="K335" s="273">
        <f xml:space="preserve"> SUMIF( INPUTS│Outcomes!$C$290:$C$382, $C335, INPUTS│Outcomes!K$290:K$382 )</f>
        <v>-0.34600000000000009</v>
      </c>
      <c r="L335" s="273">
        <f xml:space="preserve"> SUMIF( INPUTS│Outcomes!$C$290:$C$382, $C335, INPUTS│Outcomes!L$290:L$382 )</f>
        <v>0</v>
      </c>
    </row>
    <row r="336" spans="2:16" x14ac:dyDescent="0.2">
      <c r="C336" s="8" t="s">
        <v>95</v>
      </c>
      <c r="D336" s="11" t="s">
        <v>126</v>
      </c>
      <c r="E336" s="273">
        <f xml:space="preserve"> SUMIF( INPUTS│Outcomes!$C$290:$C$382, $C336, INPUTS│Outcomes!E$290:E$382 )</f>
        <v>0</v>
      </c>
      <c r="F336" s="273">
        <f xml:space="preserve"> SUMIF( INPUTS│Outcomes!$C$290:$C$382, $C336, INPUTS│Outcomes!F$290:F$382 )</f>
        <v>0</v>
      </c>
      <c r="G336" s="273">
        <f xml:space="preserve"> SUMIF( INPUTS│Outcomes!$C$290:$C$382, $C336, INPUTS│Outcomes!G$290:G$382 )</f>
        <v>0</v>
      </c>
      <c r="H336" s="273">
        <f xml:space="preserve"> SUMIF( INPUTS│Outcomes!$C$290:$C$382, $C336, INPUTS│Outcomes!H$290:H$382 )</f>
        <v>-13.25</v>
      </c>
      <c r="I336" s="273">
        <f xml:space="preserve"> SUMIF( INPUTS│Outcomes!$C$290:$C$382, $C336, INPUTS│Outcomes!I$290:I$382 )</f>
        <v>-15.009399999999998</v>
      </c>
      <c r="J336" s="273">
        <f xml:space="preserve"> SUMIF( INPUTS│Outcomes!$C$290:$C$382, $C336, INPUTS│Outcomes!J$290:J$382 )</f>
        <v>-33.878999999999998</v>
      </c>
      <c r="K336" s="273">
        <f xml:space="preserve"> SUMIF( INPUTS│Outcomes!$C$290:$C$382, $C336, INPUTS│Outcomes!K$290:K$382 )</f>
        <v>-51.660940000000004</v>
      </c>
      <c r="L336" s="273">
        <f xml:space="preserve"> SUMIF( INPUTS│Outcomes!$C$290:$C$382, $C336, INPUTS│Outcomes!L$290:L$382 )</f>
        <v>0</v>
      </c>
    </row>
    <row r="337" spans="2:16" x14ac:dyDescent="0.2">
      <c r="C337" s="8" t="s">
        <v>97</v>
      </c>
      <c r="D337" s="11" t="s">
        <v>126</v>
      </c>
      <c r="E337" s="273">
        <f xml:space="preserve"> SUMIF( INPUTS│Outcomes!$C$290:$C$382, $C337, INPUTS│Outcomes!E$290:E$382 )</f>
        <v>0</v>
      </c>
      <c r="F337" s="273">
        <f xml:space="preserve"> SUMIF( INPUTS│Outcomes!$C$290:$C$382, $C337, INPUTS│Outcomes!F$290:F$382 )</f>
        <v>0</v>
      </c>
      <c r="G337" s="273">
        <f xml:space="preserve"> SUMIF( INPUTS│Outcomes!$C$290:$C$382, $C337, INPUTS│Outcomes!G$290:G$382 )</f>
        <v>0</v>
      </c>
      <c r="H337" s="273">
        <f xml:space="preserve"> SUMIF( INPUTS│Outcomes!$C$290:$C$382, $C337, INPUTS│Outcomes!H$290:H$382 )</f>
        <v>2.5159409999999984</v>
      </c>
      <c r="I337" s="273">
        <f xml:space="preserve"> SUMIF( INPUTS│Outcomes!$C$290:$C$382, $C337, INPUTS│Outcomes!I$290:I$382 )</f>
        <v>6.7186922625199967</v>
      </c>
      <c r="J337" s="273">
        <f xml:space="preserve"> SUMIF( INPUTS│Outcomes!$C$290:$C$382, $C337, INPUTS│Outcomes!J$290:J$382 )</f>
        <v>-7.0307000000000066</v>
      </c>
      <c r="K337" s="273">
        <f xml:space="preserve"> SUMIF( INPUTS│Outcomes!$C$290:$C$382, $C337, INPUTS│Outcomes!K$290:K$382 )</f>
        <v>19.245992000000001</v>
      </c>
      <c r="L337" s="273">
        <f xml:space="preserve"> SUMIF( INPUTS│Outcomes!$C$290:$C$382, $C337, INPUTS│Outcomes!L$290:L$382 )</f>
        <v>0</v>
      </c>
    </row>
    <row r="338" spans="2:16" x14ac:dyDescent="0.2">
      <c r="C338" s="8" t="s">
        <v>99</v>
      </c>
      <c r="D338" s="11" t="s">
        <v>126</v>
      </c>
      <c r="E338" s="273">
        <f xml:space="preserve"> SUMIF( INPUTS│Outcomes!$C$290:$C$382, $C338, INPUTS│Outcomes!E$290:E$382 )</f>
        <v>0</v>
      </c>
      <c r="F338" s="273">
        <f xml:space="preserve"> SUMIF( INPUTS│Outcomes!$C$290:$C$382, $C338, INPUTS│Outcomes!F$290:F$382 )</f>
        <v>0</v>
      </c>
      <c r="G338" s="273">
        <f xml:space="preserve"> SUMIF( INPUTS│Outcomes!$C$290:$C$382, $C338, INPUTS│Outcomes!G$290:G$382 )</f>
        <v>0</v>
      </c>
      <c r="H338" s="273">
        <f xml:space="preserve"> SUMIF( INPUTS│Outcomes!$C$290:$C$382, $C338, INPUTS│Outcomes!H$290:H$382 )</f>
        <v>5.0981999999999994</v>
      </c>
      <c r="I338" s="273">
        <f xml:space="preserve"> SUMIF( INPUTS│Outcomes!$C$290:$C$382, $C338, INPUTS│Outcomes!I$290:I$382 )</f>
        <v>5.5019999999999998</v>
      </c>
      <c r="J338" s="273">
        <f xml:space="preserve"> SUMIF( INPUTS│Outcomes!$C$290:$C$382, $C338, INPUTS│Outcomes!J$290:J$382 )</f>
        <v>6.5773999999999999</v>
      </c>
      <c r="K338" s="273">
        <f xml:space="preserve"> SUMIF( INPUTS│Outcomes!$C$290:$C$382, $C338, INPUTS│Outcomes!K$290:K$382 )</f>
        <v>2.5018999999999996</v>
      </c>
      <c r="L338" s="273">
        <f xml:space="preserve"> SUMIF( INPUTS│Outcomes!$C$290:$C$382, $C338, INPUTS│Outcomes!L$290:L$382 )</f>
        <v>0</v>
      </c>
    </row>
    <row r="339" spans="2:16" x14ac:dyDescent="0.2">
      <c r="C339" s="8" t="s">
        <v>101</v>
      </c>
      <c r="D339" s="11" t="s">
        <v>126</v>
      </c>
      <c r="E339" s="273">
        <f xml:space="preserve"> SUMIF( INPUTS│Outcomes!$C$290:$C$382, $C339, INPUTS│Outcomes!E$290:E$382 )</f>
        <v>0</v>
      </c>
      <c r="F339" s="273">
        <f xml:space="preserve"> SUMIF( INPUTS│Outcomes!$C$290:$C$382, $C339, INPUTS│Outcomes!F$290:F$382 )</f>
        <v>0</v>
      </c>
      <c r="G339" s="273">
        <f xml:space="preserve"> SUMIF( INPUTS│Outcomes!$C$290:$C$382, $C339, INPUTS│Outcomes!G$290:G$382 )</f>
        <v>0</v>
      </c>
      <c r="H339" s="273">
        <f xml:space="preserve"> SUMIF( INPUTS│Outcomes!$C$290:$C$382, $C339, INPUTS│Outcomes!H$290:H$382 )</f>
        <v>5.7396020999999999</v>
      </c>
      <c r="I339" s="273">
        <f xml:space="preserve"> SUMIF( INPUTS│Outcomes!$C$290:$C$382, $C339, INPUTS│Outcomes!I$290:I$382 )</f>
        <v>8.7749810000000004</v>
      </c>
      <c r="J339" s="273">
        <f xml:space="preserve"> SUMIF( INPUTS│Outcomes!$C$290:$C$382, $C339, INPUTS│Outcomes!J$290:J$382 )</f>
        <v>12.655020102499998</v>
      </c>
      <c r="K339" s="273">
        <f xml:space="preserve"> SUMIF( INPUTS│Outcomes!$C$290:$C$382, $C339, INPUTS│Outcomes!K$290:K$382 )</f>
        <v>8.8362200799999968</v>
      </c>
      <c r="L339" s="273">
        <f xml:space="preserve"> SUMIF( INPUTS│Outcomes!$C$290:$C$382, $C339, INPUTS│Outcomes!L$290:L$382 )</f>
        <v>0</v>
      </c>
    </row>
    <row r="340" spans="2:16" x14ac:dyDescent="0.2">
      <c r="C340" s="8" t="s">
        <v>103</v>
      </c>
      <c r="D340" s="11" t="s">
        <v>126</v>
      </c>
      <c r="E340" s="273">
        <f xml:space="preserve"> SUMIF( INPUTS│Outcomes!$C$290:$C$382, $C340, INPUTS│Outcomes!E$290:E$382 )</f>
        <v>0</v>
      </c>
      <c r="F340" s="273">
        <f xml:space="preserve"> SUMIF( INPUTS│Outcomes!$C$290:$C$382, $C340, INPUTS│Outcomes!F$290:F$382 )</f>
        <v>0</v>
      </c>
      <c r="G340" s="273">
        <f xml:space="preserve"> SUMIF( INPUTS│Outcomes!$C$290:$C$382, $C340, INPUTS│Outcomes!G$290:G$382 )</f>
        <v>0</v>
      </c>
      <c r="H340" s="273">
        <f xml:space="preserve"> SUMIF( INPUTS│Outcomes!$C$290:$C$382, $C340, INPUTS│Outcomes!H$290:H$382 )</f>
        <v>-1.6375500000000001</v>
      </c>
      <c r="I340" s="273">
        <f xml:space="preserve"> SUMIF( INPUTS│Outcomes!$C$290:$C$382, $C340, INPUTS│Outcomes!I$290:I$382 )</f>
        <v>-1.6375999999999999</v>
      </c>
      <c r="J340" s="273">
        <f xml:space="preserve"> SUMIF( INPUTS│Outcomes!$C$290:$C$382, $C340, INPUTS│Outcomes!J$290:J$382 )</f>
        <v>-1.3936999999999997</v>
      </c>
      <c r="K340" s="273">
        <f xml:space="preserve"> SUMIF( INPUTS│Outcomes!$C$290:$C$382, $C340, INPUTS│Outcomes!K$290:K$382 )</f>
        <v>-6.9720000000000004</v>
      </c>
      <c r="L340" s="273">
        <f xml:space="preserve"> SUMIF( INPUTS│Outcomes!$C$290:$C$382, $C340, INPUTS│Outcomes!L$290:L$382 )</f>
        <v>0</v>
      </c>
    </row>
    <row r="341" spans="2:16" x14ac:dyDescent="0.2">
      <c r="C341" s="8" t="s">
        <v>105</v>
      </c>
      <c r="D341" s="11" t="s">
        <v>126</v>
      </c>
      <c r="E341" s="273">
        <f xml:space="preserve"> SUMIF( INPUTS│Outcomes!$C$290:$C$382, $C341, INPUTS│Outcomes!E$290:E$382 )</f>
        <v>0</v>
      </c>
      <c r="F341" s="273">
        <f xml:space="preserve"> SUMIF( INPUTS│Outcomes!$C$290:$C$382, $C341, INPUTS│Outcomes!F$290:F$382 )</f>
        <v>0</v>
      </c>
      <c r="G341" s="273">
        <f xml:space="preserve"> SUMIF( INPUTS│Outcomes!$C$290:$C$382, $C341, INPUTS│Outcomes!G$290:G$382 )</f>
        <v>0</v>
      </c>
      <c r="H341" s="273">
        <f xml:space="preserve"> SUMIF( INPUTS│Outcomes!$C$290:$C$382, $C341, INPUTS│Outcomes!H$290:H$382 )</f>
        <v>-1.1407</v>
      </c>
      <c r="I341" s="273">
        <f xml:space="preserve"> SUMIF( INPUTS│Outcomes!$C$290:$C$382, $C341, INPUTS│Outcomes!I$290:I$382 )</f>
        <v>-0.152</v>
      </c>
      <c r="J341" s="273">
        <f xml:space="preserve"> SUMIF( INPUTS│Outcomes!$C$290:$C$382, $C341, INPUTS│Outcomes!J$290:J$382 )</f>
        <v>-2.2572999999999999</v>
      </c>
      <c r="K341" s="273">
        <f xml:space="preserve"> SUMIF( INPUTS│Outcomes!$C$290:$C$382, $C341, INPUTS│Outcomes!K$290:K$382 )</f>
        <v>-3.3799000000000001</v>
      </c>
      <c r="L341" s="273">
        <f xml:space="preserve"> SUMIF( INPUTS│Outcomes!$C$290:$C$382, $C341, INPUTS│Outcomes!L$290:L$382 )</f>
        <v>0</v>
      </c>
    </row>
    <row r="342" spans="2:16" x14ac:dyDescent="0.2">
      <c r="C342" s="8" t="s">
        <v>107</v>
      </c>
      <c r="D342" s="11" t="s">
        <v>126</v>
      </c>
      <c r="E342" s="273">
        <f xml:space="preserve"> SUMIF( INPUTS│Outcomes!$C$290:$C$382, $C342, INPUTS│Outcomes!E$290:E$382 )</f>
        <v>0</v>
      </c>
      <c r="F342" s="273">
        <f xml:space="preserve"> SUMIF( INPUTS│Outcomes!$C$290:$C$382, $C342, INPUTS│Outcomes!F$290:F$382 )</f>
        <v>0</v>
      </c>
      <c r="G342" s="273">
        <f xml:space="preserve"> SUMIF( INPUTS│Outcomes!$C$290:$C$382, $C342, INPUTS│Outcomes!G$290:G$382 )</f>
        <v>0</v>
      </c>
      <c r="H342" s="273">
        <f xml:space="preserve"> SUMIF( INPUTS│Outcomes!$C$290:$C$382, $C342, INPUTS│Outcomes!H$290:H$382 )</f>
        <v>-0.31941999999999998</v>
      </c>
      <c r="I342" s="273">
        <f xml:space="preserve"> SUMIF( INPUTS│Outcomes!$C$290:$C$382, $C342, INPUTS│Outcomes!I$290:I$382 )</f>
        <v>0</v>
      </c>
      <c r="J342" s="273">
        <f xml:space="preserve"> SUMIF( INPUTS│Outcomes!$C$290:$C$382, $C342, INPUTS│Outcomes!J$290:J$382 )</f>
        <v>-0.31940000000000002</v>
      </c>
      <c r="K342" s="273">
        <f xml:space="preserve"> SUMIF( INPUTS│Outcomes!$C$290:$C$382, $C342, INPUTS│Outcomes!K$290:K$382 )</f>
        <v>-0.36851699999999998</v>
      </c>
      <c r="L342" s="273">
        <f xml:space="preserve"> SUMIF( INPUTS│Outcomes!$C$290:$C$382, $C342, INPUTS│Outcomes!L$290:L$382 )</f>
        <v>0</v>
      </c>
    </row>
    <row r="343" spans="2:16" x14ac:dyDescent="0.2">
      <c r="C343" s="8" t="s">
        <v>111</v>
      </c>
      <c r="D343" s="11" t="s">
        <v>126</v>
      </c>
      <c r="E343" s="273">
        <f xml:space="preserve"> SUMIF( INPUTS│Outcomes!$C$290:$C$382, $C343, INPUTS│Outcomes!E$290:E$382 )</f>
        <v>0</v>
      </c>
      <c r="F343" s="273">
        <f xml:space="preserve"> SUMIF( INPUTS│Outcomes!$C$290:$C$382, $C343, INPUTS│Outcomes!F$290:F$382 )</f>
        <v>0</v>
      </c>
      <c r="G343" s="273">
        <f xml:space="preserve"> SUMIF( INPUTS│Outcomes!$C$290:$C$382, $C343, INPUTS│Outcomes!G$290:G$382 )</f>
        <v>0</v>
      </c>
      <c r="H343" s="273">
        <f xml:space="preserve"> SUMIF( INPUTS│Outcomes!$C$290:$C$382, $C343, INPUTS│Outcomes!H$290:H$382 )</f>
        <v>-8.3573673921869429E-2</v>
      </c>
      <c r="I343" s="273">
        <f xml:space="preserve"> SUMIF( INPUTS│Outcomes!$C$290:$C$382, $C343, INPUTS│Outcomes!I$290:I$382 )</f>
        <v>0.34799999999999998</v>
      </c>
      <c r="J343" s="273">
        <f xml:space="preserve"> SUMIF( INPUTS│Outcomes!$C$290:$C$382, $C343, INPUTS│Outcomes!J$290:J$382 )</f>
        <v>-1.5131999999999999</v>
      </c>
      <c r="K343" s="273">
        <f xml:space="preserve"> SUMIF( INPUTS│Outcomes!$C$290:$C$382, $C343, INPUTS│Outcomes!K$290:K$382 )</f>
        <v>-4.6504000000003154E-2</v>
      </c>
      <c r="L343" s="273">
        <f xml:space="preserve"> SUMIF( INPUTS│Outcomes!$C$290:$C$382, $C343, INPUTS│Outcomes!L$290:L$382 )</f>
        <v>0</v>
      </c>
    </row>
    <row r="344" spans="2:16" x14ac:dyDescent="0.2">
      <c r="C344" s="8" t="s">
        <v>113</v>
      </c>
      <c r="D344" s="11" t="s">
        <v>126</v>
      </c>
      <c r="E344" s="273">
        <f xml:space="preserve"> SUMIF( INPUTS│Outcomes!$C$290:$C$382, $C344, INPUTS│Outcomes!E$290:E$382 )</f>
        <v>0</v>
      </c>
      <c r="F344" s="273">
        <f xml:space="preserve"> SUMIF( INPUTS│Outcomes!$C$290:$C$382, $C344, INPUTS│Outcomes!F$290:F$382 )</f>
        <v>0</v>
      </c>
      <c r="G344" s="273">
        <f xml:space="preserve"> SUMIF( INPUTS│Outcomes!$C$290:$C$382, $C344, INPUTS│Outcomes!G$290:G$382 )</f>
        <v>0</v>
      </c>
      <c r="H344" s="273">
        <f xml:space="preserve"> SUMIF( INPUTS│Outcomes!$C$290:$C$382, $C344, INPUTS│Outcomes!H$290:H$382 )</f>
        <v>0.54111599999999405</v>
      </c>
      <c r="I344" s="273">
        <f xml:space="preserve"> SUMIF( INPUTS│Outcomes!$C$290:$C$382, $C344, INPUTS│Outcomes!I$290:I$382 )</f>
        <v>0.80840000000000001</v>
      </c>
      <c r="J344" s="273">
        <f xml:space="preserve"> SUMIF( INPUTS│Outcomes!$C$290:$C$382, $C344, INPUTS│Outcomes!J$290:J$382 )</f>
        <v>-0.24098070000004512</v>
      </c>
      <c r="K344" s="273">
        <f xml:space="preserve"> SUMIF( INPUTS│Outcomes!$C$290:$C$382, $C344, INPUTS│Outcomes!K$290:K$382 )</f>
        <v>0.23089999999999999</v>
      </c>
      <c r="L344" s="273">
        <f xml:space="preserve"> SUMIF( INPUTS│Outcomes!$C$290:$C$382, $C344, INPUTS│Outcomes!L$290:L$382 )</f>
        <v>0</v>
      </c>
    </row>
    <row r="345" spans="2:16" x14ac:dyDescent="0.2">
      <c r="C345" s="8" t="s">
        <v>109</v>
      </c>
      <c r="D345" s="11" t="s">
        <v>126</v>
      </c>
      <c r="E345" s="273">
        <f xml:space="preserve"> SUMIF( INPUTS│Outcomes!$C$290:$C$382, $C345, INPUTS│Outcomes!E$290:E$382 )</f>
        <v>0</v>
      </c>
      <c r="F345" s="273">
        <f xml:space="preserve"> SUMIF( INPUTS│Outcomes!$C$290:$C$382, $C345, INPUTS│Outcomes!F$290:F$382 )</f>
        <v>0</v>
      </c>
      <c r="G345" s="273">
        <f xml:space="preserve"> SUMIF( INPUTS│Outcomes!$C$290:$C$382, $C345, INPUTS│Outcomes!G$290:G$382 )</f>
        <v>0</v>
      </c>
      <c r="H345" s="273">
        <f xml:space="preserve"> SUMIF( INPUTS│Outcomes!$C$290:$C$382, $C345, INPUTS│Outcomes!H$290:H$382 )</f>
        <v>0.15600000000000003</v>
      </c>
      <c r="I345" s="273">
        <f xml:space="preserve"> SUMIF( INPUTS│Outcomes!$C$290:$C$382, $C345, INPUTS│Outcomes!I$290:I$382 )</f>
        <v>0.254</v>
      </c>
      <c r="J345" s="273">
        <f xml:space="preserve"> SUMIF( INPUTS│Outcomes!$C$290:$C$382, $C345, INPUTS│Outcomes!J$290:J$382 )</f>
        <v>0.29239999999999999</v>
      </c>
      <c r="K345" s="273">
        <f xml:space="preserve"> SUMIF( INPUTS│Outcomes!$C$290:$C$382, $C345, INPUTS│Outcomes!K$290:K$382 )</f>
        <v>-0.15000000000000002</v>
      </c>
      <c r="L345" s="273">
        <f xml:space="preserve"> SUMIF( INPUTS│Outcomes!$C$290:$C$382, $C345, INPUTS│Outcomes!L$290:L$382 )</f>
        <v>0</v>
      </c>
    </row>
    <row r="347" spans="2:16" x14ac:dyDescent="0.2">
      <c r="C347" s="2" t="s">
        <v>257</v>
      </c>
      <c r="D347" s="14" t="s">
        <v>126</v>
      </c>
      <c r="E347" s="277">
        <f xml:space="preserve"> SUM( E329:E345 )</f>
        <v>0</v>
      </c>
      <c r="F347" s="277">
        <f t="shared" ref="F347:L347" si="56" xml:space="preserve"> SUM( F329:F345 )</f>
        <v>0</v>
      </c>
      <c r="G347" s="277">
        <f t="shared" si="56"/>
        <v>0</v>
      </c>
      <c r="H347" s="277">
        <f t="shared" si="56"/>
        <v>31.688269106078121</v>
      </c>
      <c r="I347" s="277">
        <f t="shared" si="56"/>
        <v>58.961326542521626</v>
      </c>
      <c r="J347" s="277">
        <f t="shared" si="56"/>
        <v>44.447184402499964</v>
      </c>
      <c r="K347" s="277">
        <f t="shared" si="56"/>
        <v>-23.061781520000011</v>
      </c>
      <c r="L347" s="277">
        <f t="shared" si="56"/>
        <v>0</v>
      </c>
    </row>
    <row r="349" spans="2:16" ht="13.5" x14ac:dyDescent="0.25">
      <c r="B349" s="35" t="s">
        <v>340</v>
      </c>
      <c r="C349" s="35"/>
      <c r="D349" s="35"/>
      <c r="E349" s="35"/>
      <c r="F349" s="35"/>
      <c r="G349" s="35"/>
      <c r="H349" s="35"/>
      <c r="I349" s="35"/>
      <c r="J349" s="35"/>
      <c r="K349" s="35"/>
      <c r="L349" s="35"/>
      <c r="M349" s="35"/>
      <c r="N349" s="35"/>
      <c r="O349" s="35"/>
      <c r="P349" s="35"/>
    </row>
    <row r="351" spans="2:16" x14ac:dyDescent="0.2">
      <c r="C351" s="8" t="s">
        <v>79</v>
      </c>
      <c r="D351" s="11" t="s">
        <v>126</v>
      </c>
      <c r="E351" s="115">
        <f xml:space="preserve"> INPUTS│Outcomes!E386</f>
        <v>0</v>
      </c>
      <c r="F351" s="115">
        <f xml:space="preserve"> INPUTS│Outcomes!F386</f>
        <v>0</v>
      </c>
      <c r="G351" s="115">
        <f xml:space="preserve"> INPUTS│Outcomes!G386</f>
        <v>0</v>
      </c>
      <c r="H351" s="115">
        <f xml:space="preserve"> INPUTS│Outcomes!H386</f>
        <v>2424.9760628111835</v>
      </c>
      <c r="I351" s="115">
        <f xml:space="preserve"> INPUTS│Outcomes!I386</f>
        <v>2473.8052357965089</v>
      </c>
      <c r="J351" s="115">
        <f xml:space="preserve"> INPUTS│Outcomes!J386</f>
        <v>2529.8159584980231</v>
      </c>
      <c r="K351" s="115">
        <f xml:space="preserve"> INPUTS│Outcomes!K386</f>
        <v>2552.6776131182041</v>
      </c>
      <c r="L351" s="115">
        <f xml:space="preserve"> INPUTS│Outcomes!L386</f>
        <v>0</v>
      </c>
    </row>
    <row r="352" spans="2:16" x14ac:dyDescent="0.2">
      <c r="C352" s="8" t="s">
        <v>81</v>
      </c>
      <c r="D352" s="11" t="s">
        <v>126</v>
      </c>
      <c r="E352" s="115">
        <f xml:space="preserve"> INPUTS│Outcomes!E387</f>
        <v>0</v>
      </c>
      <c r="F352" s="115">
        <f xml:space="preserve"> INPUTS│Outcomes!F387</f>
        <v>0</v>
      </c>
      <c r="G352" s="115">
        <f xml:space="preserve"> INPUTS│Outcomes!G387</f>
        <v>0</v>
      </c>
      <c r="H352" s="115">
        <f xml:space="preserve"> INPUTS│Outcomes!H387</f>
        <v>1738.2509574875523</v>
      </c>
      <c r="I352" s="115">
        <f xml:space="preserve"> INPUTS│Outcomes!I387</f>
        <v>1764.7158837727441</v>
      </c>
      <c r="J352" s="115">
        <f xml:space="preserve"> INPUTS│Outcomes!J387</f>
        <v>1790.4073841178586</v>
      </c>
      <c r="K352" s="115">
        <f xml:space="preserve"> INPUTS│Outcomes!K387</f>
        <v>1814.3290512101014</v>
      </c>
      <c r="L352" s="115">
        <f xml:space="preserve"> INPUTS│Outcomes!L387</f>
        <v>0</v>
      </c>
    </row>
    <row r="353" spans="3:12" x14ac:dyDescent="0.2">
      <c r="C353" s="8" t="s">
        <v>84</v>
      </c>
      <c r="D353" s="11" t="s">
        <v>126</v>
      </c>
      <c r="E353" s="119">
        <f xml:space="preserve"> INPUTS│Outcomes!E388 + INPUTS│Outcomes!E400</f>
        <v>0</v>
      </c>
      <c r="F353" s="119">
        <f xml:space="preserve"> INPUTS│Outcomes!F388 + INPUTS│Outcomes!F400</f>
        <v>0</v>
      </c>
      <c r="G353" s="119">
        <f xml:space="preserve"> INPUTS│Outcomes!G388 + INPUTS│Outcomes!G400</f>
        <v>0</v>
      </c>
      <c r="H353" s="119">
        <f xml:space="preserve"> INPUTS│Outcomes!H388 + INPUTS│Outcomes!H400</f>
        <v>25.869925794714664</v>
      </c>
      <c r="I353" s="119">
        <f xml:space="preserve"> INPUTS│Outcomes!I388 + INPUTS│Outcomes!I400</f>
        <v>28.596984079093943</v>
      </c>
      <c r="J353" s="119">
        <f xml:space="preserve"> INPUTS│Outcomes!J388 + INPUTS│Outcomes!J400</f>
        <v>31.475559647862017</v>
      </c>
      <c r="K353" s="119">
        <f xml:space="preserve"> INPUTS│Outcomes!K388 + INPUTS│Outcomes!K400</f>
        <v>23.65242004998246</v>
      </c>
      <c r="L353" s="119">
        <f xml:space="preserve"> INPUTS│Outcomes!L388 + INPUTS│Outcomes!L400</f>
        <v>0</v>
      </c>
    </row>
    <row r="354" spans="3:12" x14ac:dyDescent="0.2">
      <c r="C354" s="8" t="s">
        <v>86</v>
      </c>
      <c r="D354" s="11" t="s">
        <v>126</v>
      </c>
      <c r="E354" s="115">
        <f xml:space="preserve"> INPUTS│Outcomes!E389</f>
        <v>0</v>
      </c>
      <c r="F354" s="115">
        <f xml:space="preserve"> INPUTS│Outcomes!F389</f>
        <v>0</v>
      </c>
      <c r="G354" s="115">
        <f xml:space="preserve"> INPUTS│Outcomes!G389</f>
        <v>0</v>
      </c>
      <c r="H354" s="115">
        <f xml:space="preserve"> INPUTS│Outcomes!H389</f>
        <v>1352.012016468786</v>
      </c>
      <c r="I354" s="115">
        <f xml:space="preserve"> INPUTS│Outcomes!I389</f>
        <v>1363.8299526550313</v>
      </c>
      <c r="J354" s="115">
        <f xml:space="preserve"> INPUTS│Outcomes!J389</f>
        <v>1373.4699739489758</v>
      </c>
      <c r="K354" s="115">
        <f xml:space="preserve"> INPUTS│Outcomes!K389</f>
        <v>1376.9202911259206</v>
      </c>
      <c r="L354" s="115">
        <f xml:space="preserve"> INPUTS│Outcomes!L389</f>
        <v>0</v>
      </c>
    </row>
    <row r="355" spans="3:12" x14ac:dyDescent="0.2">
      <c r="C355" s="8" t="s">
        <v>88</v>
      </c>
      <c r="D355" s="11" t="s">
        <v>126</v>
      </c>
      <c r="E355" s="119">
        <f xml:space="preserve"> INPUTS│Outcomes!E390 + INPUTS│Outcomes!E391</f>
        <v>0</v>
      </c>
      <c r="F355" s="119">
        <f xml:space="preserve"> INPUTS│Outcomes!F390 + INPUTS│Outcomes!F391</f>
        <v>0</v>
      </c>
      <c r="G355" s="119">
        <f xml:space="preserve"> INPUTS│Outcomes!G390 + INPUTS│Outcomes!G391</f>
        <v>0</v>
      </c>
      <c r="H355" s="119">
        <f xml:space="preserve"> INPUTS│Outcomes!H390 + INPUTS│Outcomes!H391</f>
        <v>2746.7246983914201</v>
      </c>
      <c r="I355" s="119">
        <f xml:space="preserve"> INPUTS│Outcomes!I390 + INPUTS│Outcomes!I391</f>
        <v>2779.96418956554</v>
      </c>
      <c r="J355" s="119">
        <f xml:space="preserve"> INPUTS│Outcomes!J390 + INPUTS│Outcomes!J391</f>
        <v>2845.362895256917</v>
      </c>
      <c r="K355" s="119">
        <f xml:space="preserve"> INPUTS│Outcomes!K390 + INPUTS│Outcomes!K391</f>
        <v>2924.9095712030858</v>
      </c>
      <c r="L355" s="119">
        <f xml:space="preserve"> INPUTS│Outcomes!L390 + INPUTS│Outcomes!L391</f>
        <v>0</v>
      </c>
    </row>
    <row r="356" spans="3:12" x14ac:dyDescent="0.2">
      <c r="C356" s="8" t="s">
        <v>90</v>
      </c>
      <c r="D356" s="11" t="s">
        <v>126</v>
      </c>
      <c r="E356" s="115">
        <f xml:space="preserve"> INPUTS│Outcomes!E392</f>
        <v>0</v>
      </c>
      <c r="F356" s="115">
        <f xml:space="preserve"> INPUTS│Outcomes!F392</f>
        <v>0</v>
      </c>
      <c r="G356" s="115">
        <f xml:space="preserve"> INPUTS│Outcomes!G392</f>
        <v>0</v>
      </c>
      <c r="H356" s="115">
        <f xml:space="preserve"> INPUTS│Outcomes!H392</f>
        <v>1101.2554337418612</v>
      </c>
      <c r="I356" s="115">
        <f xml:space="preserve"> INPUTS│Outcomes!I392</f>
        <v>1114.23458967694</v>
      </c>
      <c r="J356" s="115">
        <f xml:space="preserve"> INPUTS│Outcomes!J392</f>
        <v>1126.176136363636</v>
      </c>
      <c r="K356" s="115">
        <f xml:space="preserve"> INPUTS│Outcomes!K392</f>
        <v>1129.7312346545073</v>
      </c>
      <c r="L356" s="115">
        <f xml:space="preserve"> INPUTS│Outcomes!L392</f>
        <v>0</v>
      </c>
    </row>
    <row r="357" spans="3:12" x14ac:dyDescent="0.2">
      <c r="C357" s="8" t="s">
        <v>93</v>
      </c>
      <c r="D357" s="11" t="s">
        <v>126</v>
      </c>
      <c r="E357" s="115">
        <f xml:space="preserve"> INPUTS│Outcomes!E393</f>
        <v>0</v>
      </c>
      <c r="F357" s="115">
        <f xml:space="preserve"> INPUTS│Outcomes!F393</f>
        <v>0</v>
      </c>
      <c r="G357" s="115">
        <f xml:space="preserve"> INPUTS│Outcomes!G393</f>
        <v>0</v>
      </c>
      <c r="H357" s="115">
        <f xml:space="preserve"> INPUTS│Outcomes!H393</f>
        <v>1534.0609440827268</v>
      </c>
      <c r="I357" s="115">
        <f xml:space="preserve"> INPUTS│Outcomes!I393</f>
        <v>1557.7135861492757</v>
      </c>
      <c r="J357" s="115">
        <f xml:space="preserve"> INPUTS│Outcomes!J393</f>
        <v>1588.9453377650016</v>
      </c>
      <c r="K357" s="115">
        <f xml:space="preserve"> INPUTS│Outcomes!K393</f>
        <v>1612.0395694493156</v>
      </c>
      <c r="L357" s="115">
        <f xml:space="preserve"> INPUTS│Outcomes!L393</f>
        <v>0</v>
      </c>
    </row>
    <row r="358" spans="3:12" x14ac:dyDescent="0.2">
      <c r="C358" s="8" t="s">
        <v>95</v>
      </c>
      <c r="D358" s="11" t="s">
        <v>126</v>
      </c>
      <c r="E358" s="115">
        <f xml:space="preserve"> INPUTS│Outcomes!E394</f>
        <v>0</v>
      </c>
      <c r="F358" s="115">
        <f xml:space="preserve"> INPUTS│Outcomes!F394</f>
        <v>0</v>
      </c>
      <c r="G358" s="115">
        <f xml:space="preserve"> INPUTS│Outcomes!G394</f>
        <v>0</v>
      </c>
      <c r="H358" s="115">
        <f xml:space="preserve"> INPUTS│Outcomes!H394</f>
        <v>4235.449133473764</v>
      </c>
      <c r="I358" s="115">
        <f xml:space="preserve"> INPUTS│Outcomes!I394</f>
        <v>4359.1446806535459</v>
      </c>
      <c r="J358" s="115">
        <f xml:space="preserve"> INPUTS│Outcomes!J394</f>
        <v>4464.8078063241101</v>
      </c>
      <c r="K358" s="115">
        <f xml:space="preserve"> INPUTS│Outcomes!K394</f>
        <v>4556.5826464398451</v>
      </c>
      <c r="L358" s="115">
        <f xml:space="preserve"> INPUTS│Outcomes!L394</f>
        <v>0</v>
      </c>
    </row>
    <row r="359" spans="3:12" x14ac:dyDescent="0.2">
      <c r="C359" s="8" t="s">
        <v>97</v>
      </c>
      <c r="D359" s="11" t="s">
        <v>126</v>
      </c>
      <c r="E359" s="115">
        <f xml:space="preserve"> INPUTS│Outcomes!E395</f>
        <v>0</v>
      </c>
      <c r="F359" s="115">
        <f xml:space="preserve"> INPUTS│Outcomes!F395</f>
        <v>0</v>
      </c>
      <c r="G359" s="115">
        <f xml:space="preserve"> INPUTS│Outcomes!G395</f>
        <v>0</v>
      </c>
      <c r="H359" s="115">
        <f xml:space="preserve"> INPUTS│Outcomes!H395</f>
        <v>3587.3830668326309</v>
      </c>
      <c r="I359" s="115">
        <f xml:space="preserve"> INPUTS│Outcomes!I395</f>
        <v>3594.3435991459341</v>
      </c>
      <c r="J359" s="115">
        <f xml:space="preserve"> INPUTS│Outcomes!J395</f>
        <v>3615.2710429392737</v>
      </c>
      <c r="K359" s="115">
        <f xml:space="preserve"> INPUTS│Outcomes!K395</f>
        <v>3650.3837030866366</v>
      </c>
      <c r="L359" s="115">
        <f xml:space="preserve"> INPUTS│Outcomes!L395</f>
        <v>0</v>
      </c>
    </row>
    <row r="360" spans="3:12" x14ac:dyDescent="0.2">
      <c r="C360" s="8" t="s">
        <v>99</v>
      </c>
      <c r="D360" s="11" t="s">
        <v>126</v>
      </c>
      <c r="E360" s="115">
        <f xml:space="preserve"> INPUTS│Outcomes!E396</f>
        <v>0</v>
      </c>
      <c r="F360" s="115">
        <f xml:space="preserve"> INPUTS│Outcomes!F396</f>
        <v>0</v>
      </c>
      <c r="G360" s="115">
        <f xml:space="preserve"> INPUTS│Outcomes!G396</f>
        <v>0</v>
      </c>
      <c r="H360" s="115">
        <f xml:space="preserve"> INPUTS│Outcomes!H396</f>
        <v>975.61355802374567</v>
      </c>
      <c r="I360" s="115">
        <f xml:space="preserve"> INPUTS│Outcomes!I396</f>
        <v>993.95177311548457</v>
      </c>
      <c r="J360" s="115">
        <f xml:space="preserve"> INPUTS│Outcomes!J396</f>
        <v>1010.6074829320876</v>
      </c>
      <c r="K360" s="115">
        <f xml:space="preserve"> INPUTS│Outcomes!K396</f>
        <v>1033.0120790950541</v>
      </c>
      <c r="L360" s="115">
        <f xml:space="preserve"> INPUTS│Outcomes!L396</f>
        <v>0</v>
      </c>
    </row>
    <row r="361" spans="3:12" x14ac:dyDescent="0.2">
      <c r="C361" s="8" t="s">
        <v>101</v>
      </c>
      <c r="D361" s="11" t="s">
        <v>126</v>
      </c>
      <c r="E361" s="115">
        <f xml:space="preserve"> INPUTS│Outcomes!E397</f>
        <v>0</v>
      </c>
      <c r="F361" s="115">
        <f xml:space="preserve"> INPUTS│Outcomes!F397</f>
        <v>0</v>
      </c>
      <c r="G361" s="115">
        <f xml:space="preserve"> INPUTS│Outcomes!G397</f>
        <v>0</v>
      </c>
      <c r="H361" s="115">
        <f xml:space="preserve"> INPUTS│Outcomes!H397</f>
        <v>2022.2191689008041</v>
      </c>
      <c r="I361" s="115">
        <f xml:space="preserve"> INPUTS│Outcomes!I397</f>
        <v>2071.5563265874484</v>
      </c>
      <c r="J361" s="115">
        <f xml:space="preserve"> INPUTS│Outcomes!J397</f>
        <v>2109.4164346029465</v>
      </c>
      <c r="K361" s="115">
        <f xml:space="preserve"> INPUTS│Outcomes!K397</f>
        <v>2138.9256182041386</v>
      </c>
      <c r="L361" s="115">
        <f xml:space="preserve"> INPUTS│Outcomes!L397</f>
        <v>0</v>
      </c>
    </row>
    <row r="362" spans="3:12" x14ac:dyDescent="0.2">
      <c r="C362" s="8" t="s">
        <v>103</v>
      </c>
      <c r="D362" s="11" t="s">
        <v>126</v>
      </c>
      <c r="E362" s="115">
        <f xml:space="preserve"> INPUTS│Outcomes!E398</f>
        <v>0</v>
      </c>
      <c r="F362" s="115">
        <f xml:space="preserve"> INPUTS│Outcomes!F398</f>
        <v>0</v>
      </c>
      <c r="G362" s="115">
        <f xml:space="preserve"> INPUTS│Outcomes!G398</f>
        <v>0</v>
      </c>
      <c r="H362" s="115">
        <f xml:space="preserve"> INPUTS│Outcomes!H398</f>
        <v>373.13176967636917</v>
      </c>
      <c r="I362" s="115">
        <f xml:space="preserve"> INPUTS│Outcomes!I398</f>
        <v>386.80807115670245</v>
      </c>
      <c r="J362" s="115">
        <f xml:space="preserve"> INPUTS│Outcomes!J398</f>
        <v>395.98832487423635</v>
      </c>
      <c r="K362" s="115">
        <f xml:space="preserve"> INPUTS│Outcomes!K398</f>
        <v>396.32806317958608</v>
      </c>
      <c r="L362" s="115">
        <f xml:space="preserve"> INPUTS│Outcomes!L398</f>
        <v>0</v>
      </c>
    </row>
    <row r="363" spans="3:12" x14ac:dyDescent="0.2">
      <c r="C363" s="8" t="s">
        <v>105</v>
      </c>
      <c r="D363" s="11" t="s">
        <v>126</v>
      </c>
      <c r="E363" s="115">
        <f xml:space="preserve"> INPUTS│Outcomes!E399</f>
        <v>0</v>
      </c>
      <c r="F363" s="115">
        <f xml:space="preserve"> INPUTS│Outcomes!F399</f>
        <v>0</v>
      </c>
      <c r="G363" s="115">
        <f xml:space="preserve"> INPUTS│Outcomes!G399</f>
        <v>0</v>
      </c>
      <c r="H363" s="115">
        <f xml:space="preserve"> INPUTS│Outcomes!H399</f>
        <v>153.11790884718499</v>
      </c>
      <c r="I363" s="115">
        <f xml:space="preserve"> INPUTS│Outcomes!I399</f>
        <v>157.71871356294093</v>
      </c>
      <c r="J363" s="115">
        <f xml:space="preserve"> INPUTS│Outcomes!J399</f>
        <v>162.99466560366506</v>
      </c>
      <c r="K363" s="115">
        <f xml:space="preserve"> INPUTS│Outcomes!K399</f>
        <v>168.14649333567166</v>
      </c>
      <c r="L363" s="115">
        <f xml:space="preserve"> INPUTS│Outcomes!L399</f>
        <v>0</v>
      </c>
    </row>
    <row r="364" spans="3:12" x14ac:dyDescent="0.2">
      <c r="C364" s="8" t="s">
        <v>107</v>
      </c>
      <c r="D364" s="11" t="s">
        <v>126</v>
      </c>
      <c r="E364" s="115">
        <f xml:space="preserve"> INPUTS│Outcomes!E401</f>
        <v>0</v>
      </c>
      <c r="F364" s="115">
        <f xml:space="preserve"> INPUTS│Outcomes!F401</f>
        <v>0</v>
      </c>
      <c r="G364" s="115">
        <f xml:space="preserve"> INPUTS│Outcomes!G401</f>
        <v>0</v>
      </c>
      <c r="H364" s="115">
        <f xml:space="preserve"> INPUTS│Outcomes!H401</f>
        <v>44.962219216775175</v>
      </c>
      <c r="I364" s="115">
        <f xml:space="preserve"> INPUTS│Outcomes!I401</f>
        <v>45.600135768659491</v>
      </c>
      <c r="J364" s="115">
        <f xml:space="preserve"> INPUTS│Outcomes!J401</f>
        <v>46.896803359683794</v>
      </c>
      <c r="K364" s="115">
        <f xml:space="preserve"> INPUTS│Outcomes!K401</f>
        <v>47.931502981410027</v>
      </c>
      <c r="L364" s="115">
        <f xml:space="preserve"> INPUTS│Outcomes!L401</f>
        <v>0</v>
      </c>
    </row>
    <row r="365" spans="3:12" x14ac:dyDescent="0.2">
      <c r="C365" s="8" t="s">
        <v>111</v>
      </c>
      <c r="D365" s="11" t="s">
        <v>126</v>
      </c>
      <c r="E365" s="115">
        <f xml:space="preserve"> INPUTS│Outcomes!E402</f>
        <v>0</v>
      </c>
      <c r="F365" s="115">
        <f xml:space="preserve"> INPUTS│Outcomes!F402</f>
        <v>0</v>
      </c>
      <c r="G365" s="115">
        <f xml:space="preserve"> INPUTS│Outcomes!G402</f>
        <v>0</v>
      </c>
      <c r="H365" s="115">
        <f xml:space="preserve"> INPUTS│Outcomes!H402</f>
        <v>406.04466942742238</v>
      </c>
      <c r="I365" s="115">
        <f xml:space="preserve"> INPUTS│Outcomes!I402</f>
        <v>414.74571458410696</v>
      </c>
      <c r="J365" s="115">
        <f xml:space="preserve"> INPUTS│Outcomes!J402</f>
        <v>425.31242813510596</v>
      </c>
      <c r="K365" s="115">
        <f xml:space="preserve"> INPUTS│Outcomes!K402</f>
        <v>435.23620001753767</v>
      </c>
      <c r="L365" s="115">
        <f xml:space="preserve"> INPUTS│Outcomes!L402</f>
        <v>0</v>
      </c>
    </row>
    <row r="366" spans="3:12" x14ac:dyDescent="0.2">
      <c r="C366" s="8" t="s">
        <v>113</v>
      </c>
      <c r="D366" s="11" t="s">
        <v>126</v>
      </c>
      <c r="E366" s="115">
        <f xml:space="preserve"> INPUTS│Outcomes!E403</f>
        <v>0</v>
      </c>
      <c r="F366" s="115">
        <f xml:space="preserve"> INPUTS│Outcomes!F403</f>
        <v>0</v>
      </c>
      <c r="G366" s="115">
        <f xml:space="preserve"> INPUTS│Outcomes!G403</f>
        <v>0</v>
      </c>
      <c r="H366" s="115">
        <f xml:space="preserve"> INPUTS│Outcomes!H403</f>
        <v>116.49725584067406</v>
      </c>
      <c r="I366" s="115">
        <f xml:space="preserve"> INPUTS│Outcomes!I403</f>
        <v>117.56367526921647</v>
      </c>
      <c r="J366" s="115">
        <f xml:space="preserve"> INPUTS│Outcomes!J403</f>
        <v>119.28300687208049</v>
      </c>
      <c r="K366" s="115">
        <f xml:space="preserve"> INPUTS│Outcomes!K403</f>
        <v>121.23528893370745</v>
      </c>
      <c r="L366" s="115">
        <f xml:space="preserve"> INPUTS│Outcomes!L403</f>
        <v>0</v>
      </c>
    </row>
    <row r="367" spans="3:12" x14ac:dyDescent="0.2">
      <c r="C367" s="8" t="s">
        <v>109</v>
      </c>
      <c r="D367" s="11" t="s">
        <v>126</v>
      </c>
      <c r="E367" s="115">
        <f xml:space="preserve"> INPUTS│Outcomes!E404</f>
        <v>0</v>
      </c>
      <c r="F367" s="115">
        <f xml:space="preserve"> INPUTS│Outcomes!F404</f>
        <v>0</v>
      </c>
      <c r="G367" s="115">
        <f xml:space="preserve"> INPUTS│Outcomes!G404</f>
        <v>0</v>
      </c>
      <c r="H367" s="115">
        <f xml:space="preserve"> INPUTS│Outcomes!H404</f>
        <v>77.623835216392166</v>
      </c>
      <c r="I367" s="115">
        <f xml:space="preserve"> INPUTS│Outcomes!I404</f>
        <v>78.814208132194565</v>
      </c>
      <c r="J367" s="115">
        <f xml:space="preserve"> INPUTS│Outcomes!J404</f>
        <v>81.099189723320151</v>
      </c>
      <c r="K367" s="115">
        <f xml:space="preserve"> INPUTS│Outcomes!K404</f>
        <v>83.07708764468606</v>
      </c>
      <c r="L367" s="115">
        <f xml:space="preserve"> INPUTS│Outcomes!L404</f>
        <v>0</v>
      </c>
    </row>
    <row r="369" spans="2:16" x14ac:dyDescent="0.2">
      <c r="C369" s="2" t="s">
        <v>257</v>
      </c>
      <c r="D369" s="14" t="s">
        <v>126</v>
      </c>
      <c r="E369" s="17">
        <f xml:space="preserve"> SUM( E351:E367 )</f>
        <v>0</v>
      </c>
      <c r="F369" s="17">
        <f t="shared" ref="F369:L369" si="57" xml:space="preserve"> SUM( F351:F367 )</f>
        <v>0</v>
      </c>
      <c r="G369" s="17">
        <f t="shared" si="57"/>
        <v>0</v>
      </c>
      <c r="H369" s="17">
        <f t="shared" si="57"/>
        <v>22915.192624234001</v>
      </c>
      <c r="I369" s="17">
        <f t="shared" si="57"/>
        <v>23303.107319671362</v>
      </c>
      <c r="J369" s="17">
        <f t="shared" si="57"/>
        <v>23717.330430964783</v>
      </c>
      <c r="K369" s="17">
        <f t="shared" si="57"/>
        <v>24065.118433729396</v>
      </c>
      <c r="L369" s="17">
        <f t="shared" si="57"/>
        <v>0</v>
      </c>
    </row>
    <row r="371" spans="2:16" ht="13.5" x14ac:dyDescent="0.25">
      <c r="B371" s="35" t="s">
        <v>501</v>
      </c>
      <c r="C371" s="35"/>
      <c r="D371" s="35"/>
      <c r="E371" s="35"/>
      <c r="F371" s="35"/>
      <c r="G371" s="35"/>
      <c r="H371" s="35"/>
      <c r="I371" s="35"/>
      <c r="J371" s="35"/>
      <c r="K371" s="35"/>
      <c r="L371" s="35"/>
      <c r="M371" s="35"/>
      <c r="N371" s="35"/>
      <c r="O371" s="35"/>
      <c r="P371" s="35"/>
    </row>
    <row r="373" spans="2:16" x14ac:dyDescent="0.2">
      <c r="C373" s="8" t="s">
        <v>79</v>
      </c>
      <c r="D373" s="11" t="s">
        <v>132</v>
      </c>
      <c r="E373" s="281">
        <f xml:space="preserve"> IFERROR( E329 / E351, 0 )</f>
        <v>0</v>
      </c>
      <c r="F373" s="281">
        <f t="shared" ref="F373:L373" si="58" xml:space="preserve"> IFERROR( F329 / F351, 0 )</f>
        <v>0</v>
      </c>
      <c r="G373" s="281">
        <f t="shared" si="58"/>
        <v>0</v>
      </c>
      <c r="H373" s="281">
        <f t="shared" si="58"/>
        <v>4.5468490056837811E-3</v>
      </c>
      <c r="I373" s="281">
        <f t="shared" si="58"/>
        <v>2.1503713885896157E-3</v>
      </c>
      <c r="J373" s="281">
        <f t="shared" si="58"/>
        <v>5.2806212859576431E-3</v>
      </c>
      <c r="K373" s="281">
        <f t="shared" si="58"/>
        <v>4.7759262420559593E-3</v>
      </c>
      <c r="L373" s="281">
        <f t="shared" si="58"/>
        <v>0</v>
      </c>
    </row>
    <row r="374" spans="2:16" x14ac:dyDescent="0.2">
      <c r="C374" s="8" t="s">
        <v>81</v>
      </c>
      <c r="D374" s="11" t="s">
        <v>132</v>
      </c>
      <c r="E374" s="281">
        <f t="shared" ref="E374:L391" si="59" xml:space="preserve"> IFERROR( E330 / E352, 0 )</f>
        <v>0</v>
      </c>
      <c r="F374" s="281">
        <f t="shared" si="59"/>
        <v>0</v>
      </c>
      <c r="G374" s="281">
        <f t="shared" si="59"/>
        <v>0</v>
      </c>
      <c r="H374" s="281">
        <f t="shared" si="59"/>
        <v>5.6781214228502329E-4</v>
      </c>
      <c r="I374" s="281">
        <f t="shared" si="59"/>
        <v>1.5866576743299586E-3</v>
      </c>
      <c r="J374" s="281">
        <f t="shared" si="59"/>
        <v>-1.8872799732474561E-3</v>
      </c>
      <c r="K374" s="281">
        <f t="shared" si="59"/>
        <v>-1.9566461759691617E-4</v>
      </c>
      <c r="L374" s="281">
        <f t="shared" si="59"/>
        <v>0</v>
      </c>
    </row>
    <row r="375" spans="2:16" x14ac:dyDescent="0.2">
      <c r="C375" s="8" t="s">
        <v>84</v>
      </c>
      <c r="D375" s="11" t="s">
        <v>132</v>
      </c>
      <c r="E375" s="281">
        <f t="shared" si="59"/>
        <v>0</v>
      </c>
      <c r="F375" s="281">
        <f t="shared" si="59"/>
        <v>0</v>
      </c>
      <c r="G375" s="281">
        <f t="shared" si="59"/>
        <v>0</v>
      </c>
      <c r="H375" s="281">
        <f t="shared" si="59"/>
        <v>9.8280761227364914E-4</v>
      </c>
      <c r="I375" s="281">
        <f t="shared" si="59"/>
        <v>-1.3203042633996623E-3</v>
      </c>
      <c r="J375" s="281">
        <f t="shared" si="59"/>
        <v>4.6528163959095047E-4</v>
      </c>
      <c r="K375" s="281">
        <f t="shared" si="59"/>
        <v>-1.8157406265086117E-2</v>
      </c>
      <c r="L375" s="281">
        <f t="shared" si="59"/>
        <v>0</v>
      </c>
    </row>
    <row r="376" spans="2:16" x14ac:dyDescent="0.2">
      <c r="C376" s="8" t="s">
        <v>86</v>
      </c>
      <c r="D376" s="11" t="s">
        <v>132</v>
      </c>
      <c r="E376" s="281">
        <f t="shared" si="59"/>
        <v>0</v>
      </c>
      <c r="F376" s="281">
        <f t="shared" si="59"/>
        <v>0</v>
      </c>
      <c r="G376" s="281">
        <f t="shared" si="59"/>
        <v>0</v>
      </c>
      <c r="H376" s="281">
        <f t="shared" si="59"/>
        <v>3.3246745925677029E-3</v>
      </c>
      <c r="I376" s="281">
        <f t="shared" si="59"/>
        <v>3.6008887988121445E-3</v>
      </c>
      <c r="J376" s="281">
        <f t="shared" si="59"/>
        <v>2.7501875335065214E-3</v>
      </c>
      <c r="K376" s="281">
        <f t="shared" si="59"/>
        <v>-2.315892953681791E-3</v>
      </c>
      <c r="L376" s="281">
        <f t="shared" si="59"/>
        <v>0</v>
      </c>
    </row>
    <row r="377" spans="2:16" x14ac:dyDescent="0.2">
      <c r="C377" s="8" t="s">
        <v>88</v>
      </c>
      <c r="D377" s="11" t="s">
        <v>132</v>
      </c>
      <c r="E377" s="281">
        <f t="shared" si="59"/>
        <v>0</v>
      </c>
      <c r="F377" s="281">
        <f t="shared" si="59"/>
        <v>0</v>
      </c>
      <c r="G377" s="281">
        <f t="shared" si="59"/>
        <v>0</v>
      </c>
      <c r="H377" s="281">
        <f t="shared" si="59"/>
        <v>6.8396594427545428E-3</v>
      </c>
      <c r="I377" s="281">
        <f t="shared" si="59"/>
        <v>1.3800900797214069E-2</v>
      </c>
      <c r="J377" s="281">
        <f t="shared" si="59"/>
        <v>2.0387562899867682E-2</v>
      </c>
      <c r="K377" s="281">
        <f t="shared" si="59"/>
        <v>-1.1292198680321771E-3</v>
      </c>
      <c r="L377" s="281">
        <f t="shared" si="59"/>
        <v>0</v>
      </c>
    </row>
    <row r="378" spans="2:16" x14ac:dyDescent="0.2">
      <c r="C378" s="8" t="s">
        <v>90</v>
      </c>
      <c r="D378" s="11" t="s">
        <v>132</v>
      </c>
      <c r="E378" s="281">
        <f t="shared" si="59"/>
        <v>0</v>
      </c>
      <c r="F378" s="281">
        <f t="shared" si="59"/>
        <v>0</v>
      </c>
      <c r="G378" s="281">
        <f t="shared" si="59"/>
        <v>0</v>
      </c>
      <c r="H378" s="281">
        <f t="shared" si="59"/>
        <v>1.871200755848465E-4</v>
      </c>
      <c r="I378" s="281">
        <f t="shared" si="59"/>
        <v>1.7908257547259812E-3</v>
      </c>
      <c r="J378" s="281">
        <f t="shared" si="59"/>
        <v>5.4787166951721893E-5</v>
      </c>
      <c r="K378" s="281">
        <f t="shared" si="59"/>
        <v>3.6573300562620817E-3</v>
      </c>
      <c r="L378" s="281">
        <f t="shared" si="59"/>
        <v>0</v>
      </c>
    </row>
    <row r="379" spans="2:16" x14ac:dyDescent="0.2">
      <c r="C379" s="8" t="s">
        <v>93</v>
      </c>
      <c r="D379" s="11" t="s">
        <v>132</v>
      </c>
      <c r="E379" s="281">
        <f t="shared" si="59"/>
        <v>0</v>
      </c>
      <c r="F379" s="281">
        <f t="shared" si="59"/>
        <v>0</v>
      </c>
      <c r="G379" s="281">
        <f t="shared" si="59"/>
        <v>0</v>
      </c>
      <c r="H379" s="281">
        <f t="shared" si="59"/>
        <v>-9.5009263199220199E-4</v>
      </c>
      <c r="I379" s="281">
        <f t="shared" si="59"/>
        <v>0</v>
      </c>
      <c r="J379" s="281">
        <f t="shared" si="59"/>
        <v>-1.8063239381394525E-4</v>
      </c>
      <c r="K379" s="281">
        <f t="shared" si="59"/>
        <v>-2.1463492990944147E-4</v>
      </c>
      <c r="L379" s="281">
        <f t="shared" si="59"/>
        <v>0</v>
      </c>
    </row>
    <row r="380" spans="2:16" x14ac:dyDescent="0.2">
      <c r="C380" s="8" t="s">
        <v>95</v>
      </c>
      <c r="D380" s="11" t="s">
        <v>132</v>
      </c>
      <c r="E380" s="281">
        <f t="shared" si="59"/>
        <v>0</v>
      </c>
      <c r="F380" s="281">
        <f t="shared" si="59"/>
        <v>0</v>
      </c>
      <c r="G380" s="281">
        <f t="shared" si="59"/>
        <v>0</v>
      </c>
      <c r="H380" s="281">
        <f t="shared" si="59"/>
        <v>-3.1283577213292663E-3</v>
      </c>
      <c r="I380" s="281">
        <f t="shared" si="59"/>
        <v>-3.4431984023411007E-3</v>
      </c>
      <c r="J380" s="281">
        <f t="shared" si="59"/>
        <v>-7.5880085928923067E-3</v>
      </c>
      <c r="K380" s="281">
        <f t="shared" si="59"/>
        <v>-1.1337650166482504E-2</v>
      </c>
      <c r="L380" s="281">
        <f t="shared" si="59"/>
        <v>0</v>
      </c>
    </row>
    <row r="381" spans="2:16" x14ac:dyDescent="0.2">
      <c r="C381" s="8" t="s">
        <v>97</v>
      </c>
      <c r="D381" s="11" t="s">
        <v>132</v>
      </c>
      <c r="E381" s="281">
        <f t="shared" si="59"/>
        <v>0</v>
      </c>
      <c r="F381" s="281">
        <f t="shared" si="59"/>
        <v>0</v>
      </c>
      <c r="G381" s="281">
        <f t="shared" si="59"/>
        <v>0</v>
      </c>
      <c r="H381" s="281">
        <f t="shared" si="59"/>
        <v>7.0133045541227095E-4</v>
      </c>
      <c r="I381" s="281">
        <f t="shared" si="59"/>
        <v>1.8692403987522093E-3</v>
      </c>
      <c r="J381" s="281">
        <f t="shared" si="59"/>
        <v>-1.9447227929787344E-3</v>
      </c>
      <c r="K381" s="281">
        <f t="shared" si="59"/>
        <v>5.2723202724486917E-3</v>
      </c>
      <c r="L381" s="281">
        <f t="shared" si="59"/>
        <v>0</v>
      </c>
    </row>
    <row r="382" spans="2:16" x14ac:dyDescent="0.2">
      <c r="C382" s="8" t="s">
        <v>99</v>
      </c>
      <c r="D382" s="11" t="s">
        <v>132</v>
      </c>
      <c r="E382" s="281">
        <f t="shared" si="59"/>
        <v>0</v>
      </c>
      <c r="F382" s="281">
        <f t="shared" si="59"/>
        <v>0</v>
      </c>
      <c r="G382" s="281">
        <f t="shared" si="59"/>
        <v>0</v>
      </c>
      <c r="H382" s="281">
        <f t="shared" si="59"/>
        <v>5.2256346358359167E-3</v>
      </c>
      <c r="I382" s="281">
        <f t="shared" si="59"/>
        <v>5.5354798379747315E-3</v>
      </c>
      <c r="J382" s="281">
        <f t="shared" si="59"/>
        <v>6.5083626542294251E-3</v>
      </c>
      <c r="K382" s="281">
        <f t="shared" si="59"/>
        <v>2.4219465102399674E-3</v>
      </c>
      <c r="L382" s="281">
        <f t="shared" si="59"/>
        <v>0</v>
      </c>
    </row>
    <row r="383" spans="2:16" x14ac:dyDescent="0.2">
      <c r="C383" s="8" t="s">
        <v>101</v>
      </c>
      <c r="D383" s="11" t="s">
        <v>132</v>
      </c>
      <c r="E383" s="281">
        <f t="shared" si="59"/>
        <v>0</v>
      </c>
      <c r="F383" s="281">
        <f t="shared" si="59"/>
        <v>0</v>
      </c>
      <c r="G383" s="281">
        <f t="shared" si="59"/>
        <v>0</v>
      </c>
      <c r="H383" s="281">
        <f t="shared" si="59"/>
        <v>2.8382690601829342E-3</v>
      </c>
      <c r="I383" s="281">
        <f t="shared" si="59"/>
        <v>4.2359364731613895E-3</v>
      </c>
      <c r="J383" s="281">
        <f t="shared" si="59"/>
        <v>5.9992990928232912E-3</v>
      </c>
      <c r="K383" s="281">
        <f t="shared" si="59"/>
        <v>4.1311488369656204E-3</v>
      </c>
      <c r="L383" s="281">
        <f t="shared" si="59"/>
        <v>0</v>
      </c>
    </row>
    <row r="384" spans="2:16" x14ac:dyDescent="0.2">
      <c r="C384" s="8" t="s">
        <v>103</v>
      </c>
      <c r="D384" s="11" t="s">
        <v>132</v>
      </c>
      <c r="E384" s="281">
        <f t="shared" si="59"/>
        <v>0</v>
      </c>
      <c r="F384" s="281">
        <f t="shared" si="59"/>
        <v>0</v>
      </c>
      <c r="G384" s="281">
        <f t="shared" si="59"/>
        <v>0</v>
      </c>
      <c r="H384" s="281">
        <f t="shared" si="59"/>
        <v>-4.3886640942429186E-3</v>
      </c>
      <c r="I384" s="281">
        <f t="shared" si="59"/>
        <v>-4.2336241720679624E-3</v>
      </c>
      <c r="J384" s="281">
        <f t="shared" si="59"/>
        <v>-3.5195482100201588E-3</v>
      </c>
      <c r="K384" s="281">
        <f t="shared" si="59"/>
        <v>-1.7591487072770858E-2</v>
      </c>
      <c r="L384" s="281">
        <f t="shared" si="59"/>
        <v>0</v>
      </c>
    </row>
    <row r="385" spans="2:16" x14ac:dyDescent="0.2">
      <c r="C385" s="8" t="s">
        <v>105</v>
      </c>
      <c r="D385" s="11" t="s">
        <v>132</v>
      </c>
      <c r="E385" s="281">
        <f t="shared" si="59"/>
        <v>0</v>
      </c>
      <c r="F385" s="281">
        <f t="shared" si="59"/>
        <v>0</v>
      </c>
      <c r="G385" s="281">
        <f t="shared" si="59"/>
        <v>0</v>
      </c>
      <c r="H385" s="281">
        <f t="shared" si="59"/>
        <v>-7.4498143854514337E-3</v>
      </c>
      <c r="I385" s="281">
        <f t="shared" si="59"/>
        <v>-9.6374105878907794E-4</v>
      </c>
      <c r="J385" s="281">
        <f t="shared" si="59"/>
        <v>-1.3848919482363985E-2</v>
      </c>
      <c r="K385" s="281">
        <f t="shared" si="59"/>
        <v>-2.0100924693402255E-2</v>
      </c>
      <c r="L385" s="281">
        <f t="shared" si="59"/>
        <v>0</v>
      </c>
    </row>
    <row r="386" spans="2:16" x14ac:dyDescent="0.2">
      <c r="C386" s="8" t="s">
        <v>107</v>
      </c>
      <c r="D386" s="11" t="s">
        <v>132</v>
      </c>
      <c r="E386" s="281">
        <f t="shared" si="59"/>
        <v>0</v>
      </c>
      <c r="F386" s="281">
        <f t="shared" si="59"/>
        <v>0</v>
      </c>
      <c r="G386" s="281">
        <f t="shared" si="59"/>
        <v>0</v>
      </c>
      <c r="H386" s="281">
        <f t="shared" si="59"/>
        <v>-7.1041867052866912E-3</v>
      </c>
      <c r="I386" s="281">
        <f t="shared" si="59"/>
        <v>0</v>
      </c>
      <c r="J386" s="281">
        <f t="shared" si="59"/>
        <v>-6.8106987495565969E-3</v>
      </c>
      <c r="K386" s="281">
        <f t="shared" si="59"/>
        <v>-7.6884090228284165E-3</v>
      </c>
      <c r="L386" s="281">
        <f t="shared" si="59"/>
        <v>0</v>
      </c>
    </row>
    <row r="387" spans="2:16" x14ac:dyDescent="0.2">
      <c r="C387" s="8" t="s">
        <v>111</v>
      </c>
      <c r="D387" s="11" t="s">
        <v>132</v>
      </c>
      <c r="E387" s="281">
        <f t="shared" si="59"/>
        <v>0</v>
      </c>
      <c r="F387" s="281">
        <f t="shared" si="59"/>
        <v>0</v>
      </c>
      <c r="G387" s="281">
        <f t="shared" si="59"/>
        <v>0</v>
      </c>
      <c r="H387" s="281">
        <f t="shared" si="59"/>
        <v>-2.0582384209037779E-4</v>
      </c>
      <c r="I387" s="281">
        <f t="shared" si="59"/>
        <v>8.3906834419968069E-4</v>
      </c>
      <c r="J387" s="281">
        <f t="shared" si="59"/>
        <v>-3.5578551199056717E-3</v>
      </c>
      <c r="K387" s="281">
        <f t="shared" si="59"/>
        <v>-1.0684773003286329E-4</v>
      </c>
      <c r="L387" s="281">
        <f t="shared" si="59"/>
        <v>0</v>
      </c>
    </row>
    <row r="388" spans="2:16" x14ac:dyDescent="0.2">
      <c r="C388" s="8" t="s">
        <v>113</v>
      </c>
      <c r="D388" s="11" t="s">
        <v>132</v>
      </c>
      <c r="E388" s="281">
        <f t="shared" si="59"/>
        <v>0</v>
      </c>
      <c r="F388" s="281">
        <f t="shared" si="59"/>
        <v>0</v>
      </c>
      <c r="G388" s="281">
        <f t="shared" si="59"/>
        <v>0</v>
      </c>
      <c r="H388" s="281">
        <f t="shared" si="59"/>
        <v>4.6448819424557454E-3</v>
      </c>
      <c r="I388" s="281">
        <f t="shared" si="59"/>
        <v>6.8762736291528301E-3</v>
      </c>
      <c r="J388" s="281">
        <f t="shared" si="59"/>
        <v>-2.0202433382524778E-3</v>
      </c>
      <c r="K388" s="281">
        <f t="shared" si="59"/>
        <v>1.9045609742082456E-3</v>
      </c>
      <c r="L388" s="281">
        <f t="shared" si="59"/>
        <v>0</v>
      </c>
    </row>
    <row r="389" spans="2:16" x14ac:dyDescent="0.2">
      <c r="C389" s="8" t="s">
        <v>109</v>
      </c>
      <c r="D389" s="11" t="s">
        <v>132</v>
      </c>
      <c r="E389" s="281">
        <f t="shared" si="59"/>
        <v>0</v>
      </c>
      <c r="F389" s="281">
        <f t="shared" si="59"/>
        <v>0</v>
      </c>
      <c r="G389" s="281">
        <f t="shared" si="59"/>
        <v>0</v>
      </c>
      <c r="H389" s="281">
        <f t="shared" si="59"/>
        <v>2.0096919917074237E-3</v>
      </c>
      <c r="I389" s="281">
        <f t="shared" si="59"/>
        <v>3.2227691683962291E-3</v>
      </c>
      <c r="J389" s="281">
        <f t="shared" si="59"/>
        <v>3.6054614231974267E-3</v>
      </c>
      <c r="K389" s="281">
        <f t="shared" si="59"/>
        <v>-1.8055519789227303E-3</v>
      </c>
      <c r="L389" s="281">
        <f t="shared" si="59"/>
        <v>0</v>
      </c>
    </row>
    <row r="391" spans="2:16" x14ac:dyDescent="0.2">
      <c r="C391" s="2" t="s">
        <v>257</v>
      </c>
      <c r="D391" s="14" t="s">
        <v>132</v>
      </c>
      <c r="E391" s="155">
        <f t="shared" si="59"/>
        <v>0</v>
      </c>
      <c r="F391" s="155">
        <f t="shared" si="59"/>
        <v>0</v>
      </c>
      <c r="G391" s="155">
        <f t="shared" si="59"/>
        <v>0</v>
      </c>
      <c r="H391" s="155">
        <f t="shared" si="59"/>
        <v>1.3828497811781925E-3</v>
      </c>
      <c r="I391" s="155">
        <f t="shared" si="59"/>
        <v>2.5301916063678472E-3</v>
      </c>
      <c r="J391" s="155">
        <f t="shared" si="59"/>
        <v>1.8740382494511598E-3</v>
      </c>
      <c r="K391" s="155">
        <f t="shared" si="59"/>
        <v>-9.5830741841174073E-4</v>
      </c>
      <c r="L391" s="155">
        <f t="shared" si="59"/>
        <v>0</v>
      </c>
    </row>
    <row r="393" spans="2:16" x14ac:dyDescent="0.2">
      <c r="B393" s="20" t="s">
        <v>26</v>
      </c>
      <c r="C393" s="20"/>
      <c r="D393" s="79"/>
      <c r="E393" s="20"/>
      <c r="F393" s="20"/>
      <c r="G393" s="20"/>
      <c r="H393" s="20"/>
      <c r="I393" s="20"/>
      <c r="J393" s="20"/>
      <c r="K393" s="20"/>
      <c r="L393" s="20"/>
      <c r="M393" s="20"/>
      <c r="N393" s="20"/>
      <c r="O393" s="167"/>
      <c r="P393" s="20"/>
    </row>
  </sheetData>
  <mergeCells count="1">
    <mergeCell ref="N2:O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B1:Z105"/>
  <sheetViews>
    <sheetView showGridLines="0" workbookViewId="0">
      <pane ySplit="6" topLeftCell="A7" activePane="bottomLeft" state="frozen"/>
      <selection pane="bottomLeft" activeCell="A7" sqref="A7"/>
    </sheetView>
  </sheetViews>
  <sheetFormatPr defaultRowHeight="12.75" outlineLevelRow="1" x14ac:dyDescent="0.2"/>
  <cols>
    <col min="1" max="2" width="2.625" style="8" customWidth="1"/>
    <col min="3" max="3" width="9" style="8"/>
    <col min="4" max="4" width="7.625" style="8" customWidth="1"/>
    <col min="5" max="5" width="2.625" style="8" customWidth="1"/>
    <col min="6" max="12" width="7.625" style="8" customWidth="1"/>
    <col min="13" max="13" width="2.625" style="8" customWidth="1"/>
    <col min="14" max="20" width="7.625" style="8" customWidth="1"/>
    <col min="21" max="21" width="2.625" style="8" customWidth="1"/>
    <col min="22" max="25" width="8.625" style="8" customWidth="1"/>
    <col min="26" max="26" width="2.625" style="8" customWidth="1"/>
    <col min="27" max="16384" width="9" style="8"/>
  </cols>
  <sheetData>
    <row r="1" spans="2:26" ht="3.95" customHeight="1" x14ac:dyDescent="0.2"/>
    <row r="2" spans="2:26" s="253" customFormat="1" ht="15.95" customHeight="1" x14ac:dyDescent="0.2">
      <c r="B2" s="266"/>
      <c r="C2" s="266"/>
      <c r="D2" s="346" t="s">
        <v>502</v>
      </c>
      <c r="E2" s="346"/>
      <c r="F2" s="346"/>
      <c r="G2" s="346"/>
      <c r="H2" s="346"/>
      <c r="I2" s="346"/>
      <c r="J2" s="346"/>
      <c r="K2" s="346"/>
      <c r="L2" s="346"/>
      <c r="M2" s="346"/>
      <c r="N2" s="346"/>
      <c r="O2" s="346"/>
      <c r="P2" s="346"/>
      <c r="Q2" s="346"/>
      <c r="R2" s="346"/>
      <c r="S2" s="346"/>
      <c r="T2" s="346"/>
      <c r="U2" s="266"/>
      <c r="V2" s="346" t="s">
        <v>503</v>
      </c>
      <c r="W2" s="346"/>
      <c r="X2" s="346"/>
      <c r="Y2" s="346"/>
      <c r="Z2" s="266"/>
    </row>
    <row r="3" spans="2:26" ht="3.95" customHeight="1" x14ac:dyDescent="0.2"/>
    <row r="4" spans="2:26" x14ac:dyDescent="0.2">
      <c r="D4" s="362" t="s">
        <v>504</v>
      </c>
      <c r="F4" s="363" t="str">
        <f xml:space="preserve"> Last_year</f>
        <v>2017-18</v>
      </c>
      <c r="G4" s="363"/>
      <c r="H4" s="363" t="str">
        <f xml:space="preserve"> Last_year</f>
        <v>2017-18</v>
      </c>
      <c r="I4" s="363"/>
      <c r="J4" s="363" t="str">
        <f xml:space="preserve"> Last_year</f>
        <v>2017-18</v>
      </c>
      <c r="K4" s="363"/>
      <c r="L4" s="364" t="str">
        <f xml:space="preserve"> Last_year</f>
        <v>2017-18</v>
      </c>
      <c r="N4" s="363" t="str">
        <f>Year</f>
        <v>2018-19</v>
      </c>
      <c r="O4" s="363"/>
      <c r="P4" s="363" t="str">
        <f>Year</f>
        <v>2018-19</v>
      </c>
      <c r="Q4" s="363"/>
      <c r="R4" s="363" t="str">
        <f>Year</f>
        <v>2018-19</v>
      </c>
      <c r="S4" s="363"/>
      <c r="T4" s="364" t="str">
        <f>Year</f>
        <v>2018-19</v>
      </c>
      <c r="V4" s="363" t="str">
        <f>Year</f>
        <v>2018-19</v>
      </c>
      <c r="W4" s="363"/>
      <c r="X4" s="363" t="str">
        <f>Year</f>
        <v>2018-19</v>
      </c>
      <c r="Y4" s="363"/>
    </row>
    <row r="5" spans="2:26" ht="12.75" customHeight="1" x14ac:dyDescent="0.2">
      <c r="D5" s="362"/>
      <c r="F5" s="363" t="s">
        <v>505</v>
      </c>
      <c r="G5" s="363"/>
      <c r="H5" s="363" t="s">
        <v>506</v>
      </c>
      <c r="I5" s="363"/>
      <c r="J5" s="363" t="s">
        <v>507</v>
      </c>
      <c r="K5" s="363"/>
      <c r="L5" s="362" t="s">
        <v>508</v>
      </c>
      <c r="N5" s="363" t="s">
        <v>505</v>
      </c>
      <c r="O5" s="363"/>
      <c r="P5" s="363" t="s">
        <v>506</v>
      </c>
      <c r="Q5" s="363"/>
      <c r="R5" s="363" t="s">
        <v>507</v>
      </c>
      <c r="S5" s="363"/>
      <c r="T5" s="362" t="s">
        <v>508</v>
      </c>
      <c r="V5" s="363" t="s">
        <v>505</v>
      </c>
      <c r="W5" s="363"/>
      <c r="X5" s="363" t="s">
        <v>506</v>
      </c>
      <c r="Y5" s="363"/>
    </row>
    <row r="6" spans="2:26" x14ac:dyDescent="0.2">
      <c r="D6" s="362"/>
      <c r="F6" s="364" t="s">
        <v>509</v>
      </c>
      <c r="G6" s="364" t="s">
        <v>510</v>
      </c>
      <c r="H6" s="364" t="s">
        <v>509</v>
      </c>
      <c r="I6" s="364" t="s">
        <v>510</v>
      </c>
      <c r="J6" s="364" t="s">
        <v>509</v>
      </c>
      <c r="K6" s="364" t="s">
        <v>510</v>
      </c>
      <c r="L6" s="362"/>
      <c r="N6" s="364" t="s">
        <v>509</v>
      </c>
      <c r="O6" s="364" t="s">
        <v>510</v>
      </c>
      <c r="P6" s="364" t="s">
        <v>509</v>
      </c>
      <c r="Q6" s="364" t="s">
        <v>510</v>
      </c>
      <c r="R6" s="364" t="s">
        <v>509</v>
      </c>
      <c r="S6" s="364" t="s">
        <v>510</v>
      </c>
      <c r="T6" s="362"/>
      <c r="V6" s="364" t="s">
        <v>509</v>
      </c>
      <c r="W6" s="364" t="s">
        <v>510</v>
      </c>
      <c r="X6" s="364" t="s">
        <v>509</v>
      </c>
      <c r="Y6" s="364" t="s">
        <v>510</v>
      </c>
    </row>
    <row r="8" spans="2:26" ht="13.5" collapsed="1" x14ac:dyDescent="0.25">
      <c r="B8" s="9" t="s">
        <v>160</v>
      </c>
      <c r="C8" s="9"/>
      <c r="D8" s="10"/>
      <c r="E8" s="9"/>
      <c r="F8" s="9"/>
      <c r="G8" s="9"/>
      <c r="H8" s="9"/>
      <c r="I8" s="9"/>
      <c r="J8" s="9"/>
      <c r="K8" s="9"/>
      <c r="L8" s="9"/>
      <c r="M8" s="9"/>
      <c r="N8" s="9"/>
      <c r="O8" s="9"/>
      <c r="P8" s="9"/>
      <c r="Q8" s="9"/>
      <c r="R8" s="9"/>
      <c r="S8" s="9"/>
      <c r="T8" s="9"/>
      <c r="U8" s="9"/>
      <c r="V8" s="9"/>
      <c r="W8" s="9"/>
      <c r="X8" s="9"/>
      <c r="Y8" s="9"/>
      <c r="Z8" s="9"/>
    </row>
    <row r="9" spans="2:26" hidden="1" outlineLevel="1" x14ac:dyDescent="0.2"/>
    <row r="10" spans="2:26" hidden="1" outlineLevel="1" x14ac:dyDescent="0.2">
      <c r="C10" s="8" t="s">
        <v>79</v>
      </c>
      <c r="D10" s="202">
        <f xml:space="preserve"> COUNTIF( 'INPUTS│Performance Commitments'!$C$9:$C$26, C10 )</f>
        <v>1</v>
      </c>
      <c r="F10" s="114">
        <f xml:space="preserve"> _xlfn.IFNA( VLOOKUP( $C10, 'INPUTS│Performance Commitments'!$C$30:$I$47, MATCH( F$4, 'INPUTS│Performance Commitments'!$G$3:$I$3, 0 ) + 4, 0 ), "-" )</f>
        <v>183.3</v>
      </c>
      <c r="G10" s="114" t="str">
        <f ca="1" xml:space="preserve"> IF( $D10 &gt; 1, OFFSET( 'INPUTS│Performance Commitments'!$F$30, MATCH( $C10, 'INPUTS│Performance Commitments'!$C$30:$C$47, 0 ), MATCH( $F$4, 'INPUTS│Performance Commitments'!$G$3:$I$3, 0 ) ), "-" )</f>
        <v>-</v>
      </c>
      <c r="H10" s="114">
        <f xml:space="preserve"> _xlfn.IFNA( VLOOKUP( $C10, 'INPUTS│Performance Commitments'!$C$9:$I$26, MATCH( H$4, 'INPUTS│Performance Commitments'!$G$3:$I$3, 0 ) + 4, 0 ), "-" )</f>
        <v>192</v>
      </c>
      <c r="I10" s="114" t="str">
        <f ca="1" xml:space="preserve"> IF( $D10 &gt; 1, OFFSET( 'INPUTS│Performance Commitments'!$F$9, MATCH( $C10, 'INPUTS│Performance Commitments'!$C$30:$C$47, 0 ), MATCH( $H$4, 'INPUTS│Performance Commitments'!$G$3:$I$3, 0 ) ), "-" )</f>
        <v>-</v>
      </c>
      <c r="J10" s="82" t="str">
        <f t="shared" ref="J10:K14" si="0" xml:space="preserve"> IF( H10 &lt;&gt; "-", IF( F10 &lt;= H10, "Met", "Failed" ), "-" )</f>
        <v>Met</v>
      </c>
      <c r="K10" s="82" t="str">
        <f t="shared" ca="1" si="0"/>
        <v>-</v>
      </c>
      <c r="L10" s="282">
        <f ca="1" xml:space="preserve"> IF( H10 = "-", "-", COUNTIF( J10:K10, "Met" ) / $D10 )</f>
        <v>1</v>
      </c>
      <c r="N10" s="114">
        <f xml:space="preserve"> _xlfn.IFNA( VLOOKUP( $C10, 'INPUTS│Performance Commitments'!$C$30:$I$47, MATCH( N$4, 'INPUTS│Performance Commitments'!$G$3:$I$3, 0 ) + 4, 0 ), "-" )</f>
        <v>186</v>
      </c>
      <c r="O10" s="114" t="str">
        <f ca="1" xml:space="preserve"> IF( $D10 &gt; 1, OFFSET( 'INPUTS│Performance Commitments'!$F$30, MATCH( $C10, 'INPUTS│Performance Commitments'!$C$30:$C$47, 0 ), MATCH( $N$4, 'INPUTS│Performance Commitments'!$G$3:$I$3, 0 ) ), "-" )</f>
        <v>-</v>
      </c>
      <c r="P10" s="114">
        <f xml:space="preserve"> _xlfn.IFNA( VLOOKUP( $C10, 'INPUTS│Performance Commitments'!$C$9:$I$26, MATCH( P$4, 'INPUTS│Performance Commitments'!$G$3:$I$3, 0 ) + 4, 0 ), "-" )</f>
        <v>192</v>
      </c>
      <c r="Q10" s="114" t="str">
        <f ca="1" xml:space="preserve"> IF( $D10 &gt; 1, OFFSET( 'INPUTS│Performance Commitments'!$F$9, MATCH( $C10, 'INPUTS│Performance Commitments'!$C$30:$C$47, 0 ), MATCH( $P$4, 'INPUTS│Performance Commitments'!$G$3:$I$3, 0 ) ), "-" )</f>
        <v>-</v>
      </c>
      <c r="R10" s="82" t="str">
        <f t="shared" ref="R10:S14" si="1" xml:space="preserve"> IF( P10 &lt;&gt; "-", IF( N10 &lt;= P10, "Met", "Failed" ), "-" )</f>
        <v>Met</v>
      </c>
      <c r="S10" s="82" t="str">
        <f t="shared" ca="1" si="1"/>
        <v>-</v>
      </c>
      <c r="T10" s="282">
        <f ca="1" xml:space="preserve"> IF( P10 = "-", "-", COUNTIF( R10:S10, "Met" ) / $D10 )</f>
        <v>1</v>
      </c>
      <c r="U10" s="51"/>
      <c r="V10" s="273">
        <f xml:space="preserve"> _xlfn.IFNA( VLOOKUP( $C10, 'INPUTS│Performance Commitments'!$C$30:$L$47, MATCH( V$4, 'INPUTS│Performance Commitments'!$K$3:$L$3, 0 ) + 8, 0 ), "-" )</f>
        <v>186</v>
      </c>
      <c r="W10" s="273" t="str">
        <f ca="1" xml:space="preserve"> IF( $D10 &gt; 1, OFFSET( 'INPUTS│Performance Commitments'!$J$30, MATCH( $C10, 'INPUTS│Performance Commitments'!$C$30:$C$47, 0 ), MATCH( $V$4, 'INPUTS│Performance Commitments'!$K$3:$L$3, 0 ) ), "-" )</f>
        <v>-</v>
      </c>
      <c r="X10" s="273">
        <f xml:space="preserve"> _xlfn.IFNA( VLOOKUP( $C10, 'INPUTS│Performance Commitments'!$C$9:$L$26, MATCH( X$4, 'INPUTS│Performance Commitments'!$K$3:$L$3, 0 ) + 8, 0 ), "-" )</f>
        <v>192</v>
      </c>
      <c r="Y10" s="273" t="str">
        <f ca="1" xml:space="preserve"> IF( $D10 &gt; 1, OFFSET( 'INPUTS│Performance Commitments'!$J$9, MATCH( $C10, 'INPUTS│Performance Commitments'!$C$30:$C$47, 0 ), MATCH( $X$4, 'INPUTS│Performance Commitments'!$K$3:$L$3, 0 ) ), "-" )</f>
        <v>-</v>
      </c>
    </row>
    <row r="11" spans="2:26" hidden="1" outlineLevel="1" x14ac:dyDescent="0.2">
      <c r="C11" s="8" t="s">
        <v>81</v>
      </c>
      <c r="D11" s="202">
        <f xml:space="preserve"> COUNTIF( 'INPUTS│Performance Commitments'!$C$9:$C$26, C11 )</f>
        <v>1</v>
      </c>
      <c r="F11" s="114">
        <f xml:space="preserve"> _xlfn.IFNA( VLOOKUP( $C11, 'INPUTS│Performance Commitments'!$C$30:$I$47, MATCH( F$4, 'INPUTS│Performance Commitments'!$G$3:$I$3, 0 ) + 4, 0 ), "-" )</f>
        <v>173</v>
      </c>
      <c r="G11" s="114" t="str">
        <f ca="1" xml:space="preserve"> IF( $D11 &gt; 1, OFFSET( 'INPUTS│Performance Commitments'!$F$30, MATCH( $C11, 'INPUTS│Performance Commitments'!$C$30:$C$47, 0 ), MATCH( $F$4, 'INPUTS│Performance Commitments'!$G$3:$I$3, 0 ) ), "-" )</f>
        <v>-</v>
      </c>
      <c r="H11" s="114">
        <f xml:space="preserve"> _xlfn.IFNA( VLOOKUP( $C11, 'INPUTS│Performance Commitments'!$C$9:$I$26, MATCH( H$4, 'INPUTS│Performance Commitments'!$G$3:$I$3, 0 ) + 4, 0 ), "-" )</f>
        <v>173</v>
      </c>
      <c r="I11" s="114" t="str">
        <f ca="1" xml:space="preserve"> IF( $D11 &gt; 1, OFFSET( 'INPUTS│Performance Commitments'!$F$9, MATCH( $C11, 'INPUTS│Performance Commitments'!$C$30:$C$47, 0 ), MATCH( $H$4, 'INPUTS│Performance Commitments'!$G$3:$I$3, 0 ) ), "-" )</f>
        <v>-</v>
      </c>
      <c r="J11" s="82" t="str">
        <f t="shared" si="0"/>
        <v>Met</v>
      </c>
      <c r="K11" s="82" t="str">
        <f t="shared" ca="1" si="0"/>
        <v>-</v>
      </c>
      <c r="L11" s="282">
        <f ca="1" xml:space="preserve"> IF( H11 = "-", "-", COUNTIF( J11:K11, "Met" ) / $D11 )</f>
        <v>1</v>
      </c>
      <c r="N11" s="114">
        <f xml:space="preserve"> _xlfn.IFNA( VLOOKUP( $C11, 'INPUTS│Performance Commitments'!$C$30:$I$47, MATCH( N$4, 'INPUTS│Performance Commitments'!$G$3:$I$3, 0 ) + 4, 0 ), "-" )</f>
        <v>170</v>
      </c>
      <c r="O11" s="114" t="str">
        <f ca="1" xml:space="preserve"> IF( $D11 &gt; 1, OFFSET( 'INPUTS│Performance Commitments'!$F$30, MATCH( $C11, 'INPUTS│Performance Commitments'!$C$30:$C$47, 0 ), MATCH( $N$4, 'INPUTS│Performance Commitments'!$G$3:$I$3, 0 ) ), "-" )</f>
        <v>-</v>
      </c>
      <c r="P11" s="114">
        <f xml:space="preserve"> _xlfn.IFNA( VLOOKUP( $C11, 'INPUTS│Performance Commitments'!$C$9:$I$26, MATCH( P$4, 'INPUTS│Performance Commitments'!$G$3:$I$3, 0 ) + 4, 0 ), "-" )</f>
        <v>171</v>
      </c>
      <c r="Q11" s="114" t="str">
        <f ca="1" xml:space="preserve"> IF( $D11 &gt; 1, OFFSET( 'INPUTS│Performance Commitments'!$F$9, MATCH( $C11, 'INPUTS│Performance Commitments'!$C$30:$C$47, 0 ), MATCH( $P$4, 'INPUTS│Performance Commitments'!$G$3:$I$3, 0 ) ), "-" )</f>
        <v>-</v>
      </c>
      <c r="R11" s="82" t="str">
        <f t="shared" si="1"/>
        <v>Met</v>
      </c>
      <c r="S11" s="82" t="str">
        <f t="shared" ca="1" si="1"/>
        <v>-</v>
      </c>
      <c r="T11" s="282">
        <f ca="1" xml:space="preserve"> IF( P11 = "-", "-", COUNTIF( R11:S11, "Met" ) / $D11 )</f>
        <v>1</v>
      </c>
      <c r="U11" s="51"/>
      <c r="V11" s="273">
        <f xml:space="preserve"> _xlfn.IFNA( VLOOKUP( $C11, 'INPUTS│Performance Commitments'!$C$30:$L$47, MATCH( V$4, 'INPUTS│Performance Commitments'!$K$3:$L$3, 0 ) + 8, 0 ), "-" )</f>
        <v>170</v>
      </c>
      <c r="W11" s="273" t="str">
        <f ca="1" xml:space="preserve"> IF( $D11 &gt; 1, OFFSET( 'INPUTS│Performance Commitments'!$J$30, MATCH( $C11, 'INPUTS│Performance Commitments'!$C$30:$C$47, 0 ), MATCH( $V$4, 'INPUTS│Performance Commitments'!$K$3:$L$3, 0 ) ), "-" )</f>
        <v>-</v>
      </c>
      <c r="X11" s="273">
        <f xml:space="preserve"> _xlfn.IFNA( VLOOKUP( $C11, 'INPUTS│Performance Commitments'!$C$9:$L$26, MATCH( X$4, 'INPUTS│Performance Commitments'!$K$3:$L$3, 0 ) + 8, 0 ), "-" )</f>
        <v>171</v>
      </c>
      <c r="Y11" s="273" t="str">
        <f ca="1" xml:space="preserve"> IF( $D11 &gt; 1, OFFSET( 'INPUTS│Performance Commitments'!$J$9, MATCH( $C11, 'INPUTS│Performance Commitments'!$C$30:$C$47, 0 ), MATCH( $X$4, 'INPUTS│Performance Commitments'!$K$3:$L$3, 0 ) ), "-" )</f>
        <v>-</v>
      </c>
    </row>
    <row r="12" spans="2:26" hidden="1" outlineLevel="1" x14ac:dyDescent="0.2">
      <c r="C12" s="8" t="s">
        <v>84</v>
      </c>
      <c r="D12" s="202">
        <f xml:space="preserve"> COUNTIF( 'INPUTS│Performance Commitments'!$C$9:$C$26, C12 )</f>
        <v>1</v>
      </c>
      <c r="F12" s="114" t="str">
        <f xml:space="preserve"> _xlfn.IFNA( VLOOKUP( $C12, 'INPUTS│Performance Commitments'!$C$30:$I$47, MATCH( F$4, 'INPUTS│Performance Commitments'!$G$3:$I$3, 0 ) + 4, 0 ), "-" )</f>
        <v>-</v>
      </c>
      <c r="G12" s="114" t="str">
        <f ca="1" xml:space="preserve"> IF( $D12 &gt; 1, OFFSET( 'INPUTS│Performance Commitments'!$F$30, MATCH( $C12, 'INPUTS│Performance Commitments'!$C$30:$C$47, 0 ), MATCH( $F$4, 'INPUTS│Performance Commitments'!$G$3:$I$3, 0 ) ), "-" )</f>
        <v>-</v>
      </c>
      <c r="H12" s="114" t="str">
        <f xml:space="preserve"> _xlfn.IFNA( VLOOKUP( $C12, 'INPUTS│Performance Commitments'!$C$9:$I$26, MATCH( H$4, 'INPUTS│Performance Commitments'!$G$3:$I$3, 0 ) + 4, 0 ), "-" )</f>
        <v>-</v>
      </c>
      <c r="I12" s="114" t="str">
        <f ca="1" xml:space="preserve"> IF( $D12 &gt; 1, OFFSET( 'INPUTS│Performance Commitments'!$F$9, MATCH( $C12, 'INPUTS│Performance Commitments'!$C$30:$C$47, 0 ), MATCH( $H$4, 'INPUTS│Performance Commitments'!$G$3:$I$3, 0 ) ), "-" )</f>
        <v>-</v>
      </c>
      <c r="J12" s="82" t="str">
        <f t="shared" si="0"/>
        <v>-</v>
      </c>
      <c r="K12" s="82" t="str">
        <f t="shared" ca="1" si="0"/>
        <v>-</v>
      </c>
      <c r="L12" s="283" t="str">
        <f xml:space="preserve"> IF( H12 = "-", "-", COUNTIF( J12:K12, "Met" ) / $D12 )</f>
        <v>-</v>
      </c>
      <c r="N12" s="114">
        <f xml:space="preserve"> _xlfn.IFNA( VLOOKUP( $C12, 'INPUTS│Performance Commitments'!$C$30:$I$47, MATCH( N$4, 'INPUTS│Performance Commitments'!$G$3:$I$3, 0 ) + 4, 0 ), "-" )</f>
        <v>15.271547781797601</v>
      </c>
      <c r="O12" s="114" t="str">
        <f ca="1" xml:space="preserve"> IF( $D12 &gt; 1, OFFSET( 'INPUTS│Performance Commitments'!$F$30, MATCH( $C12, 'INPUTS│Performance Commitments'!$C$30:$C$47, 0 ), MATCH( $N$4, 'INPUTS│Performance Commitments'!$G$3:$I$3, 0 ) ), "-" )</f>
        <v>-</v>
      </c>
      <c r="P12" s="114">
        <f xml:space="preserve"> _xlfn.IFNA( VLOOKUP( $C12, 'INPUTS│Performance Commitments'!$C$9:$I$26, MATCH( P$4, 'INPUTS│Performance Commitments'!$G$3:$I$3, 0 ) + 4, 0 ), "-" )</f>
        <v>11.72</v>
      </c>
      <c r="Q12" s="114" t="str">
        <f ca="1" xml:space="preserve"> IF( $D12 &gt; 1, OFFSET( 'INPUTS│Performance Commitments'!$F$9, MATCH( $C12, 'INPUTS│Performance Commitments'!$C$30:$C$47, 0 ), MATCH( $P$4, 'INPUTS│Performance Commitments'!$G$3:$I$3, 0 ) ), "-" )</f>
        <v>-</v>
      </c>
      <c r="R12" s="82" t="str">
        <f t="shared" si="1"/>
        <v>Failed</v>
      </c>
      <c r="S12" s="82" t="str">
        <f t="shared" ca="1" si="1"/>
        <v>-</v>
      </c>
      <c r="T12" s="282">
        <f ca="1" xml:space="preserve"> IF( P12 = "-", "-", COUNTIF( R12:S12, "Met" ) / $D12 )</f>
        <v>0</v>
      </c>
      <c r="U12" s="51"/>
      <c r="V12" s="273">
        <f xml:space="preserve"> _xlfn.IFNA( VLOOKUP( $C12, 'INPUTS│Performance Commitments'!$C$30:$L$47, MATCH( V$4, 'INPUTS│Performance Commitments'!$K$3:$L$3, 0 ) + 8, 0 ), "-" )</f>
        <v>15.271547781797601</v>
      </c>
      <c r="W12" s="273" t="str">
        <f ca="1" xml:space="preserve"> IF( $D12 &gt; 1, OFFSET( 'INPUTS│Performance Commitments'!$J$30, MATCH( $C12, 'INPUTS│Performance Commitments'!$C$30:$C$47, 0 ), MATCH( $V$4, 'INPUTS│Performance Commitments'!$K$3:$L$3, 0 ) ), "-" )</f>
        <v>-</v>
      </c>
      <c r="X12" s="273">
        <f xml:space="preserve"> _xlfn.IFNA( VLOOKUP( $C12, 'INPUTS│Performance Commitments'!$C$9:$L$26, MATCH( X$4, 'INPUTS│Performance Commitments'!$K$3:$L$3, 0 ) + 8, 0 ), "-" )</f>
        <v>11.72</v>
      </c>
      <c r="Y12" s="273" t="str">
        <f ca="1" xml:space="preserve"> IF( $D12 &gt; 1, OFFSET( 'INPUTS│Performance Commitments'!$J$9, MATCH( $C12, 'INPUTS│Performance Commitments'!$C$30:$C$47, 0 ), MATCH( $X$4, 'INPUTS│Performance Commitments'!$K$3:$L$3, 0 ) ), "-" )</f>
        <v>-</v>
      </c>
    </row>
    <row r="13" spans="2:26" hidden="1" outlineLevel="1" x14ac:dyDescent="0.2">
      <c r="C13" s="8" t="s">
        <v>86</v>
      </c>
      <c r="D13" s="202">
        <f xml:space="preserve"> COUNTIF( 'INPUTS│Performance Commitments'!$C$9:$C$26, C13 )</f>
        <v>1</v>
      </c>
      <c r="F13" s="114">
        <f xml:space="preserve"> _xlfn.IFNA( VLOOKUP( $C13, 'INPUTS│Performance Commitments'!$C$30:$I$47, MATCH( F$4, 'INPUTS│Performance Commitments'!$G$3:$I$3, 0 ) + 4, 0 ), "-" )</f>
        <v>203.22000000000003</v>
      </c>
      <c r="G13" s="114" t="str">
        <f ca="1" xml:space="preserve"> IF( $D13 &gt; 1, OFFSET( 'INPUTS│Performance Commitments'!$F$30, MATCH( $C13, 'INPUTS│Performance Commitments'!$C$30:$C$47, 0 ), MATCH( $F$4, 'INPUTS│Performance Commitments'!$G$3:$I$3, 0 ) ), "-" )</f>
        <v>-</v>
      </c>
      <c r="H13" s="114">
        <f xml:space="preserve"> _xlfn.IFNA( VLOOKUP( $C13, 'INPUTS│Performance Commitments'!$C$9:$I$26, MATCH( H$4, 'INPUTS│Performance Commitments'!$G$3:$I$3, 0 ) + 4, 0 ), "-" )</f>
        <v>203</v>
      </c>
      <c r="I13" s="114" t="str">
        <f ca="1" xml:space="preserve"> IF( $D13 &gt; 1, OFFSET( 'INPUTS│Performance Commitments'!$F$9, MATCH( $C13, 'INPUTS│Performance Commitments'!$C$30:$C$47, 0 ), MATCH( $H$4, 'INPUTS│Performance Commitments'!$G$3:$I$3, 0 ) ), "-" )</f>
        <v>-</v>
      </c>
      <c r="J13" s="82" t="str">
        <f t="shared" si="0"/>
        <v>Failed</v>
      </c>
      <c r="K13" s="82" t="str">
        <f t="shared" ca="1" si="0"/>
        <v>-</v>
      </c>
      <c r="L13" s="282">
        <f ca="1" xml:space="preserve"> IF( H13 = "-", "-", COUNTIF( J13:K13, "Met" ) / $D13 )</f>
        <v>0</v>
      </c>
      <c r="N13" s="114">
        <f xml:space="preserve"> _xlfn.IFNA( VLOOKUP( $C13, 'INPUTS│Performance Commitments'!$C$30:$I$47, MATCH( N$4, 'INPUTS│Performance Commitments'!$G$3:$I$3, 0 ) + 4, 0 ), "-" )</f>
        <v>200.44</v>
      </c>
      <c r="O13" s="114" t="str">
        <f ca="1" xml:space="preserve"> IF( $D13 &gt; 1, OFFSET( 'INPUTS│Performance Commitments'!$F$30, MATCH( $C13, 'INPUTS│Performance Commitments'!$C$30:$C$47, 0 ), MATCH( $N$4, 'INPUTS│Performance Commitments'!$G$3:$I$3, 0 ) ), "-" )</f>
        <v>-</v>
      </c>
      <c r="P13" s="114">
        <f xml:space="preserve"> _xlfn.IFNA( VLOOKUP( $C13, 'INPUTS│Performance Commitments'!$C$9:$I$26, MATCH( P$4, 'INPUTS│Performance Commitments'!$G$3:$I$3, 0 ) + 4, 0 ), "-" )</f>
        <v>203</v>
      </c>
      <c r="Q13" s="114" t="str">
        <f ca="1" xml:space="preserve"> IF( $D13 &gt; 1, OFFSET( 'INPUTS│Performance Commitments'!$F$9, MATCH( $C13, 'INPUTS│Performance Commitments'!$C$30:$C$47, 0 ), MATCH( $P$4, 'INPUTS│Performance Commitments'!$G$3:$I$3, 0 ) ), "-" )</f>
        <v>-</v>
      </c>
      <c r="R13" s="82" t="str">
        <f t="shared" si="1"/>
        <v>Met</v>
      </c>
      <c r="S13" s="82" t="str">
        <f t="shared" ca="1" si="1"/>
        <v>-</v>
      </c>
      <c r="T13" s="282">
        <f ca="1" xml:space="preserve"> IF( P13 = "-", "-", COUNTIF( R13:S13, "Met" ) / $D13 )</f>
        <v>1</v>
      </c>
      <c r="U13" s="51"/>
      <c r="V13" s="273">
        <f xml:space="preserve"> _xlfn.IFNA( VLOOKUP( $C13, 'INPUTS│Performance Commitments'!$C$30:$L$47, MATCH( V$4, 'INPUTS│Performance Commitments'!$K$3:$L$3, 0 ) + 8, 0 ), "-" )</f>
        <v>200.44</v>
      </c>
      <c r="W13" s="273" t="str">
        <f ca="1" xml:space="preserve"> IF( $D13 &gt; 1, OFFSET( 'INPUTS│Performance Commitments'!$J$30, MATCH( $C13, 'INPUTS│Performance Commitments'!$C$30:$C$47, 0 ), MATCH( $V$4, 'INPUTS│Performance Commitments'!$K$3:$L$3, 0 ) ), "-" )</f>
        <v>-</v>
      </c>
      <c r="X13" s="273">
        <f xml:space="preserve"> _xlfn.IFNA( VLOOKUP( $C13, 'INPUTS│Performance Commitments'!$C$9:$L$26, MATCH( X$4, 'INPUTS│Performance Commitments'!$K$3:$L$3, 0 ) + 8, 0 ), "-" )</f>
        <v>203</v>
      </c>
      <c r="Y13" s="273" t="str">
        <f ca="1" xml:space="preserve"> IF( $D13 &gt; 1, OFFSET( 'INPUTS│Performance Commitments'!$J$9, MATCH( $C13, 'INPUTS│Performance Commitments'!$C$30:$C$47, 0 ), MATCH( $X$4, 'INPUTS│Performance Commitments'!$K$3:$L$3, 0 ) ), "-" )</f>
        <v>-</v>
      </c>
    </row>
    <row r="14" spans="2:26" hidden="1" outlineLevel="1" x14ac:dyDescent="0.2">
      <c r="C14" s="8" t="s">
        <v>88</v>
      </c>
      <c r="D14" s="202">
        <f xml:space="preserve"> COUNTIF( 'INPUTS│Performance Commitments'!$C$9:$C$26, C14 )</f>
        <v>1</v>
      </c>
      <c r="F14" s="114" t="str">
        <f xml:space="preserve"> _xlfn.IFNA( VLOOKUP( $C14, 'INPUTS│Performance Commitments'!$C$30:$I$47, MATCH( F$4, 'INPUTS│Performance Commitments'!$G$3:$I$3, 0 ) + 4, 0 ), "-" )</f>
        <v>-</v>
      </c>
      <c r="G14" s="114" t="str">
        <f ca="1" xml:space="preserve"> IF( $D14 &gt; 1, OFFSET( 'INPUTS│Performance Commitments'!$F$30, MATCH( $C14, 'INPUTS│Performance Commitments'!$C$30:$C$47, 0 ), MATCH( $F$4, 'INPUTS│Performance Commitments'!$G$3:$I$3, 0 ) ), "-" )</f>
        <v>-</v>
      </c>
      <c r="H14" s="114" t="str">
        <f xml:space="preserve"> _xlfn.IFNA( VLOOKUP( $C14, 'INPUTS│Performance Commitments'!$C$9:$I$26, MATCH( H$4, 'INPUTS│Performance Commitments'!$G$3:$I$3, 0 ) + 4, 0 ), "-" )</f>
        <v>-</v>
      </c>
      <c r="I14" s="114" t="str">
        <f ca="1" xml:space="preserve"> IF( $D14 &gt; 1, OFFSET( 'INPUTS│Performance Commitments'!$F$9, MATCH( $C14, 'INPUTS│Performance Commitments'!$C$30:$C$47, 0 ), MATCH( $H$4, 'INPUTS│Performance Commitments'!$G$3:$I$3, 0 ) ), "-" )</f>
        <v>-</v>
      </c>
      <c r="J14" s="82" t="str">
        <f t="shared" si="0"/>
        <v>-</v>
      </c>
      <c r="K14" s="82" t="str">
        <f t="shared" ca="1" si="0"/>
        <v>-</v>
      </c>
      <c r="L14" s="282" t="str">
        <f xml:space="preserve"> IF( H14 = "-", "-", COUNTIF( J14:K14, "Met" ) / $D14 )</f>
        <v>-</v>
      </c>
      <c r="N14" s="114">
        <f xml:space="preserve"> _xlfn.IFNA( VLOOKUP( $C14, 'INPUTS│Performance Commitments'!$C$30:$I$47, MATCH( N$4, 'INPUTS│Performance Commitments'!$G$3:$I$3, 0 ) + 4, 0 ), "-" )</f>
        <v>424.36652485424281</v>
      </c>
      <c r="O14" s="114" t="str">
        <f ca="1" xml:space="preserve"> IF( $D14 &gt; 1, OFFSET( 'INPUTS│Performance Commitments'!$F$30, MATCH( $C14, 'INPUTS│Performance Commitments'!$C$30:$C$47, 0 ), MATCH( $N$4, 'INPUTS│Performance Commitments'!$G$3:$I$3, 0 ) ), "-" )</f>
        <v>-</v>
      </c>
      <c r="P14" s="114">
        <f xml:space="preserve"> _xlfn.IFNA( VLOOKUP( $C14, 'INPUTS│Performance Commitments'!$C$9:$I$26, MATCH( P$4, 'INPUTS│Performance Commitments'!$G$3:$I$3, 0 ) + 4, 0 ), "-" )</f>
        <v>428.02</v>
      </c>
      <c r="Q14" s="114" t="str">
        <f ca="1" xml:space="preserve"> IF( $D14 &gt; 1, OFFSET( 'INPUTS│Performance Commitments'!$F$9, MATCH( $C14, 'INPUTS│Performance Commitments'!$C$30:$C$47, 0 ), MATCH( $P$4, 'INPUTS│Performance Commitments'!$G$3:$I$3, 0 ) ), "-" )</f>
        <v>-</v>
      </c>
      <c r="R14" s="82" t="str">
        <f t="shared" si="1"/>
        <v>Met</v>
      </c>
      <c r="S14" s="82" t="str">
        <f t="shared" ca="1" si="1"/>
        <v>-</v>
      </c>
      <c r="T14" s="282">
        <f ca="1" xml:space="preserve"> IF( P14 = "-", "-", COUNTIF( R14:S14, "Met" ) / $D14 )</f>
        <v>1</v>
      </c>
      <c r="U14" s="51"/>
      <c r="V14" s="273">
        <f xml:space="preserve"> _xlfn.IFNA( VLOOKUP( $C14, 'INPUTS│Performance Commitments'!$C$30:$L$47, MATCH( V$4, 'INPUTS│Performance Commitments'!$K$3:$L$3, 0 ) + 8, 0 ), "-" )</f>
        <v>424.36652485424281</v>
      </c>
      <c r="W14" s="273" t="str">
        <f ca="1" xml:space="preserve"> IF( $D14 &gt; 1, OFFSET( 'INPUTS│Performance Commitments'!$J$30, MATCH( $C14, 'INPUTS│Performance Commitments'!$C$30:$C$47, 0 ), MATCH( $V$4, 'INPUTS│Performance Commitments'!$K$3:$L$3, 0 ) ), "-" )</f>
        <v>-</v>
      </c>
      <c r="X14" s="273">
        <f xml:space="preserve"> _xlfn.IFNA( VLOOKUP( $C14, 'INPUTS│Performance Commitments'!$C$9:$L$26, MATCH( X$4, 'INPUTS│Performance Commitments'!$K$3:$L$3, 0 ) + 8, 0 ), "-" )</f>
        <v>428.02</v>
      </c>
      <c r="Y14" s="273" t="str">
        <f ca="1" xml:space="preserve"> IF( $D14 &gt; 1, OFFSET( 'INPUTS│Performance Commitments'!$J$9, MATCH( $C14, 'INPUTS│Performance Commitments'!$C$30:$C$47, 0 ), MATCH( $X$4, 'INPUTS│Performance Commitments'!$K$3:$L$3, 0 ) ), "-" )</f>
        <v>-</v>
      </c>
    </row>
    <row r="15" spans="2:26" hidden="1" outlineLevel="1" x14ac:dyDescent="0.2">
      <c r="C15" s="8" t="s">
        <v>90</v>
      </c>
      <c r="D15" s="97">
        <f xml:space="preserve"> SUM( D28, D29 )</f>
        <v>2</v>
      </c>
      <c r="F15" s="91">
        <f>F28</f>
        <v>83</v>
      </c>
      <c r="G15" s="91">
        <f>F29</f>
        <v>19.11</v>
      </c>
      <c r="H15" s="91">
        <f>H28</f>
        <v>84</v>
      </c>
      <c r="I15" s="91" t="str">
        <f>H29</f>
        <v>-</v>
      </c>
      <c r="J15" s="91" t="str">
        <f>J28</f>
        <v>Met</v>
      </c>
      <c r="K15" s="91" t="str">
        <f>J29</f>
        <v>-</v>
      </c>
      <c r="L15" s="282">
        <f ca="1" xml:space="preserve"> IF( OR( L28 = "-", L29 = "-" ), MAX( L28:L29 ), SUM( L28:L29 ) / 2 )</f>
        <v>1</v>
      </c>
      <c r="N15" s="91">
        <f>N28</f>
        <v>84</v>
      </c>
      <c r="O15" s="91">
        <f>N29</f>
        <v>18.279320362470102</v>
      </c>
      <c r="P15" s="91">
        <f>P28</f>
        <v>84</v>
      </c>
      <c r="Q15" s="91" t="str">
        <f>P29</f>
        <v>-</v>
      </c>
      <c r="R15" s="91" t="str">
        <f>R28</f>
        <v>Met</v>
      </c>
      <c r="S15" s="91" t="str">
        <f>R29</f>
        <v>-</v>
      </c>
      <c r="T15" s="282">
        <f ca="1" xml:space="preserve"> IF( OR( T28 = "-", T29 = "-" ), MAX( T28:T29 ), SUM( T28:T29 ) / 2 )</f>
        <v>1</v>
      </c>
      <c r="U15" s="51"/>
      <c r="V15" s="273">
        <f>V28</f>
        <v>84</v>
      </c>
      <c r="W15" s="273">
        <f>V29</f>
        <v>18.279320362470102</v>
      </c>
      <c r="X15" s="273">
        <f>X28</f>
        <v>84</v>
      </c>
      <c r="Y15" s="273" t="str">
        <f>X29</f>
        <v>-</v>
      </c>
    </row>
    <row r="16" spans="2:26" hidden="1" outlineLevel="1" x14ac:dyDescent="0.2">
      <c r="C16" s="8" t="s">
        <v>93</v>
      </c>
      <c r="D16" s="202">
        <f xml:space="preserve"> COUNTIF( 'INPUTS│Performance Commitments'!$C$9:$C$26, C16 )</f>
        <v>1</v>
      </c>
      <c r="F16" s="114">
        <f xml:space="preserve"> _xlfn.IFNA( VLOOKUP( $C16, 'INPUTS│Performance Commitments'!$C$30:$I$47, MATCH( F$4, 'INPUTS│Performance Commitments'!$G$3:$I$3, 0 ) + 4, 0 ), "-" )</f>
        <v>88.7</v>
      </c>
      <c r="G16" s="114" t="str">
        <f ca="1" xml:space="preserve"> IF( $D16 &gt; 1, OFFSET( 'INPUTS│Performance Commitments'!$F$30, MATCH( $C16, 'INPUTS│Performance Commitments'!$C$30:$C$47, 0 ), MATCH( $F$4, 'INPUTS│Performance Commitments'!$G$3:$I$3, 0 ) ), "-" )</f>
        <v>-</v>
      </c>
      <c r="H16" s="114" t="str">
        <f xml:space="preserve"> _xlfn.IFNA( VLOOKUP( $C16, 'INPUTS│Performance Commitments'!$C$9:$I$26, MATCH( H$4, 'INPUTS│Performance Commitments'!$G$3:$I$3, 0 ) + 4, 0 ), "-" )</f>
        <v>-</v>
      </c>
      <c r="I16" s="114" t="str">
        <f ca="1" xml:space="preserve"> IF( $D16 &gt; 1, OFFSET( 'INPUTS│Performance Commitments'!$F$9, MATCH( $C16, 'INPUTS│Performance Commitments'!$C$30:$C$47, 0 ), MATCH( $H$4, 'INPUTS│Performance Commitments'!$G$3:$I$3, 0 ) ), "-" )</f>
        <v>-</v>
      </c>
      <c r="J16" s="82" t="str">
        <f t="shared" ref="J16:J25" si="2" xml:space="preserve"> IF( H16 &lt;&gt; "-", IF( F16 &lt;= H16, "Met", "Failed" ), "-" )</f>
        <v>-</v>
      </c>
      <c r="K16" s="82" t="str">
        <f t="shared" ref="K16:K25" ca="1" si="3" xml:space="preserve"> IF( I16 &lt;&gt; "-", IF( G16 &lt;= I16, "Met", "Failed" ), "-" )</f>
        <v>-</v>
      </c>
      <c r="L16" s="282" t="str">
        <f xml:space="preserve"> IF( H16 = "-", "-", COUNTIF( J16:K16, "Met" ) / $D16 )</f>
        <v>-</v>
      </c>
      <c r="N16" s="114">
        <f xml:space="preserve"> _xlfn.IFNA( VLOOKUP( $C16, 'INPUTS│Performance Commitments'!$C$30:$I$47, MATCH( N$4, 'INPUTS│Performance Commitments'!$G$3:$I$3, 0 ) + 4, 0 ), "-" )</f>
        <v>101.8</v>
      </c>
      <c r="O16" s="114" t="str">
        <f ca="1" xml:space="preserve"> IF( $D16 &gt; 1, OFFSET( 'INPUTS│Performance Commitments'!$F$30, MATCH( $C16, 'INPUTS│Performance Commitments'!$C$30:$C$47, 0 ), MATCH( $N$4, 'INPUTS│Performance Commitments'!$G$3:$I$3, 0 ) ), "-" )</f>
        <v>-</v>
      </c>
      <c r="P16" s="114" t="str">
        <f xml:space="preserve"> _xlfn.IFNA( VLOOKUP( $C16, 'INPUTS│Performance Commitments'!$C$9:$I$26, MATCH( P$4, 'INPUTS│Performance Commitments'!$G$3:$I$3, 0 ) + 4, 0 ), "-" )</f>
        <v>-</v>
      </c>
      <c r="Q16" s="114" t="str">
        <f ca="1" xml:space="preserve"> IF( $D16 &gt; 1, OFFSET( 'INPUTS│Performance Commitments'!$F$9, MATCH( $C16, 'INPUTS│Performance Commitments'!$C$30:$C$47, 0 ), MATCH( $P$4, 'INPUTS│Performance Commitments'!$G$3:$I$3, 0 ) ), "-" )</f>
        <v>-</v>
      </c>
      <c r="R16" s="82" t="str">
        <f t="shared" ref="R16:R25" si="4" xml:space="preserve"> IF( P16 &lt;&gt; "-", IF( N16 &lt;= P16, "Met", "Failed" ), "-" )</f>
        <v>-</v>
      </c>
      <c r="S16" s="82" t="str">
        <f t="shared" ref="S16:S25" ca="1" si="5" xml:space="preserve"> IF( Q16 &lt;&gt; "-", IF( O16 &lt;= Q16, "Met", "Failed" ), "-" )</f>
        <v>-</v>
      </c>
      <c r="T16" s="282" t="str">
        <f xml:space="preserve"> IF( P16 = "-", "-", COUNTIF( R16:S16, "Met" ) / $D16 )</f>
        <v>-</v>
      </c>
      <c r="U16" s="51"/>
      <c r="V16" s="273">
        <f xml:space="preserve"> _xlfn.IFNA( VLOOKUP( $C16, 'INPUTS│Performance Commitments'!$C$30:$L$47, MATCH( V$4, 'INPUTS│Performance Commitments'!$K$3:$L$3, 0 ) + 8, 0 ), "-" )</f>
        <v>101.8</v>
      </c>
      <c r="W16" s="273" t="str">
        <f ca="1" xml:space="preserve"> IF( $D16 &gt; 1, OFFSET( 'INPUTS│Performance Commitments'!$J$30, MATCH( $C16, 'INPUTS│Performance Commitments'!$C$30:$C$47, 0 ), MATCH( $V$4, 'INPUTS│Performance Commitments'!$K$3:$L$3, 0 ) ), "-" )</f>
        <v>-</v>
      </c>
      <c r="X16" s="273" t="str">
        <f xml:space="preserve"> _xlfn.IFNA( VLOOKUP( $C16, 'INPUTS│Performance Commitments'!$C$9:$L$26, MATCH( X$4, 'INPUTS│Performance Commitments'!$K$3:$L$3, 0 ) + 8, 0 ), "-" )</f>
        <v>-</v>
      </c>
      <c r="Y16" s="273" t="str">
        <f ca="1" xml:space="preserve"> IF( $D16 &gt; 1, OFFSET( 'INPUTS│Performance Commitments'!$J$9, MATCH( $C16, 'INPUTS│Performance Commitments'!$C$30:$C$47, 0 ), MATCH( $X$4, 'INPUTS│Performance Commitments'!$K$3:$L$3, 0 ) ), "-" )</f>
        <v>-</v>
      </c>
    </row>
    <row r="17" spans="2:26" hidden="1" outlineLevel="1" x14ac:dyDescent="0.2">
      <c r="C17" s="8" t="s">
        <v>95</v>
      </c>
      <c r="D17" s="202">
        <f xml:space="preserve"> COUNTIF( 'INPUTS│Performance Commitments'!$C$9:$C$26, C17 )</f>
        <v>1</v>
      </c>
      <c r="F17" s="114">
        <f xml:space="preserve"> _xlfn.IFNA( VLOOKUP( $C17, 'INPUTS│Performance Commitments'!$C$30:$I$47, MATCH( F$4, 'INPUTS│Performance Commitments'!$G$3:$I$3, 0 ) + 4, 0 ), "-" )</f>
        <v>695</v>
      </c>
      <c r="G17" s="114" t="str">
        <f ca="1" xml:space="preserve"> IF( $D17 &gt; 1, OFFSET( 'INPUTS│Performance Commitments'!$F$30, MATCH( $C17, 'INPUTS│Performance Commitments'!$C$30:$C$47, 0 ), MATCH( $F$4, 'INPUTS│Performance Commitments'!$G$3:$I$3, 0 ) ), "-" )</f>
        <v>-</v>
      </c>
      <c r="H17" s="114">
        <f xml:space="preserve"> _xlfn.IFNA( VLOOKUP( $C17, 'INPUTS│Performance Commitments'!$C$9:$I$26, MATCH( H$4, 'INPUTS│Performance Commitments'!$G$3:$I$3, 0 ) + 4, 0 ), "-" )</f>
        <v>620</v>
      </c>
      <c r="I17" s="114" t="str">
        <f ca="1" xml:space="preserve"> IF( $D17 &gt; 1, OFFSET( 'INPUTS│Performance Commitments'!$F$9, MATCH( $C17, 'INPUTS│Performance Commitments'!$C$30:$C$47, 0 ), MATCH( $H$4, 'INPUTS│Performance Commitments'!$G$3:$I$3, 0 ) ), "-" )</f>
        <v>-</v>
      </c>
      <c r="J17" s="82" t="str">
        <f t="shared" si="2"/>
        <v>Failed</v>
      </c>
      <c r="K17" s="82" t="str">
        <f t="shared" ca="1" si="3"/>
        <v>-</v>
      </c>
      <c r="L17" s="282">
        <f t="shared" ref="L17:L25" ca="1" si="6" xml:space="preserve"> IF( H17 = "-", "-", COUNTIF( J17:K17, "Met" ) / $D17 )</f>
        <v>0</v>
      </c>
      <c r="N17" s="114">
        <f xml:space="preserve"> _xlfn.IFNA( VLOOKUP( $C17, 'INPUTS│Performance Commitments'!$C$30:$I$47, MATCH( N$4, 'INPUTS│Performance Commitments'!$G$3:$I$3, 0 ) + 4, 0 ), "-" )</f>
        <v>690</v>
      </c>
      <c r="O17" s="114" t="str">
        <f ca="1" xml:space="preserve"> IF( $D17 &gt; 1, OFFSET( 'INPUTS│Performance Commitments'!$F$30, MATCH( $C17, 'INPUTS│Performance Commitments'!$C$30:$C$47, 0 ), MATCH( $N$4, 'INPUTS│Performance Commitments'!$G$3:$I$3, 0 ) ), "-" )</f>
        <v>-</v>
      </c>
      <c r="P17" s="114">
        <f xml:space="preserve"> _xlfn.IFNA( VLOOKUP( $C17, 'INPUTS│Performance Commitments'!$C$9:$I$26, MATCH( P$4, 'INPUTS│Performance Commitments'!$G$3:$I$3, 0 ) + 4, 0 ), "-" )</f>
        <v>612</v>
      </c>
      <c r="Q17" s="114" t="str">
        <f ca="1" xml:space="preserve"> IF( $D17 &gt; 1, OFFSET( 'INPUTS│Performance Commitments'!$F$9, MATCH( $C17, 'INPUTS│Performance Commitments'!$C$30:$C$47, 0 ), MATCH( $P$4, 'INPUTS│Performance Commitments'!$G$3:$I$3, 0 ) ), "-" )</f>
        <v>-</v>
      </c>
      <c r="R17" s="82" t="str">
        <f t="shared" si="4"/>
        <v>Failed</v>
      </c>
      <c r="S17" s="82" t="str">
        <f t="shared" ca="1" si="5"/>
        <v>-</v>
      </c>
      <c r="T17" s="282">
        <f t="shared" ref="T17:T25" ca="1" si="7" xml:space="preserve"> IF( P17 = "-", "-", COUNTIF( R17:S17, "Met" ) / $D17 )</f>
        <v>0</v>
      </c>
      <c r="U17" s="51"/>
      <c r="V17" s="273">
        <f xml:space="preserve"> _xlfn.IFNA( VLOOKUP( $C17, 'INPUTS│Performance Commitments'!$C$30:$L$47, MATCH( V$4, 'INPUTS│Performance Commitments'!$K$3:$L$3, 0 ) + 8, 0 ), "-" )</f>
        <v>690</v>
      </c>
      <c r="W17" s="273" t="str">
        <f ca="1" xml:space="preserve"> IF( $D17 &gt; 1, OFFSET( 'INPUTS│Performance Commitments'!$J$30, MATCH( $C17, 'INPUTS│Performance Commitments'!$C$30:$C$47, 0 ), MATCH( $V$4, 'INPUTS│Performance Commitments'!$K$3:$L$3, 0 ) ), "-" )</f>
        <v>-</v>
      </c>
      <c r="X17" s="273">
        <f xml:space="preserve"> _xlfn.IFNA( VLOOKUP( $C17, 'INPUTS│Performance Commitments'!$C$9:$L$26, MATCH( X$4, 'INPUTS│Performance Commitments'!$K$3:$L$3, 0 ) + 8, 0 ), "-" )</f>
        <v>612</v>
      </c>
      <c r="Y17" s="273" t="str">
        <f ca="1" xml:space="preserve"> IF( $D17 &gt; 1, OFFSET( 'INPUTS│Performance Commitments'!$J$9, MATCH( $C17, 'INPUTS│Performance Commitments'!$C$30:$C$47, 0 ), MATCH( $X$4, 'INPUTS│Performance Commitments'!$K$3:$L$3, 0 ) ), "-" )</f>
        <v>-</v>
      </c>
    </row>
    <row r="18" spans="2:26" hidden="1" outlineLevel="1" x14ac:dyDescent="0.2">
      <c r="C18" s="8" t="s">
        <v>97</v>
      </c>
      <c r="D18" s="202">
        <f xml:space="preserve"> COUNTIF( 'INPUTS│Performance Commitments'!$C$9:$C$26, C18 )</f>
        <v>1</v>
      </c>
      <c r="F18" s="114">
        <f xml:space="preserve"> _xlfn.IFNA( VLOOKUP( $C18, 'INPUTS│Performance Commitments'!$C$30:$I$47, MATCH( F$4, 'INPUTS│Performance Commitments'!$G$3:$I$3, 0 ) + 4, 0 ), "-" )</f>
        <v>453.54999999999995</v>
      </c>
      <c r="G18" s="114" t="str">
        <f ca="1" xml:space="preserve"> IF( $D18 &gt; 1, OFFSET( 'INPUTS│Performance Commitments'!$F$30, MATCH( $C18, 'INPUTS│Performance Commitments'!$C$30:$C$47, 0 ), MATCH( $F$4, 'INPUTS│Performance Commitments'!$G$3:$I$3, 0 ) ), "-" )</f>
        <v>-</v>
      </c>
      <c r="H18" s="114">
        <f xml:space="preserve"> _xlfn.IFNA( VLOOKUP( $C18, 'INPUTS│Performance Commitments'!$C$9:$I$26, MATCH( H$4, 'INPUTS│Performance Commitments'!$G$3:$I$3, 0 ) + 4, 0 ), "-" )</f>
        <v>462.65</v>
      </c>
      <c r="I18" s="114" t="str">
        <f ca="1" xml:space="preserve"> IF( $D18 &gt; 1, OFFSET( 'INPUTS│Performance Commitments'!$F$9, MATCH( $C18, 'INPUTS│Performance Commitments'!$C$30:$C$47, 0 ), MATCH( $H$4, 'INPUTS│Performance Commitments'!$G$3:$I$3, 0 ) ), "-" )</f>
        <v>-</v>
      </c>
      <c r="J18" s="82" t="str">
        <f t="shared" si="2"/>
        <v>Met</v>
      </c>
      <c r="K18" s="82" t="str">
        <f t="shared" ca="1" si="3"/>
        <v>-</v>
      </c>
      <c r="L18" s="282">
        <f t="shared" ca="1" si="6"/>
        <v>1</v>
      </c>
      <c r="N18" s="114">
        <f xml:space="preserve"> _xlfn.IFNA( VLOOKUP( $C18, 'INPUTS│Performance Commitments'!$C$30:$I$47, MATCH( N$4, 'INPUTS│Performance Commitments'!$G$3:$I$3, 0 ) + 4, 0 ), "-" )</f>
        <v>455.95</v>
      </c>
      <c r="O18" s="114" t="str">
        <f ca="1" xml:space="preserve"> IF( $D18 &gt; 1, OFFSET( 'INPUTS│Performance Commitments'!$F$30, MATCH( $C18, 'INPUTS│Performance Commitments'!$C$30:$C$47, 0 ), MATCH( $N$4, 'INPUTS│Performance Commitments'!$G$3:$I$3, 0 ) ), "-" )</f>
        <v>-</v>
      </c>
      <c r="P18" s="114">
        <f xml:space="preserve"> _xlfn.IFNA( VLOOKUP( $C18, 'INPUTS│Performance Commitments'!$C$9:$I$26, MATCH( P$4, 'INPUTS│Performance Commitments'!$G$3:$I$3, 0 ) + 4, 0 ), "-" )</f>
        <v>462.65</v>
      </c>
      <c r="Q18" s="114" t="str">
        <f ca="1" xml:space="preserve"> IF( $D18 &gt; 1, OFFSET( 'INPUTS│Performance Commitments'!$F$9, MATCH( $C18, 'INPUTS│Performance Commitments'!$C$30:$C$47, 0 ), MATCH( $P$4, 'INPUTS│Performance Commitments'!$G$3:$I$3, 0 ) ), "-" )</f>
        <v>-</v>
      </c>
      <c r="R18" s="82" t="str">
        <f t="shared" si="4"/>
        <v>Met</v>
      </c>
      <c r="S18" s="82" t="str">
        <f t="shared" ca="1" si="5"/>
        <v>-</v>
      </c>
      <c r="T18" s="282">
        <f t="shared" ca="1" si="7"/>
        <v>1</v>
      </c>
      <c r="U18" s="51"/>
      <c r="V18" s="273">
        <f xml:space="preserve"> _xlfn.IFNA( VLOOKUP( $C18, 'INPUTS│Performance Commitments'!$C$30:$L$47, MATCH( V$4, 'INPUTS│Performance Commitments'!$K$3:$L$3, 0 ) + 8, 0 ), "-" )</f>
        <v>455.95</v>
      </c>
      <c r="W18" s="273" t="str">
        <f ca="1" xml:space="preserve"> IF( $D18 &gt; 1, OFFSET( 'INPUTS│Performance Commitments'!$J$30, MATCH( $C18, 'INPUTS│Performance Commitments'!$C$30:$C$47, 0 ), MATCH( $V$4, 'INPUTS│Performance Commitments'!$K$3:$L$3, 0 ) ), "-" )</f>
        <v>-</v>
      </c>
      <c r="X18" s="273">
        <f xml:space="preserve"> _xlfn.IFNA( VLOOKUP( $C18, 'INPUTS│Performance Commitments'!$C$9:$L$26, MATCH( X$4, 'INPUTS│Performance Commitments'!$K$3:$L$3, 0 ) + 8, 0 ), "-" )</f>
        <v>462.65</v>
      </c>
      <c r="Y18" s="273" t="str">
        <f ca="1" xml:space="preserve"> IF( $D18 &gt; 1, OFFSET( 'INPUTS│Performance Commitments'!$J$9, MATCH( $C18, 'INPUTS│Performance Commitments'!$C$30:$C$47, 0 ), MATCH( $X$4, 'INPUTS│Performance Commitments'!$K$3:$L$3, 0 ) ), "-" )</f>
        <v>-</v>
      </c>
    </row>
    <row r="19" spans="2:26" hidden="1" outlineLevel="1" x14ac:dyDescent="0.2">
      <c r="C19" s="8" t="s">
        <v>99</v>
      </c>
      <c r="D19" s="202">
        <f xml:space="preserve"> COUNTIF( 'INPUTS│Performance Commitments'!$C$9:$C$26, C19 )</f>
        <v>1</v>
      </c>
      <c r="F19" s="114">
        <f xml:space="preserve"> _xlfn.IFNA( VLOOKUP( $C19, 'INPUTS│Performance Commitments'!$C$30:$I$47, MATCH( F$4, 'INPUTS│Performance Commitments'!$G$3:$I$3, 0 ) + 4, 0 ), "-" )</f>
        <v>67.7</v>
      </c>
      <c r="G19" s="114" t="str">
        <f ca="1" xml:space="preserve"> IF( $D19 &gt; 1, OFFSET( 'INPUTS│Performance Commitments'!$F$30, MATCH( $C19, 'INPUTS│Performance Commitments'!$C$30:$C$47, 0 ), MATCH( $F$4, 'INPUTS│Performance Commitments'!$G$3:$I$3, 0 ) ), "-" )</f>
        <v>-</v>
      </c>
      <c r="H19" s="114">
        <f xml:space="preserve"> _xlfn.IFNA( VLOOKUP( $C19, 'INPUTS│Performance Commitments'!$C$9:$I$26, MATCH( H$4, 'INPUTS│Performance Commitments'!$G$3:$I$3, 0 ) + 4, 0 ), "-" )</f>
        <v>67.900000000000006</v>
      </c>
      <c r="I19" s="114" t="str">
        <f ca="1" xml:space="preserve"> IF( $D19 &gt; 1, OFFSET( 'INPUTS│Performance Commitments'!$F$9, MATCH( $C19, 'INPUTS│Performance Commitments'!$C$30:$C$47, 0 ), MATCH( $H$4, 'INPUTS│Performance Commitments'!$G$3:$I$3, 0 ) ), "-" )</f>
        <v>-</v>
      </c>
      <c r="J19" s="82" t="str">
        <f t="shared" si="2"/>
        <v>Met</v>
      </c>
      <c r="K19" s="82" t="str">
        <f t="shared" ca="1" si="3"/>
        <v>-</v>
      </c>
      <c r="L19" s="282">
        <f t="shared" ca="1" si="6"/>
        <v>1</v>
      </c>
      <c r="N19" s="114">
        <f xml:space="preserve"> _xlfn.IFNA( VLOOKUP( $C19, 'INPUTS│Performance Commitments'!$C$30:$I$47, MATCH( N$4, 'INPUTS│Performance Commitments'!$G$3:$I$3, 0 ) + 4, 0 ), "-" )</f>
        <v>66.400000000000006</v>
      </c>
      <c r="O19" s="114" t="str">
        <f ca="1" xml:space="preserve"> IF( $D19 &gt; 1, OFFSET( 'INPUTS│Performance Commitments'!$F$30, MATCH( $C19, 'INPUTS│Performance Commitments'!$C$30:$C$47, 0 ), MATCH( $N$4, 'INPUTS│Performance Commitments'!$G$3:$I$3, 0 ) ), "-" )</f>
        <v>-</v>
      </c>
      <c r="P19" s="114">
        <f xml:space="preserve"> _xlfn.IFNA( VLOOKUP( $C19, 'INPUTS│Performance Commitments'!$C$9:$I$26, MATCH( P$4, 'INPUTS│Performance Commitments'!$G$3:$I$3, 0 ) + 4, 0 ), "-" )</f>
        <v>67.2</v>
      </c>
      <c r="Q19" s="114" t="str">
        <f ca="1" xml:space="preserve"> IF( $D19 &gt; 1, OFFSET( 'INPUTS│Performance Commitments'!$F$9, MATCH( $C19, 'INPUTS│Performance Commitments'!$C$30:$C$47, 0 ), MATCH( $P$4, 'INPUTS│Performance Commitments'!$G$3:$I$3, 0 ) ), "-" )</f>
        <v>-</v>
      </c>
      <c r="R19" s="82" t="str">
        <f t="shared" si="4"/>
        <v>Met</v>
      </c>
      <c r="S19" s="82" t="str">
        <f t="shared" ca="1" si="5"/>
        <v>-</v>
      </c>
      <c r="T19" s="282">
        <f t="shared" ca="1" si="7"/>
        <v>1</v>
      </c>
      <c r="U19" s="51"/>
      <c r="V19" s="273">
        <f xml:space="preserve"> _xlfn.IFNA( VLOOKUP( $C19, 'INPUTS│Performance Commitments'!$C$30:$L$47, MATCH( V$4, 'INPUTS│Performance Commitments'!$K$3:$L$3, 0 ) + 8, 0 ), "-" )</f>
        <v>66.400000000000006</v>
      </c>
      <c r="W19" s="273" t="str">
        <f ca="1" xml:space="preserve"> IF( $D19 &gt; 1, OFFSET( 'INPUTS│Performance Commitments'!$J$30, MATCH( $C19, 'INPUTS│Performance Commitments'!$C$30:$C$47, 0 ), MATCH( $V$4, 'INPUTS│Performance Commitments'!$K$3:$L$3, 0 ) ), "-" )</f>
        <v>-</v>
      </c>
      <c r="X19" s="273">
        <f xml:space="preserve"> _xlfn.IFNA( VLOOKUP( $C19, 'INPUTS│Performance Commitments'!$C$9:$L$26, MATCH( X$4, 'INPUTS│Performance Commitments'!$K$3:$L$3, 0 ) + 8, 0 ), "-" )</f>
        <v>67.2</v>
      </c>
      <c r="Y19" s="273" t="str">
        <f ca="1" xml:space="preserve"> IF( $D19 &gt; 1, OFFSET( 'INPUTS│Performance Commitments'!$J$9, MATCH( $C19, 'INPUTS│Performance Commitments'!$C$30:$C$47, 0 ), MATCH( $X$4, 'INPUTS│Performance Commitments'!$K$3:$L$3, 0 ) ), "-" )</f>
        <v>-</v>
      </c>
    </row>
    <row r="20" spans="2:26" hidden="1" outlineLevel="1" x14ac:dyDescent="0.2">
      <c r="C20" s="8" t="s">
        <v>101</v>
      </c>
      <c r="D20" s="202">
        <f xml:space="preserve"> COUNTIF( 'INPUTS│Performance Commitments'!$C$9:$C$26, C20 )</f>
        <v>1</v>
      </c>
      <c r="F20" s="114">
        <f xml:space="preserve"> _xlfn.IFNA( VLOOKUP( $C20, 'INPUTS│Performance Commitments'!$C$30:$I$47, MATCH( F$4, 'INPUTS│Performance Commitments'!$G$3:$I$3, 0 ) + 4, 0 ), "-" )</f>
        <v>300.27999999999997</v>
      </c>
      <c r="G20" s="114" t="str">
        <f ca="1" xml:space="preserve"> IF( $D20 &gt; 1, OFFSET( 'INPUTS│Performance Commitments'!$F$30, MATCH( $C20, 'INPUTS│Performance Commitments'!$C$30:$C$47, 0 ), MATCH( $F$4, 'INPUTS│Performance Commitments'!$G$3:$I$3, 0 ) ), "-" )</f>
        <v>-</v>
      </c>
      <c r="H20" s="114">
        <f xml:space="preserve"> _xlfn.IFNA( VLOOKUP( $C20, 'INPUTS│Performance Commitments'!$C$9:$I$26, MATCH( H$4, 'INPUTS│Performance Commitments'!$G$3:$I$3, 0 ) + 4, 0 ), "-" )</f>
        <v>297.10000000000002</v>
      </c>
      <c r="I20" s="114" t="str">
        <f ca="1" xml:space="preserve"> IF( $D20 &gt; 1, OFFSET( 'INPUTS│Performance Commitments'!$F$9, MATCH( $C20, 'INPUTS│Performance Commitments'!$C$30:$C$47, 0 ), MATCH( $H$4, 'INPUTS│Performance Commitments'!$G$3:$I$3, 0 ) ), "-" )</f>
        <v>-</v>
      </c>
      <c r="J20" s="82" t="str">
        <f t="shared" si="2"/>
        <v>Failed</v>
      </c>
      <c r="K20" s="82" t="str">
        <f t="shared" ca="1" si="3"/>
        <v>-</v>
      </c>
      <c r="L20" s="282">
        <f t="shared" ca="1" si="6"/>
        <v>0</v>
      </c>
      <c r="N20" s="114">
        <f xml:space="preserve"> _xlfn.IFNA( VLOOKUP( $C20, 'INPUTS│Performance Commitments'!$C$30:$I$47, MATCH( N$4, 'INPUTS│Performance Commitments'!$G$3:$I$3, 0 ) + 4, 0 ), "-" )</f>
        <v>289.8</v>
      </c>
      <c r="O20" s="114" t="str">
        <f ca="1" xml:space="preserve"> IF( $D20 &gt; 1, OFFSET( 'INPUTS│Performance Commitments'!$F$30, MATCH( $C20, 'INPUTS│Performance Commitments'!$C$30:$C$47, 0 ), MATCH( $N$4, 'INPUTS│Performance Commitments'!$G$3:$I$3, 0 ) ), "-" )</f>
        <v>-</v>
      </c>
      <c r="P20" s="114">
        <f xml:space="preserve"> _xlfn.IFNA( VLOOKUP( $C20, 'INPUTS│Performance Commitments'!$C$9:$I$26, MATCH( P$4, 'INPUTS│Performance Commitments'!$G$3:$I$3, 0 ) + 4, 0 ), "-" )</f>
        <v>292.10000000000002</v>
      </c>
      <c r="Q20" s="114" t="str">
        <f ca="1" xml:space="preserve"> IF( $D20 &gt; 1, OFFSET( 'INPUTS│Performance Commitments'!$F$9, MATCH( $C20, 'INPUTS│Performance Commitments'!$C$30:$C$47, 0 ), MATCH( $P$4, 'INPUTS│Performance Commitments'!$G$3:$I$3, 0 ) ), "-" )</f>
        <v>-</v>
      </c>
      <c r="R20" s="82" t="str">
        <f t="shared" si="4"/>
        <v>Met</v>
      </c>
      <c r="S20" s="82" t="str">
        <f t="shared" ca="1" si="5"/>
        <v>-</v>
      </c>
      <c r="T20" s="282">
        <f t="shared" ca="1" si="7"/>
        <v>1</v>
      </c>
      <c r="U20" s="51"/>
      <c r="V20" s="273">
        <f xml:space="preserve"> _xlfn.IFNA( VLOOKUP( $C20, 'INPUTS│Performance Commitments'!$C$30:$L$47, MATCH( V$4, 'INPUTS│Performance Commitments'!$K$3:$L$3, 0 ) + 8, 0 ), "-" )</f>
        <v>289.8</v>
      </c>
      <c r="W20" s="273" t="str">
        <f ca="1" xml:space="preserve"> IF( $D20 &gt; 1, OFFSET( 'INPUTS│Performance Commitments'!$J$30, MATCH( $C20, 'INPUTS│Performance Commitments'!$C$30:$C$47, 0 ), MATCH( $V$4, 'INPUTS│Performance Commitments'!$K$3:$L$3, 0 ) ), "-" )</f>
        <v>-</v>
      </c>
      <c r="X20" s="273">
        <f xml:space="preserve"> _xlfn.IFNA( VLOOKUP( $C20, 'INPUTS│Performance Commitments'!$C$9:$L$26, MATCH( X$4, 'INPUTS│Performance Commitments'!$K$3:$L$3, 0 ) + 8, 0 ), "-" )</f>
        <v>292.10000000000002</v>
      </c>
      <c r="Y20" s="273" t="str">
        <f ca="1" xml:space="preserve"> IF( $D20 &gt; 1, OFFSET( 'INPUTS│Performance Commitments'!$J$9, MATCH( $C20, 'INPUTS│Performance Commitments'!$C$30:$C$47, 0 ), MATCH( $X$4, 'INPUTS│Performance Commitments'!$K$3:$L$3, 0 ) ), "-" )</f>
        <v>-</v>
      </c>
    </row>
    <row r="21" spans="2:26" hidden="1" outlineLevel="1" x14ac:dyDescent="0.2">
      <c r="C21" s="8" t="s">
        <v>103</v>
      </c>
      <c r="D21" s="202">
        <f xml:space="preserve"> COUNTIF( 'INPUTS│Performance Commitments'!$C$9:$C$26, C21 )</f>
        <v>1</v>
      </c>
      <c r="F21" s="114">
        <f xml:space="preserve"> _xlfn.IFNA( VLOOKUP( $C21, 'INPUTS│Performance Commitments'!$C$30:$I$47, MATCH( F$4, 'INPUTS│Performance Commitments'!$G$3:$I$3, 0 ) + 4, 0 ), "-" )</f>
        <v>177.2</v>
      </c>
      <c r="G21" s="114" t="str">
        <f ca="1" xml:space="preserve"> IF( $D21 &gt; 1, OFFSET( 'INPUTS│Performance Commitments'!$F$30, MATCH( $C21, 'INPUTS│Performance Commitments'!$C$30:$C$47, 0 ), MATCH( $F$4, 'INPUTS│Performance Commitments'!$G$3:$I$3, 0 ) ), "-" )</f>
        <v>-</v>
      </c>
      <c r="H21" s="114">
        <f xml:space="preserve"> _xlfn.IFNA( VLOOKUP( $C21, 'INPUTS│Performance Commitments'!$C$9:$I$26, MATCH( H$4, 'INPUTS│Performance Commitments'!$G$3:$I$3, 0 ) + 4, 0 ), "-" )</f>
        <v>173.1</v>
      </c>
      <c r="I21" s="114" t="str">
        <f ca="1" xml:space="preserve"> IF( $D21 &gt; 1, OFFSET( 'INPUTS│Performance Commitments'!$F$9, MATCH( $C21, 'INPUTS│Performance Commitments'!$C$30:$C$47, 0 ), MATCH( $H$4, 'INPUTS│Performance Commitments'!$G$3:$I$3, 0 ) ), "-" )</f>
        <v>-</v>
      </c>
      <c r="J21" s="82" t="str">
        <f t="shared" si="2"/>
        <v>Failed</v>
      </c>
      <c r="K21" s="82" t="str">
        <f t="shared" ca="1" si="3"/>
        <v>-</v>
      </c>
      <c r="L21" s="282">
        <f t="shared" ca="1" si="6"/>
        <v>0</v>
      </c>
      <c r="N21" s="114">
        <f xml:space="preserve"> _xlfn.IFNA( VLOOKUP( $C21, 'INPUTS│Performance Commitments'!$C$30:$I$47, MATCH( N$4, 'INPUTS│Performance Commitments'!$G$3:$I$3, 0 ) + 4, 0 ), "-" )</f>
        <v>196.1</v>
      </c>
      <c r="O21" s="114" t="str">
        <f ca="1" xml:space="preserve"> IF( $D21 &gt; 1, OFFSET( 'INPUTS│Performance Commitments'!$F$30, MATCH( $C21, 'INPUTS│Performance Commitments'!$C$30:$C$47, 0 ), MATCH( $N$4, 'INPUTS│Performance Commitments'!$G$3:$I$3, 0 ) ), "-" )</f>
        <v>-</v>
      </c>
      <c r="P21" s="114">
        <f xml:space="preserve"> _xlfn.IFNA( VLOOKUP( $C21, 'INPUTS│Performance Commitments'!$C$9:$I$26, MATCH( P$4, 'INPUTS│Performance Commitments'!$G$3:$I$3, 0 ) + 4, 0 ), "-" )</f>
        <v>167.7</v>
      </c>
      <c r="Q21" s="114" t="str">
        <f ca="1" xml:space="preserve"> IF( $D21 &gt; 1, OFFSET( 'INPUTS│Performance Commitments'!$F$9, MATCH( $C21, 'INPUTS│Performance Commitments'!$C$30:$C$47, 0 ), MATCH( $P$4, 'INPUTS│Performance Commitments'!$G$3:$I$3, 0 ) ), "-" )</f>
        <v>-</v>
      </c>
      <c r="R21" s="82" t="str">
        <f t="shared" si="4"/>
        <v>Failed</v>
      </c>
      <c r="S21" s="82" t="str">
        <f t="shared" ca="1" si="5"/>
        <v>-</v>
      </c>
      <c r="T21" s="282">
        <f t="shared" ca="1" si="7"/>
        <v>0</v>
      </c>
      <c r="U21" s="51"/>
      <c r="V21" s="273">
        <f xml:space="preserve"> _xlfn.IFNA( VLOOKUP( $C21, 'INPUTS│Performance Commitments'!$C$30:$L$47, MATCH( V$4, 'INPUTS│Performance Commitments'!$K$3:$L$3, 0 ) + 8, 0 ), "-" )</f>
        <v>196.1</v>
      </c>
      <c r="W21" s="273" t="str">
        <f ca="1" xml:space="preserve"> IF( $D21 &gt; 1, OFFSET( 'INPUTS│Performance Commitments'!$J$30, MATCH( $C21, 'INPUTS│Performance Commitments'!$C$30:$C$47, 0 ), MATCH( $V$4, 'INPUTS│Performance Commitments'!$K$3:$L$3, 0 ) ), "-" )</f>
        <v>-</v>
      </c>
      <c r="X21" s="273">
        <f xml:space="preserve"> _xlfn.IFNA( VLOOKUP( $C21, 'INPUTS│Performance Commitments'!$C$9:$L$26, MATCH( X$4, 'INPUTS│Performance Commitments'!$K$3:$L$3, 0 ) + 8, 0 ), "-" )</f>
        <v>167.7</v>
      </c>
      <c r="Y21" s="273" t="str">
        <f ca="1" xml:space="preserve"> IF( $D21 &gt; 1, OFFSET( 'INPUTS│Performance Commitments'!$J$9, MATCH( $C21, 'INPUTS│Performance Commitments'!$C$30:$C$47, 0 ), MATCH( $X$4, 'INPUTS│Performance Commitments'!$K$3:$L$3, 0 ) ), "-" )</f>
        <v>-</v>
      </c>
    </row>
    <row r="22" spans="2:26" hidden="1" outlineLevel="1" x14ac:dyDescent="0.2">
      <c r="C22" s="8" t="s">
        <v>105</v>
      </c>
      <c r="D22" s="202">
        <f xml:space="preserve"> COUNTIF( 'INPUTS│Performance Commitments'!$C$9:$C$26, C22 )</f>
        <v>1</v>
      </c>
      <c r="F22" s="114">
        <f xml:space="preserve"> _xlfn.IFNA( VLOOKUP( $C22, 'INPUTS│Performance Commitments'!$C$30:$I$47, MATCH( F$4, 'INPUTS│Performance Commitments'!$G$3:$I$3, 0 ) + 4, 0 ), "-" )</f>
        <v>49.58</v>
      </c>
      <c r="G22" s="114" t="str">
        <f ca="1" xml:space="preserve"> IF( $D22 &gt; 1, OFFSET( 'INPUTS│Performance Commitments'!$F$30, MATCH( $C22, 'INPUTS│Performance Commitments'!$C$30:$C$47, 0 ), MATCH( $F$4, 'INPUTS│Performance Commitments'!$G$3:$I$3, 0 ) ), "-" )</f>
        <v>-</v>
      </c>
      <c r="H22" s="114">
        <f xml:space="preserve"> _xlfn.IFNA( VLOOKUP( $C22, 'INPUTS│Performance Commitments'!$C$9:$I$26, MATCH( H$4, 'INPUTS│Performance Commitments'!$G$3:$I$3, 0 ) + 4, 0 ), "-" )</f>
        <v>45</v>
      </c>
      <c r="I22" s="114" t="str">
        <f ca="1" xml:space="preserve"> IF( $D22 &gt; 1, OFFSET( 'INPUTS│Performance Commitments'!$F$9, MATCH( $C22, 'INPUTS│Performance Commitments'!$C$30:$C$47, 0 ), MATCH( $H$4, 'INPUTS│Performance Commitments'!$G$3:$I$3, 0 ) ), "-" )</f>
        <v>-</v>
      </c>
      <c r="J22" s="82" t="str">
        <f t="shared" si="2"/>
        <v>Failed</v>
      </c>
      <c r="K22" s="82" t="str">
        <f t="shared" ca="1" si="3"/>
        <v>-</v>
      </c>
      <c r="L22" s="282">
        <f t="shared" ca="1" si="6"/>
        <v>0</v>
      </c>
      <c r="N22" s="114">
        <f xml:space="preserve"> _xlfn.IFNA( VLOOKUP( $C22, 'INPUTS│Performance Commitments'!$C$30:$I$47, MATCH( N$4, 'INPUTS│Performance Commitments'!$G$3:$I$3, 0 ) + 4, 0 ), "-" )</f>
        <v>45.83</v>
      </c>
      <c r="O22" s="114" t="str">
        <f ca="1" xml:space="preserve"> IF( $D22 &gt; 1, OFFSET( 'INPUTS│Performance Commitments'!$F$30, MATCH( $C22, 'INPUTS│Performance Commitments'!$C$30:$C$47, 0 ), MATCH( $N$4, 'INPUTS│Performance Commitments'!$G$3:$I$3, 0 ) ), "-" )</f>
        <v>-</v>
      </c>
      <c r="P22" s="114">
        <f xml:space="preserve"> _xlfn.IFNA( VLOOKUP( $C22, 'INPUTS│Performance Commitments'!$C$9:$I$26, MATCH( P$4, 'INPUTS│Performance Commitments'!$G$3:$I$3, 0 ) + 4, 0 ), "-" )</f>
        <v>44</v>
      </c>
      <c r="Q22" s="114" t="str">
        <f ca="1" xml:space="preserve"> IF( $D22 &gt; 1, OFFSET( 'INPUTS│Performance Commitments'!$F$9, MATCH( $C22, 'INPUTS│Performance Commitments'!$C$30:$C$47, 0 ), MATCH( $P$4, 'INPUTS│Performance Commitments'!$G$3:$I$3, 0 ) ), "-" )</f>
        <v>-</v>
      </c>
      <c r="R22" s="82" t="str">
        <f t="shared" si="4"/>
        <v>Failed</v>
      </c>
      <c r="S22" s="82" t="str">
        <f t="shared" ca="1" si="5"/>
        <v>-</v>
      </c>
      <c r="T22" s="282">
        <f t="shared" ca="1" si="7"/>
        <v>0</v>
      </c>
      <c r="U22" s="51"/>
      <c r="V22" s="273">
        <f xml:space="preserve"> _xlfn.IFNA( VLOOKUP( $C22, 'INPUTS│Performance Commitments'!$C$30:$L$47, MATCH( V$4, 'INPUTS│Performance Commitments'!$K$3:$L$3, 0 ) + 8, 0 ), "-" )</f>
        <v>45.83</v>
      </c>
      <c r="W22" s="273" t="str">
        <f ca="1" xml:space="preserve"> IF( $D22 &gt; 1, OFFSET( 'INPUTS│Performance Commitments'!$J$30, MATCH( $C22, 'INPUTS│Performance Commitments'!$C$30:$C$47, 0 ), MATCH( $V$4, 'INPUTS│Performance Commitments'!$K$3:$L$3, 0 ) ), "-" )</f>
        <v>-</v>
      </c>
      <c r="X22" s="273">
        <f xml:space="preserve"> _xlfn.IFNA( VLOOKUP( $C22, 'INPUTS│Performance Commitments'!$C$9:$L$26, MATCH( X$4, 'INPUTS│Performance Commitments'!$K$3:$L$3, 0 ) + 8, 0 ), "-" )</f>
        <v>44</v>
      </c>
      <c r="Y22" s="273" t="str">
        <f ca="1" xml:space="preserve"> IF( $D22 &gt; 1, OFFSET( 'INPUTS│Performance Commitments'!$J$9, MATCH( $C22, 'INPUTS│Performance Commitments'!$C$30:$C$47, 0 ), MATCH( $X$4, 'INPUTS│Performance Commitments'!$K$3:$L$3, 0 ) ), "-" )</f>
        <v>-</v>
      </c>
    </row>
    <row r="23" spans="2:26" hidden="1" outlineLevel="1" x14ac:dyDescent="0.2">
      <c r="C23" s="8" t="s">
        <v>107</v>
      </c>
      <c r="D23" s="202">
        <f xml:space="preserve"> COUNTIF( 'INPUTS│Performance Commitments'!$C$9:$C$26, C23 )</f>
        <v>1</v>
      </c>
      <c r="F23" s="114">
        <f xml:space="preserve"> _xlfn.IFNA( VLOOKUP( $C23, 'INPUTS│Performance Commitments'!$C$30:$I$47, MATCH( F$4, 'INPUTS│Performance Commitments'!$G$3:$I$3, 0 ) + 4, 0 ), "-" )</f>
        <v>32.869999999999997</v>
      </c>
      <c r="G23" s="114" t="str">
        <f ca="1" xml:space="preserve"> IF( $D23 &gt; 1, OFFSET( 'INPUTS│Performance Commitments'!$F$30, MATCH( $C23, 'INPUTS│Performance Commitments'!$C$30:$C$47, 0 ), MATCH( $F$4, 'INPUTS│Performance Commitments'!$G$3:$I$3, 0 ) ), "-" )</f>
        <v>-</v>
      </c>
      <c r="H23" s="114">
        <f xml:space="preserve"> _xlfn.IFNA( VLOOKUP( $C23, 'INPUTS│Performance Commitments'!$C$9:$I$26, MATCH( H$4, 'INPUTS│Performance Commitments'!$G$3:$I$3, 0 ) + 4, 0 ), "-" )</f>
        <v>29.9</v>
      </c>
      <c r="I23" s="114" t="str">
        <f ca="1" xml:space="preserve"> IF( $D23 &gt; 1, OFFSET( 'INPUTS│Performance Commitments'!$F$9, MATCH( $C23, 'INPUTS│Performance Commitments'!$C$30:$C$47, 0 ), MATCH( $H$4, 'INPUTS│Performance Commitments'!$G$3:$I$3, 0 ) ), "-" )</f>
        <v>-</v>
      </c>
      <c r="J23" s="82" t="str">
        <f t="shared" si="2"/>
        <v>Failed</v>
      </c>
      <c r="K23" s="82" t="str">
        <f t="shared" ca="1" si="3"/>
        <v>-</v>
      </c>
      <c r="L23" s="282">
        <f t="shared" ca="1" si="6"/>
        <v>0</v>
      </c>
      <c r="N23" s="114">
        <f xml:space="preserve"> _xlfn.IFNA( VLOOKUP( $C23, 'INPUTS│Performance Commitments'!$C$30:$I$47, MATCH( N$4, 'INPUTS│Performance Commitments'!$G$3:$I$3, 0 ) + 4, 0 ), "-" )</f>
        <v>28.12</v>
      </c>
      <c r="O23" s="114" t="str">
        <f ca="1" xml:space="preserve"> IF( $D23 &gt; 1, OFFSET( 'INPUTS│Performance Commitments'!$F$30, MATCH( $C23, 'INPUTS│Performance Commitments'!$C$30:$C$47, 0 ), MATCH( $N$4, 'INPUTS│Performance Commitments'!$G$3:$I$3, 0 ) ), "-" )</f>
        <v>-</v>
      </c>
      <c r="P23" s="114">
        <f xml:space="preserve"> _xlfn.IFNA( VLOOKUP( $C23, 'INPUTS│Performance Commitments'!$C$9:$I$26, MATCH( P$4, 'INPUTS│Performance Commitments'!$G$3:$I$3, 0 ) + 4, 0 ), "-" )</f>
        <v>29.85</v>
      </c>
      <c r="Q23" s="114" t="str">
        <f ca="1" xml:space="preserve"> IF( $D23 &gt; 1, OFFSET( 'INPUTS│Performance Commitments'!$F$9, MATCH( $C23, 'INPUTS│Performance Commitments'!$C$30:$C$47, 0 ), MATCH( $P$4, 'INPUTS│Performance Commitments'!$G$3:$I$3, 0 ) ), "-" )</f>
        <v>-</v>
      </c>
      <c r="R23" s="82" t="str">
        <f t="shared" si="4"/>
        <v>Met</v>
      </c>
      <c r="S23" s="82" t="str">
        <f t="shared" ca="1" si="5"/>
        <v>-</v>
      </c>
      <c r="T23" s="282">
        <f t="shared" ca="1" si="7"/>
        <v>1</v>
      </c>
      <c r="U23" s="51"/>
      <c r="V23" s="273">
        <f xml:space="preserve"> _xlfn.IFNA( VLOOKUP( $C23, 'INPUTS│Performance Commitments'!$C$30:$L$47, MATCH( V$4, 'INPUTS│Performance Commitments'!$K$3:$L$3, 0 ) + 8, 0 ), "-" )</f>
        <v>28.12</v>
      </c>
      <c r="W23" s="273" t="str">
        <f ca="1" xml:space="preserve"> IF( $D23 &gt; 1, OFFSET( 'INPUTS│Performance Commitments'!$J$30, MATCH( $C23, 'INPUTS│Performance Commitments'!$C$30:$C$47, 0 ), MATCH( $V$4, 'INPUTS│Performance Commitments'!$K$3:$L$3, 0 ) ), "-" )</f>
        <v>-</v>
      </c>
      <c r="X23" s="273">
        <f xml:space="preserve"> _xlfn.IFNA( VLOOKUP( $C23, 'INPUTS│Performance Commitments'!$C$9:$L$26, MATCH( X$4, 'INPUTS│Performance Commitments'!$K$3:$L$3, 0 ) + 8, 0 ), "-" )</f>
        <v>29.85</v>
      </c>
      <c r="Y23" s="273" t="str">
        <f ca="1" xml:space="preserve"> IF( $D23 &gt; 1, OFFSET( 'INPUTS│Performance Commitments'!$J$9, MATCH( $C23, 'INPUTS│Performance Commitments'!$C$30:$C$47, 0 ), MATCH( $X$4, 'INPUTS│Performance Commitments'!$K$3:$L$3, 0 ) ), "-" )</f>
        <v>-</v>
      </c>
    </row>
    <row r="24" spans="2:26" hidden="1" outlineLevel="1" x14ac:dyDescent="0.2">
      <c r="C24" s="8" t="s">
        <v>111</v>
      </c>
      <c r="D24" s="202">
        <f xml:space="preserve"> COUNTIF( 'INPUTS│Performance Commitments'!$C$9:$C$26, C24 )</f>
        <v>1</v>
      </c>
      <c r="F24" s="114">
        <f xml:space="preserve"> _xlfn.IFNA( VLOOKUP( $C24, 'INPUTS│Performance Commitments'!$C$30:$I$47, MATCH( F$4, 'INPUTS│Performance Commitments'!$G$3:$I$3, 0 ) + 4, 0 ), "-" )</f>
        <v>87.7</v>
      </c>
      <c r="G24" s="114" t="str">
        <f ca="1" xml:space="preserve"> IF( $D24 &gt; 1, OFFSET( 'INPUTS│Performance Commitments'!$F$30, MATCH( $C24, 'INPUTS│Performance Commitments'!$C$30:$C$47, 0 ), MATCH( $F$4, 'INPUTS│Performance Commitments'!$G$3:$I$3, 0 ) ), "-" )</f>
        <v>-</v>
      </c>
      <c r="H24" s="114">
        <f xml:space="preserve"> _xlfn.IFNA( VLOOKUP( $C24, 'INPUTS│Performance Commitments'!$C$9:$I$26, MATCH( H$4, 'INPUTS│Performance Commitments'!$G$3:$I$3, 0 ) + 4, 0 ), "-" )</f>
        <v>90</v>
      </c>
      <c r="I24" s="114" t="str">
        <f ca="1" xml:space="preserve"> IF( $D24 &gt; 1, OFFSET( 'INPUTS│Performance Commitments'!$F$9, MATCH( $C24, 'INPUTS│Performance Commitments'!$C$30:$C$47, 0 ), MATCH( $H$4, 'INPUTS│Performance Commitments'!$G$3:$I$3, 0 ) ), "-" )</f>
        <v>-</v>
      </c>
      <c r="J24" s="82" t="str">
        <f t="shared" si="2"/>
        <v>Met</v>
      </c>
      <c r="K24" s="82" t="str">
        <f t="shared" ca="1" si="3"/>
        <v>-</v>
      </c>
      <c r="L24" s="282">
        <f t="shared" ca="1" si="6"/>
        <v>1</v>
      </c>
      <c r="N24" s="114">
        <f xml:space="preserve"> _xlfn.IFNA( VLOOKUP( $C24, 'INPUTS│Performance Commitments'!$C$30:$I$47, MATCH( N$4, 'INPUTS│Performance Commitments'!$G$3:$I$3, 0 ) + 4, 0 ), "-" )</f>
        <v>86.884250225089886</v>
      </c>
      <c r="O24" s="114" t="str">
        <f ca="1" xml:space="preserve"> IF( $D24 &gt; 1, OFFSET( 'INPUTS│Performance Commitments'!$F$30, MATCH( $C24, 'INPUTS│Performance Commitments'!$C$30:$C$47, 0 ), MATCH( $N$4, 'INPUTS│Performance Commitments'!$G$3:$I$3, 0 ) ), "-" )</f>
        <v>-</v>
      </c>
      <c r="P24" s="114">
        <f xml:space="preserve"> _xlfn.IFNA( VLOOKUP( $C24, 'INPUTS│Performance Commitments'!$C$9:$I$26, MATCH( P$4, 'INPUTS│Performance Commitments'!$G$3:$I$3, 0 ) + 4, 0 ), "-" )</f>
        <v>89.1</v>
      </c>
      <c r="Q24" s="114" t="str">
        <f ca="1" xml:space="preserve"> IF( $D24 &gt; 1, OFFSET( 'INPUTS│Performance Commitments'!$F$9, MATCH( $C24, 'INPUTS│Performance Commitments'!$C$30:$C$47, 0 ), MATCH( $P$4, 'INPUTS│Performance Commitments'!$G$3:$I$3, 0 ) ), "-" )</f>
        <v>-</v>
      </c>
      <c r="R24" s="82" t="str">
        <f t="shared" si="4"/>
        <v>Met</v>
      </c>
      <c r="S24" s="82" t="str">
        <f t="shared" ca="1" si="5"/>
        <v>-</v>
      </c>
      <c r="T24" s="282">
        <f t="shared" ca="1" si="7"/>
        <v>1</v>
      </c>
      <c r="U24" s="51"/>
      <c r="V24" s="273">
        <f xml:space="preserve"> _xlfn.IFNA( VLOOKUP( $C24, 'INPUTS│Performance Commitments'!$C$30:$L$47, MATCH( V$4, 'INPUTS│Performance Commitments'!$K$3:$L$3, 0 ) + 8, 0 ), "-" )</f>
        <v>86.884250225089886</v>
      </c>
      <c r="W24" s="273" t="str">
        <f ca="1" xml:space="preserve"> IF( $D24 &gt; 1, OFFSET( 'INPUTS│Performance Commitments'!$J$30, MATCH( $C24, 'INPUTS│Performance Commitments'!$C$30:$C$47, 0 ), MATCH( $V$4, 'INPUTS│Performance Commitments'!$K$3:$L$3, 0 ) ), "-" )</f>
        <v>-</v>
      </c>
      <c r="X24" s="273">
        <f xml:space="preserve"> _xlfn.IFNA( VLOOKUP( $C24, 'INPUTS│Performance Commitments'!$C$9:$L$26, MATCH( X$4, 'INPUTS│Performance Commitments'!$K$3:$L$3, 0 ) + 8, 0 ), "-" )</f>
        <v>89.1</v>
      </c>
      <c r="Y24" s="273" t="str">
        <f ca="1" xml:space="preserve"> IF( $D24 &gt; 1, OFFSET( 'INPUTS│Performance Commitments'!$J$9, MATCH( $C24, 'INPUTS│Performance Commitments'!$C$30:$C$47, 0 ), MATCH( $X$4, 'INPUTS│Performance Commitments'!$K$3:$L$3, 0 ) ), "-" )</f>
        <v>-</v>
      </c>
    </row>
    <row r="25" spans="2:26" hidden="1" outlineLevel="1" x14ac:dyDescent="0.2">
      <c r="C25" s="8" t="s">
        <v>113</v>
      </c>
      <c r="D25" s="202">
        <f xml:space="preserve"> COUNTIF( 'INPUTS│Performance Commitments'!$C$9:$C$26, C25 )</f>
        <v>1</v>
      </c>
      <c r="F25" s="114">
        <f xml:space="preserve"> _xlfn.IFNA( VLOOKUP( $C25, 'INPUTS│Performance Commitments'!$C$30:$I$47, MATCH( F$4, 'INPUTS│Performance Commitments'!$G$3:$I$3, 0 ) + 4, 0 ), "-" )</f>
        <v>86.8</v>
      </c>
      <c r="G25" s="114" t="str">
        <f ca="1" xml:space="preserve"> IF( $D25 &gt; 1, OFFSET( 'INPUTS│Performance Commitments'!$F$30, MATCH( $C25, 'INPUTS│Performance Commitments'!$C$30:$C$47, 0 ), MATCH( $F$4, 'INPUTS│Performance Commitments'!$G$3:$I$3, 0 ) ), "-" )</f>
        <v>-</v>
      </c>
      <c r="H25" s="114">
        <f xml:space="preserve"> _xlfn.IFNA( VLOOKUP( $C25, 'INPUTS│Performance Commitments'!$C$9:$I$26, MATCH( H$4, 'INPUTS│Performance Commitments'!$G$3:$I$3, 0 ) + 4, 0 ), "-" )</f>
        <v>84</v>
      </c>
      <c r="I25" s="114" t="str">
        <f ca="1" xml:space="preserve"> IF( $D25 &gt; 1, OFFSET( 'INPUTS│Performance Commitments'!$F$9, MATCH( $C25, 'INPUTS│Performance Commitments'!$C$30:$C$47, 0 ), MATCH( $H$4, 'INPUTS│Performance Commitments'!$G$3:$I$3, 0 ) ), "-" )</f>
        <v>-</v>
      </c>
      <c r="J25" s="82" t="str">
        <f t="shared" si="2"/>
        <v>Failed</v>
      </c>
      <c r="K25" s="82" t="str">
        <f t="shared" ca="1" si="3"/>
        <v>-</v>
      </c>
      <c r="L25" s="282">
        <f t="shared" ca="1" si="6"/>
        <v>0</v>
      </c>
      <c r="N25" s="114">
        <f xml:space="preserve"> _xlfn.IFNA( VLOOKUP( $C25, 'INPUTS│Performance Commitments'!$C$30:$I$47, MATCH( N$4, 'INPUTS│Performance Commitments'!$G$3:$I$3, 0 ) + 4, 0 ), "-" )</f>
        <v>83.7</v>
      </c>
      <c r="O25" s="114" t="str">
        <f ca="1" xml:space="preserve"> IF( $D25 &gt; 1, OFFSET( 'INPUTS│Performance Commitments'!$F$30, MATCH( $C25, 'INPUTS│Performance Commitments'!$C$30:$C$47, 0 ), MATCH( $N$4, 'INPUTS│Performance Commitments'!$G$3:$I$3, 0 ) ), "-" )</f>
        <v>-</v>
      </c>
      <c r="P25" s="114">
        <f xml:space="preserve"> _xlfn.IFNA( VLOOKUP( $C25, 'INPUTS│Performance Commitments'!$C$9:$I$26, MATCH( P$4, 'INPUTS│Performance Commitments'!$G$3:$I$3, 0 ) + 4, 0 ), "-" )</f>
        <v>84</v>
      </c>
      <c r="Q25" s="114" t="str">
        <f ca="1" xml:space="preserve"> IF( $D25 &gt; 1, OFFSET( 'INPUTS│Performance Commitments'!$F$9, MATCH( $C25, 'INPUTS│Performance Commitments'!$C$30:$C$47, 0 ), MATCH( $P$4, 'INPUTS│Performance Commitments'!$G$3:$I$3, 0 ) ), "-" )</f>
        <v>-</v>
      </c>
      <c r="R25" s="82" t="str">
        <f t="shared" si="4"/>
        <v>Met</v>
      </c>
      <c r="S25" s="82" t="str">
        <f t="shared" ca="1" si="5"/>
        <v>-</v>
      </c>
      <c r="T25" s="282">
        <f t="shared" ca="1" si="7"/>
        <v>1</v>
      </c>
      <c r="U25" s="51"/>
      <c r="V25" s="273">
        <f xml:space="preserve"> _xlfn.IFNA( VLOOKUP( $C25, 'INPUTS│Performance Commitments'!$C$30:$L$47, MATCH( V$4, 'INPUTS│Performance Commitments'!$K$3:$L$3, 0 ) + 8, 0 ), "-" )</f>
        <v>83.7</v>
      </c>
      <c r="W25" s="273" t="str">
        <f ca="1" xml:space="preserve"> IF( $D25 &gt; 1, OFFSET( 'INPUTS│Performance Commitments'!$J$30, MATCH( $C25, 'INPUTS│Performance Commitments'!$C$30:$C$47, 0 ), MATCH( $V$4, 'INPUTS│Performance Commitments'!$K$3:$L$3, 0 ) ), "-" )</f>
        <v>-</v>
      </c>
      <c r="X25" s="273">
        <f xml:space="preserve"> _xlfn.IFNA( VLOOKUP( $C25, 'INPUTS│Performance Commitments'!$C$9:$L$26, MATCH( X$4, 'INPUTS│Performance Commitments'!$K$3:$L$3, 0 ) + 8, 0 ), "-" )</f>
        <v>84</v>
      </c>
      <c r="Y25" s="273" t="str">
        <f ca="1" xml:space="preserve"> IF( $D25 &gt; 1, OFFSET( 'INPUTS│Performance Commitments'!$J$9, MATCH( $C25, 'INPUTS│Performance Commitments'!$C$30:$C$47, 0 ), MATCH( $X$4, 'INPUTS│Performance Commitments'!$K$3:$L$3, 0 ) ), "-" )</f>
        <v>-</v>
      </c>
    </row>
    <row r="26" spans="2:26" hidden="1" outlineLevel="1" x14ac:dyDescent="0.2">
      <c r="C26" s="8" t="s">
        <v>109</v>
      </c>
      <c r="D26" s="202">
        <f xml:space="preserve"> COUNTIF( 'INPUTS│Performance Commitments'!$C$9:$C$26, C26 )</f>
        <v>1</v>
      </c>
      <c r="F26" s="114">
        <f xml:space="preserve"> _xlfn.IFNA( VLOOKUP( $C26, 'INPUTS│Performance Commitments'!$C$30:$I$47, MATCH( F$4, 'INPUTS│Performance Commitments'!$G$3:$I$3, 0 ) + 4, 0 ), "-" )</f>
        <v>24.2</v>
      </c>
      <c r="G26" s="114" t="str">
        <f ca="1" xml:space="preserve"> IF( $D26 &gt; 1, OFFSET( 'INPUTS│Performance Commitments'!$F$30, MATCH( $C26, 'INPUTS│Performance Commitments'!$C$30:$C$47, 0 ), MATCH( $F$4, 'INPUTS│Performance Commitments'!$G$3:$I$3, 0 ) ), "-" )</f>
        <v>-</v>
      </c>
      <c r="H26" s="114">
        <f xml:space="preserve"> _xlfn.IFNA( VLOOKUP( $C26, 'INPUTS│Performance Commitments'!$C$9:$I$26, MATCH( H$4, 'INPUTS│Performance Commitments'!$G$3:$I$3, 0 ) + 4, 0 ), "-" )</f>
        <v>24.2</v>
      </c>
      <c r="I26" s="114" t="str">
        <f ca="1" xml:space="preserve"> IF( $D26 &gt; 1, OFFSET( 'INPUTS│Performance Commitments'!$F$9, MATCH( $C26, 'INPUTS│Performance Commitments'!$C$30:$C$47, 0 ), MATCH( $H$4, 'INPUTS│Performance Commitments'!$G$3:$I$3, 0 ) ), "-" )</f>
        <v>-</v>
      </c>
      <c r="J26" s="82" t="str">
        <f xml:space="preserve"> IF( H26 &lt;&gt; "-", IF( F26 &lt;= H26, "Met", "Failed" ), "-" )</f>
        <v>Met</v>
      </c>
      <c r="K26" s="82" t="str">
        <f ca="1" xml:space="preserve"> IF( I26 &lt;&gt; "-", IF( G26 &lt;= I26, "Met", "Failed" ), "-" )</f>
        <v>-</v>
      </c>
      <c r="L26" s="282">
        <f ca="1" xml:space="preserve"> IF( H26 = "-", "-", COUNTIF( J26:K26, "Met" ) / $D26 )</f>
        <v>1</v>
      </c>
      <c r="N26" s="114">
        <f xml:space="preserve"> _xlfn.IFNA( VLOOKUP( $C26, 'INPUTS│Performance Commitments'!$C$30:$I$47, MATCH( N$4, 'INPUTS│Performance Commitments'!$G$3:$I$3, 0 ) + 4, 0 ), "-" )</f>
        <v>24.1</v>
      </c>
      <c r="O26" s="114" t="str">
        <f ca="1" xml:space="preserve"> IF( $D26 &gt; 1, OFFSET( 'INPUTS│Performance Commitments'!$F$30, MATCH( $C26, 'INPUTS│Performance Commitments'!$C$30:$C$47, 0 ), MATCH( $N$4, 'INPUTS│Performance Commitments'!$G$3:$I$3, 0 ) ), "-" )</f>
        <v>-</v>
      </c>
      <c r="P26" s="114">
        <f xml:space="preserve"> _xlfn.IFNA( VLOOKUP( $C26, 'INPUTS│Performance Commitments'!$C$9:$I$26, MATCH( P$4, 'INPUTS│Performance Commitments'!$G$3:$I$3, 0 ) + 4, 0 ), "-" )</f>
        <v>24.1</v>
      </c>
      <c r="Q26" s="114" t="str">
        <f ca="1" xml:space="preserve"> IF( $D26 &gt; 1, OFFSET( 'INPUTS│Performance Commitments'!$F$9, MATCH( $C26, 'INPUTS│Performance Commitments'!$C$30:$C$47, 0 ), MATCH( $P$4, 'INPUTS│Performance Commitments'!$G$3:$I$3, 0 ) ), "-" )</f>
        <v>-</v>
      </c>
      <c r="R26" s="82" t="str">
        <f xml:space="preserve"> IF( P26 &lt;&gt; "-", IF( N26 &lt;= P26, "Met", "Failed" ), "-" )</f>
        <v>Met</v>
      </c>
      <c r="S26" s="82" t="str">
        <f ca="1" xml:space="preserve"> IF( Q26 &lt;&gt; "-", IF( O26 &lt;= Q26, "Met", "Failed" ), "-" )</f>
        <v>-</v>
      </c>
      <c r="T26" s="282">
        <f ca="1" xml:space="preserve"> IF( P26 = "-", "-", COUNTIF( R26:S26, "Met" ) / $D26 )</f>
        <v>1</v>
      </c>
      <c r="U26" s="51"/>
      <c r="V26" s="273">
        <f xml:space="preserve"> _xlfn.IFNA( VLOOKUP( $C26, 'INPUTS│Performance Commitments'!$C$30:$L$47, MATCH( V$4, 'INPUTS│Performance Commitments'!$K$3:$L$3, 0 ) + 8, 0 ), "-" )</f>
        <v>24.1</v>
      </c>
      <c r="W26" s="273" t="str">
        <f ca="1" xml:space="preserve"> IF( $D26 &gt; 1, OFFSET( 'INPUTS│Performance Commitments'!$J$30, MATCH( $C26, 'INPUTS│Performance Commitments'!$C$30:$C$47, 0 ), MATCH( $V$4, 'INPUTS│Performance Commitments'!$K$3:$L$3, 0 ) ), "-" )</f>
        <v>-</v>
      </c>
      <c r="X26" s="273">
        <f xml:space="preserve"> _xlfn.IFNA( VLOOKUP( $C26, 'INPUTS│Performance Commitments'!$C$9:$L$26, MATCH( X$4, 'INPUTS│Performance Commitments'!$K$3:$L$3, 0 ) + 8, 0 ), "-" )</f>
        <v>24.1</v>
      </c>
      <c r="Y26" s="273" t="str">
        <f ca="1" xml:space="preserve"> IF( $D26 &gt; 1, OFFSET( 'INPUTS│Performance Commitments'!$J$9, MATCH( $C26, 'INPUTS│Performance Commitments'!$C$30:$C$47, 0 ), MATCH( $X$4, 'INPUTS│Performance Commitments'!$K$3:$L$3, 0 ) ), "-" )</f>
        <v>-</v>
      </c>
    </row>
    <row r="27" spans="2:26" s="84" customFormat="1" hidden="1" outlineLevel="1" x14ac:dyDescent="0.2">
      <c r="B27" s="266"/>
      <c r="C27" s="266"/>
      <c r="D27" s="85"/>
      <c r="E27" s="8"/>
      <c r="F27" s="56"/>
      <c r="G27" s="56"/>
      <c r="H27" s="56"/>
      <c r="I27" s="56"/>
      <c r="J27" s="56"/>
      <c r="K27" s="56"/>
      <c r="L27" s="56"/>
      <c r="M27" s="8"/>
      <c r="N27" s="56"/>
      <c r="O27" s="56"/>
      <c r="P27" s="56"/>
      <c r="Q27" s="56"/>
      <c r="R27" s="56"/>
      <c r="S27" s="56"/>
      <c r="T27" s="56"/>
      <c r="U27" s="56"/>
      <c r="V27" s="56"/>
      <c r="W27" s="56"/>
      <c r="X27" s="56"/>
      <c r="Y27" s="56"/>
      <c r="Z27" s="266"/>
    </row>
    <row r="28" spans="2:26" hidden="1" outlineLevel="1" x14ac:dyDescent="0.2">
      <c r="C28" s="8" t="s">
        <v>117</v>
      </c>
      <c r="D28" s="202">
        <f xml:space="preserve"> COUNTIF( 'INPUTS│Performance Commitments'!$C$9:$C$26, C28 )</f>
        <v>1</v>
      </c>
      <c r="F28" s="114">
        <f xml:space="preserve"> _xlfn.IFNA( VLOOKUP( $C28, 'INPUTS│Performance Commitments'!$C$30:$I$47, MATCH( F$4, 'INPUTS│Performance Commitments'!$G$3:$I$3, 0 ) + 4, 0 ), "-" )</f>
        <v>83</v>
      </c>
      <c r="G28" s="114" t="str">
        <f ca="1" xml:space="preserve"> IF( $D28 &gt; 1, OFFSET( 'INPUTS│Performance Commitments'!$F$30, MATCH( $C28, 'INPUTS│Performance Commitments'!$C$30:$C$47, 0 ), MATCH( $F$4, 'INPUTS│Performance Commitments'!$G$3:$I$3, 0 ) ), "-" )</f>
        <v>-</v>
      </c>
      <c r="H28" s="114">
        <f xml:space="preserve"> _xlfn.IFNA( VLOOKUP( $C28, 'INPUTS│Performance Commitments'!$C$9:$I$26, MATCH( H$4, 'INPUTS│Performance Commitments'!$G$3:$I$3, 0 ) + 4, 0 ), "-" )</f>
        <v>84</v>
      </c>
      <c r="I28" s="114" t="str">
        <f ca="1" xml:space="preserve"> IF( $D28 &gt; 1, OFFSET( 'INPUTS│Performance Commitments'!$F$9, MATCH( $C28, 'INPUTS│Performance Commitments'!$C$30:$C$47, 0 ), MATCH( $H$4, 'INPUTS│Performance Commitments'!$G$3:$I$3, 0 ) ), "-" )</f>
        <v>-</v>
      </c>
      <c r="J28" s="82" t="str">
        <f xml:space="preserve"> IF( H28 &lt;&gt; "-", IF( F28 &lt;= H28, "Met", "Failed" ), "-" )</f>
        <v>Met</v>
      </c>
      <c r="K28" s="82" t="str">
        <f ca="1" xml:space="preserve"> IF( I28 &lt;&gt; "-", IF( G28 &lt;= I28, "Met", "Failed" ), "-" )</f>
        <v>-</v>
      </c>
      <c r="L28" s="83">
        <f ca="1" xml:space="preserve"> IF( H28 = "-", "-", COUNTIF( J28:K28, "Met" ) / $D28 )</f>
        <v>1</v>
      </c>
      <c r="N28" s="114">
        <f xml:space="preserve"> _xlfn.IFNA( VLOOKUP( $C28, 'INPUTS│Performance Commitments'!$C$30:$I$47, MATCH( N$4, 'INPUTS│Performance Commitments'!$G$3:$I$3, 0 ) + 4, 0 ), "-" )</f>
        <v>84</v>
      </c>
      <c r="O28" s="114" t="str">
        <f ca="1" xml:space="preserve"> IF( $D28 &gt; 1, OFFSET( 'INPUTS│Performance Commitments'!$F$30, MATCH( $C28, 'INPUTS│Performance Commitments'!$C$30:$C$47, 0 ), MATCH( $N$4, 'INPUTS│Performance Commitments'!$G$3:$I$3, 0 ) ), "-" )</f>
        <v>-</v>
      </c>
      <c r="P28" s="114">
        <f xml:space="preserve"> _xlfn.IFNA( VLOOKUP( $C28, 'INPUTS│Performance Commitments'!$C$9:$I$26, MATCH( P$4, 'INPUTS│Performance Commitments'!$G$3:$I$3, 0 ) + 4, 0 ), "-" )</f>
        <v>84</v>
      </c>
      <c r="Q28" s="114" t="str">
        <f ca="1" xml:space="preserve"> IF( $D28 &gt; 1, OFFSET( 'INPUTS│Performance Commitments'!$F$9, MATCH( $C28, 'INPUTS│Performance Commitments'!$C$30:$C$47, 0 ), MATCH( $P$4, 'INPUTS│Performance Commitments'!$G$3:$I$3, 0 ) ), "-" )</f>
        <v>-</v>
      </c>
      <c r="R28" s="82" t="str">
        <f xml:space="preserve"> IF( P28 &lt;&gt; "-", IF( N28 &lt;= P28, "Met", "Failed" ), "-" )</f>
        <v>Met</v>
      </c>
      <c r="S28" s="82" t="str">
        <f ca="1" xml:space="preserve"> IF( Q28 &lt;&gt; "-", IF( O28 &lt;= Q28, "Met", "Failed" ), "-" )</f>
        <v>-</v>
      </c>
      <c r="T28" s="83">
        <f ca="1" xml:space="preserve"> IF( P28 = "-", "-", COUNTIF( R28:S28, "Met" ) / $D28 )</f>
        <v>1</v>
      </c>
      <c r="U28" s="51"/>
      <c r="V28" s="82">
        <f xml:space="preserve"> _xlfn.IFNA( VLOOKUP( $C28, 'INPUTS│Performance Commitments'!$C$30:$L$47, MATCH( V$4, 'INPUTS│Performance Commitments'!$K$3:$L$3, 0 ) + 8, 0 ), "-" )</f>
        <v>84</v>
      </c>
      <c r="W28" s="82" t="str">
        <f ca="1" xml:space="preserve"> IF( $D28 &gt; 1, OFFSET( 'INPUTS│Performance Commitments'!$J$30, MATCH( $C28, 'INPUTS│Performance Commitments'!$C$30:$C$47, 0 ), MATCH( $V$4, 'INPUTS│Performance Commitments'!$K$3:$L$3, 0 ) ), "-" )</f>
        <v>-</v>
      </c>
      <c r="X28" s="82">
        <f xml:space="preserve"> _xlfn.IFNA( VLOOKUP( $C28, 'INPUTS│Performance Commitments'!$C$9:$L$26, MATCH( X$4, 'INPUTS│Performance Commitments'!$K$3:$L$3, 0 ) + 8, 0 ), "-" )</f>
        <v>84</v>
      </c>
      <c r="Y28" s="82" t="str">
        <f ca="1" xml:space="preserve"> IF( $D28 &gt; 1, OFFSET( 'INPUTS│Performance Commitments'!$J$9, MATCH( $C28, 'INPUTS│Performance Commitments'!$C$30:$C$47, 0 ), MATCH( $X$4, 'INPUTS│Performance Commitments'!$K$3:$L$3, 0 ) ), "-" )</f>
        <v>-</v>
      </c>
      <c r="Z28" s="81"/>
    </row>
    <row r="29" spans="2:26" hidden="1" outlineLevel="1" x14ac:dyDescent="0.2">
      <c r="C29" s="8" t="s">
        <v>115</v>
      </c>
      <c r="D29" s="202">
        <f xml:space="preserve"> COUNTIF( 'INPUTS│Performance Commitments'!$C$9:$C$26, C29 )</f>
        <v>1</v>
      </c>
      <c r="F29" s="114">
        <f xml:space="preserve"> _xlfn.IFNA( VLOOKUP( $C29, 'INPUTS│Performance Commitments'!$C$30:$I$47, MATCH( F$4, 'INPUTS│Performance Commitments'!$G$3:$I$3, 0 ) + 4, 0 ), "-" )</f>
        <v>19.11</v>
      </c>
      <c r="G29" s="114" t="str">
        <f ca="1" xml:space="preserve"> IF( $D29 &gt; 1, OFFSET( 'INPUTS│Performance Commitments'!$F$30, MATCH( $C29, 'INPUTS│Performance Commitments'!$C$30:$C$47, 0 ), MATCH( $F$4, 'INPUTS│Performance Commitments'!$G$3:$I$3, 0 ) ), "-" )</f>
        <v>-</v>
      </c>
      <c r="H29" s="114" t="str">
        <f xml:space="preserve"> _xlfn.IFNA( VLOOKUP( $C29, 'INPUTS│Performance Commitments'!$C$9:$I$26, MATCH( H$4, 'INPUTS│Performance Commitments'!$G$3:$I$3, 0 ) + 4, 0 ), "-" )</f>
        <v>-</v>
      </c>
      <c r="I29" s="114" t="str">
        <f ca="1" xml:space="preserve"> IF( $D29 &gt; 1, OFFSET( 'INPUTS│Performance Commitments'!$F$9, MATCH( $C29, 'INPUTS│Performance Commitments'!$C$30:$C$47, 0 ), MATCH( $H$4, 'INPUTS│Performance Commitments'!$G$3:$I$3, 0 ) ), "-" )</f>
        <v>-</v>
      </c>
      <c r="J29" s="82" t="str">
        <f xml:space="preserve"> IF( H29 &lt;&gt; "-", IF( F29 &lt;= H29, "Met", "Failed" ), "-" )</f>
        <v>-</v>
      </c>
      <c r="K29" s="82" t="str">
        <f ca="1" xml:space="preserve"> IF( I29 &lt;&gt; "-", IF( G29 &lt;= I29, "Met", "Failed" ), "-" )</f>
        <v>-</v>
      </c>
      <c r="L29" s="83" t="str">
        <f xml:space="preserve"> IF( H29 = "-", "-", COUNTIF( J29:K29, "Met" ) / $D29 )</f>
        <v>-</v>
      </c>
      <c r="N29" s="114">
        <f xml:space="preserve"> _xlfn.IFNA( VLOOKUP( $C29, 'INPUTS│Performance Commitments'!$C$30:$I$47, MATCH( N$4, 'INPUTS│Performance Commitments'!$G$3:$I$3, 0 ) + 4, 0 ), "-" )</f>
        <v>18.279320362470102</v>
      </c>
      <c r="O29" s="114" t="str">
        <f ca="1" xml:space="preserve"> IF( $D29 &gt; 1, OFFSET( 'INPUTS│Performance Commitments'!$F$30, MATCH( $C29, 'INPUTS│Performance Commitments'!$C$30:$C$47, 0 ), MATCH( $N$4, 'INPUTS│Performance Commitments'!$G$3:$I$3, 0 ) ), "-" )</f>
        <v>-</v>
      </c>
      <c r="P29" s="114" t="str">
        <f xml:space="preserve"> _xlfn.IFNA( VLOOKUP( $C29, 'INPUTS│Performance Commitments'!$C$9:$I$26, MATCH( P$4, 'INPUTS│Performance Commitments'!$G$3:$I$3, 0 ) + 4, 0 ), "-" )</f>
        <v>-</v>
      </c>
      <c r="Q29" s="114" t="str">
        <f ca="1" xml:space="preserve"> IF( $D29 &gt; 1, OFFSET( 'INPUTS│Performance Commitments'!$F$9, MATCH( $C29, 'INPUTS│Performance Commitments'!$C$30:$C$47, 0 ), MATCH( $P$4, 'INPUTS│Performance Commitments'!$G$3:$I$3, 0 ) ), "-" )</f>
        <v>-</v>
      </c>
      <c r="R29" s="82" t="str">
        <f xml:space="preserve"> IF( P29 &lt;&gt; "-", IF( N29 &lt;= P29, "Met", "Failed" ), "-" )</f>
        <v>-</v>
      </c>
      <c r="S29" s="82" t="str">
        <f ca="1" xml:space="preserve"> IF( Q29 &lt;&gt; "-", IF( O29 &lt;= Q29, "Met", "Failed" ), "-" )</f>
        <v>-</v>
      </c>
      <c r="T29" s="83" t="str">
        <f xml:space="preserve"> IF( P29 = "-", "-", COUNTIF( R29:S29, "Met" ) / $D29 )</f>
        <v>-</v>
      </c>
      <c r="U29" s="51"/>
      <c r="V29" s="82">
        <f xml:space="preserve"> _xlfn.IFNA( VLOOKUP( $C29, 'INPUTS│Performance Commitments'!$C$30:$L$47, MATCH( V$4, 'INPUTS│Performance Commitments'!$K$3:$L$3, 0 ) + 8, 0 ), "-" )</f>
        <v>18.279320362470102</v>
      </c>
      <c r="W29" s="82" t="str">
        <f ca="1" xml:space="preserve"> IF( $D29 &gt; 1, OFFSET( 'INPUTS│Performance Commitments'!$J$30, MATCH( $C29, 'INPUTS│Performance Commitments'!$C$30:$C$47, 0 ), MATCH( $V$4, 'INPUTS│Performance Commitments'!$K$3:$L$3, 0 ) ), "-" )</f>
        <v>-</v>
      </c>
      <c r="X29" s="82" t="str">
        <f xml:space="preserve"> _xlfn.IFNA( VLOOKUP( $C29, 'INPUTS│Performance Commitments'!$C$9:$L$26, MATCH( X$4, 'INPUTS│Performance Commitments'!$K$3:$L$3, 0 ) + 8, 0 ), "-" )</f>
        <v>-</v>
      </c>
      <c r="Y29" s="82" t="str">
        <f ca="1" xml:space="preserve"> IF( $D29 &gt; 1, OFFSET( 'INPUTS│Performance Commitments'!$J$9, MATCH( $C29, 'INPUTS│Performance Commitments'!$C$30:$C$47, 0 ), MATCH( $X$4, 'INPUTS│Performance Commitments'!$K$3:$L$3, 0 ) ), "-" )</f>
        <v>-</v>
      </c>
      <c r="Z29" s="81"/>
    </row>
    <row r="31" spans="2:26" ht="13.5" collapsed="1" x14ac:dyDescent="0.25">
      <c r="B31" s="9" t="s">
        <v>261</v>
      </c>
      <c r="C31" s="9"/>
      <c r="D31" s="10"/>
      <c r="E31" s="9"/>
      <c r="F31" s="9"/>
      <c r="G31" s="9"/>
      <c r="H31" s="9"/>
      <c r="I31" s="9"/>
      <c r="J31" s="9"/>
      <c r="K31" s="9"/>
      <c r="L31" s="9"/>
      <c r="M31" s="9"/>
      <c r="N31" s="9"/>
      <c r="O31" s="9"/>
      <c r="P31" s="9"/>
      <c r="Q31" s="9"/>
      <c r="R31" s="9"/>
      <c r="S31" s="9"/>
      <c r="T31" s="9"/>
      <c r="U31" s="9"/>
      <c r="V31" s="9"/>
      <c r="W31" s="9"/>
      <c r="X31" s="9"/>
      <c r="Y31" s="9"/>
      <c r="Z31" s="9"/>
    </row>
    <row r="32" spans="2:26" hidden="1" outlineLevel="1" x14ac:dyDescent="0.2"/>
    <row r="33" spans="3:25" hidden="1" outlineLevel="1" x14ac:dyDescent="0.2">
      <c r="C33" s="8" t="s">
        <v>79</v>
      </c>
      <c r="D33" s="202">
        <f xml:space="preserve"> COUNTIF( 'INPUTS│Performance Commitments'!$C$53:$C$71, C33 )</f>
        <v>1</v>
      </c>
      <c r="F33" s="114">
        <f xml:space="preserve"> _xlfn.IFNA( VLOOKUP( $C33, 'INPUTS│Performance Commitments'!$C$75:$I$93, MATCH( F$4, 'INPUTS│Performance Commitments'!$G$3:$I$3, 0 ) + 4, 0 ), "-" )</f>
        <v>7.4</v>
      </c>
      <c r="G33" s="114" t="str">
        <f ca="1" xml:space="preserve"> IF( $D33 &gt; 1, OFFSET( 'INPUTS│Performance Commitments'!$F$75, MATCH( $C33, 'INPUTS│Performance Commitments'!$C$75:$C$93, 0 ), MATCH( $F$4, 'INPUTS│Performance Commitments'!$G$3:$I$3, 0 ) ), "-" )</f>
        <v>-</v>
      </c>
      <c r="H33" s="114">
        <f xml:space="preserve"> _xlfn.IFNA( VLOOKUP( $C33, 'INPUTS│Performance Commitments'!$C$53:$I$71, MATCH( H$4, 'INPUTS│Performance Commitments'!$G$3:$I$3, 0 ) + 4, 0 ), "-" )</f>
        <v>12</v>
      </c>
      <c r="I33" s="114" t="str">
        <f ca="1" xml:space="preserve"> IF( $D33 &gt; 1, OFFSET( 'INPUTS│Performance Commitments'!$F$53, MATCH( $C33, 'INPUTS│Performance Commitments'!$C$53:$C$71, 0 ), MATCH( $H$4, 'INPUTS│Performance Commitments'!$G$3:$I$3, 0 ) ), "-" )</f>
        <v>-</v>
      </c>
      <c r="J33" s="82" t="str">
        <f t="shared" ref="J33:K37" si="8" xml:space="preserve"> IF( H33 &lt;&gt; "-", IF( F33 &lt;= H33, "Met", "Failed" ), "-" )</f>
        <v>Met</v>
      </c>
      <c r="K33" s="82" t="str">
        <f t="shared" ca="1" si="8"/>
        <v>-</v>
      </c>
      <c r="L33" s="282">
        <f ca="1" xml:space="preserve"> IF( H33 = "-", "-", COUNTIF( J33:K33, "Met" ) / $D33 )</f>
        <v>1</v>
      </c>
      <c r="N33" s="114">
        <f xml:space="preserve"> _xlfn.IFNA( VLOOKUP( $C33, 'INPUTS│Performance Commitments'!$C$75:$I$93, MATCH( N$4, 'INPUTS│Performance Commitments'!$G$3:$I$3, 0 ) + 4, 0 ), "-" )</f>
        <v>8.73</v>
      </c>
      <c r="O33" s="114" t="str">
        <f ca="1" xml:space="preserve"> IF( $D33 &gt; 1, OFFSET( 'INPUTS│Performance Commitments'!$F$75, MATCH( $C33, 'INPUTS│Performance Commitments'!$C$75:$C$93, 0 ), MATCH( $N$4, 'INPUTS│Performance Commitments'!$G$3:$I$3, 0 ) ), "-" )</f>
        <v>-</v>
      </c>
      <c r="P33" s="114">
        <f xml:space="preserve"> _xlfn.IFNA( VLOOKUP( $C33, 'INPUTS│Performance Commitments'!$C$53:$I$71, MATCH( P$4, 'INPUTS│Performance Commitments'!$G$3:$I$3, 0 ) + 4, 0 ), "-" )</f>
        <v>12</v>
      </c>
      <c r="Q33" s="114" t="str">
        <f ca="1" xml:space="preserve"> IF( $D33 &gt; 1, OFFSET( 'INPUTS│Performance Commitments'!$F$53, MATCH( $C33, 'INPUTS│Performance Commitments'!$C$53:$C$71, 0 ), MATCH( $P$4, 'INPUTS│Performance Commitments'!$G$3:$I$3, 0 ) ), "-" )</f>
        <v>-</v>
      </c>
      <c r="R33" s="82" t="str">
        <f t="shared" ref="R33:S37" si="9" xml:space="preserve"> IF( P33 &lt;&gt; "-", IF( N33 &lt;= P33, "Met", "Failed" ), "-" )</f>
        <v>Met</v>
      </c>
      <c r="S33" s="82" t="str">
        <f t="shared" ca="1" si="9"/>
        <v>-</v>
      </c>
      <c r="T33" s="282">
        <f ca="1" xml:space="preserve"> IF( P33 = "-", "-", COUNTIF( R33:S33, "Met" ) / $D33 )</f>
        <v>1</v>
      </c>
      <c r="U33" s="51"/>
      <c r="V33" s="273">
        <f xml:space="preserve"> _xlfn.IFNA( VLOOKUP( $C33, 'INPUTS│Performance Commitments'!$C$75:$L$93, MATCH( V$4, 'INPUTS│Performance Commitments'!$K$3:$L$3, 0 ) + 8, 0 ), "-" )</f>
        <v>8.73</v>
      </c>
      <c r="W33" s="273" t="str">
        <f ca="1" xml:space="preserve"> IF( $D33 &gt; 1, OFFSET( 'INPUTS│Performance Commitments'!$J$75, MATCH( $C33, 'INPUTS│Performance Commitments'!$C$75:$C$93, 0 ), MATCH( $V$4, 'INPUTS│Performance Commitments'!$K$3:$L$3, 0 ) ), "-" )</f>
        <v>-</v>
      </c>
      <c r="X33" s="273">
        <f xml:space="preserve"> _xlfn.IFNA( VLOOKUP( $C33, 'INPUTS│Performance Commitments'!$C$53:$L$71, MATCH( X$4, 'INPUTS│Performance Commitments'!$K$3:$L$3, 0 ) + 8, 0 ), "-" )</f>
        <v>12</v>
      </c>
      <c r="Y33" s="273" t="str">
        <f ca="1" xml:space="preserve"> IF( $D33 &gt; 1, OFFSET( 'INPUTS│Performance Commitments'!$J$53, MATCH( $C33, 'INPUTS│Performance Commitments'!$C$53:$C$71, 0 ), MATCH( $X$4, 'INPUTS│Performance Commitments'!$K$3:$L$3, 0 ) ), "-" )</f>
        <v>-</v>
      </c>
    </row>
    <row r="34" spans="3:25" hidden="1" outlineLevel="1" x14ac:dyDescent="0.2">
      <c r="C34" s="8" t="s">
        <v>81</v>
      </c>
      <c r="D34" s="202">
        <f xml:space="preserve"> COUNTIF( 'INPUTS│Performance Commitments'!$C$53:$C$71, C34 )</f>
        <v>1</v>
      </c>
      <c r="F34" s="114">
        <f xml:space="preserve"> _xlfn.IFNA( VLOOKUP( $C34, 'INPUTS│Performance Commitments'!$C$75:$I$93, MATCH( F$4, 'INPUTS│Performance Commitments'!$G$3:$I$3, 0 ) + 4, 0 ), "-" )</f>
        <v>43.3</v>
      </c>
      <c r="G34" s="114" t="str">
        <f ca="1" xml:space="preserve"> IF( $D34 &gt; 1, OFFSET( 'INPUTS│Performance Commitments'!$F$75, MATCH( $C34, 'INPUTS│Performance Commitments'!$C$75:$C$93, 0 ), MATCH( $F$4, 'INPUTS│Performance Commitments'!$G$3:$I$3, 0 ) ), "-" )</f>
        <v>-</v>
      </c>
      <c r="H34" s="114">
        <f xml:space="preserve"> _xlfn.IFNA( VLOOKUP( $C34, 'INPUTS│Performance Commitments'!$C$53:$I$71, MATCH( H$4, 'INPUTS│Performance Commitments'!$G$3:$I$3, 0 ) + 4, 0 ), "-" )</f>
        <v>12</v>
      </c>
      <c r="I34" s="114" t="str">
        <f ca="1" xml:space="preserve"> IF( $D34 &gt; 1, OFFSET( 'INPUTS│Performance Commitments'!$F$53, MATCH( $C34, 'INPUTS│Performance Commitments'!$C$53:$C$71, 0 ), MATCH( $H$4, 'INPUTS│Performance Commitments'!$G$3:$I$3, 0 ) ), "-" )</f>
        <v>-</v>
      </c>
      <c r="J34" s="82" t="str">
        <f t="shared" si="8"/>
        <v>Failed</v>
      </c>
      <c r="K34" s="82" t="str">
        <f t="shared" ca="1" si="8"/>
        <v>-</v>
      </c>
      <c r="L34" s="282">
        <f ca="1" xml:space="preserve"> IF( H34 = "-", "-", COUNTIF( J34:K34, "Met" ) / $D34 )</f>
        <v>0</v>
      </c>
      <c r="N34" s="114">
        <f xml:space="preserve"> _xlfn.IFNA( VLOOKUP( $C34, 'INPUTS│Performance Commitments'!$C$75:$I$93, MATCH( N$4, 'INPUTS│Performance Commitments'!$G$3:$I$3, 0 ) + 4, 0 ), "-" )</f>
        <v>16</v>
      </c>
      <c r="O34" s="114" t="str">
        <f ca="1" xml:space="preserve"> IF( $D34 &gt; 1, OFFSET( 'INPUTS│Performance Commitments'!$F$75, MATCH( $C34, 'INPUTS│Performance Commitments'!$C$75:$C$93, 0 ), MATCH( $N$4, 'INPUTS│Performance Commitments'!$G$3:$I$3, 0 ) ), "-" )</f>
        <v>-</v>
      </c>
      <c r="P34" s="114">
        <f xml:space="preserve"> _xlfn.IFNA( VLOOKUP( $C34, 'INPUTS│Performance Commitments'!$C$53:$I$71, MATCH( P$4, 'INPUTS│Performance Commitments'!$G$3:$I$3, 0 ) + 4, 0 ), "-" )</f>
        <v>12</v>
      </c>
      <c r="Q34" s="114" t="str">
        <f ca="1" xml:space="preserve"> IF( $D34 &gt; 1, OFFSET( 'INPUTS│Performance Commitments'!$F$53, MATCH( $C34, 'INPUTS│Performance Commitments'!$C$53:$C$71, 0 ), MATCH( $P$4, 'INPUTS│Performance Commitments'!$G$3:$I$3, 0 ) ), "-" )</f>
        <v>-</v>
      </c>
      <c r="R34" s="82" t="str">
        <f t="shared" si="9"/>
        <v>Failed</v>
      </c>
      <c r="S34" s="82" t="str">
        <f t="shared" ca="1" si="9"/>
        <v>-</v>
      </c>
      <c r="T34" s="282">
        <f ca="1" xml:space="preserve"> IF( P34 = "-", "-", COUNTIF( R34:S34, "Met" ) / $D34 )</f>
        <v>0</v>
      </c>
      <c r="U34" s="51"/>
      <c r="V34" s="273">
        <f xml:space="preserve"> _xlfn.IFNA( VLOOKUP( $C34, 'INPUTS│Performance Commitments'!$C$75:$L$93, MATCH( V$4, 'INPUTS│Performance Commitments'!$K$3:$L$3, 0 ) + 8, 0 ), "-" )</f>
        <v>16</v>
      </c>
      <c r="W34" s="273" t="str">
        <f ca="1" xml:space="preserve"> IF( $D34 &gt; 1, OFFSET( 'INPUTS│Performance Commitments'!$J$75, MATCH( $C34, 'INPUTS│Performance Commitments'!$C$75:$C$93, 0 ), MATCH( $V$4, 'INPUTS│Performance Commitments'!$K$3:$L$3, 0 ) ), "-" )</f>
        <v>-</v>
      </c>
      <c r="X34" s="273">
        <f xml:space="preserve"> _xlfn.IFNA( VLOOKUP( $C34, 'INPUTS│Performance Commitments'!$C$53:$L$71, MATCH( X$4, 'INPUTS│Performance Commitments'!$K$3:$L$3, 0 ) + 8, 0 ), "-" )</f>
        <v>12</v>
      </c>
      <c r="Y34" s="273" t="str">
        <f ca="1" xml:space="preserve"> IF( $D34 &gt; 1, OFFSET( 'INPUTS│Performance Commitments'!$J$53, MATCH( $C34, 'INPUTS│Performance Commitments'!$C$53:$C$71, 0 ), MATCH( $X$4, 'INPUTS│Performance Commitments'!$K$3:$L$3, 0 ) ), "-" )</f>
        <v>-</v>
      </c>
    </row>
    <row r="35" spans="3:25" hidden="1" outlineLevel="1" x14ac:dyDescent="0.2">
      <c r="C35" s="8" t="s">
        <v>84</v>
      </c>
      <c r="D35" s="202">
        <f xml:space="preserve"> COUNTIF( 'INPUTS│Performance Commitments'!$C$53:$C$71, C35 )</f>
        <v>2</v>
      </c>
      <c r="F35" s="114" t="str">
        <f xml:space="preserve"> _xlfn.IFNA( VLOOKUP( $C35, 'INPUTS│Performance Commitments'!$C$75:$I$93, MATCH( F$4, 'INPUTS│Performance Commitments'!$G$3:$I$3, 0 ) + 4, 0 ), "-" )</f>
        <v>-</v>
      </c>
      <c r="G35" s="114" t="str">
        <f ca="1" xml:space="preserve"> IF( $D35 &gt; 1, OFFSET( 'INPUTS│Performance Commitments'!$F$75, MATCH( $C35, 'INPUTS│Performance Commitments'!$C$75:$C$93, 0 ), MATCH( $F$4, 'INPUTS│Performance Commitments'!$G$3:$I$3, 0 ) ), "-" )</f>
        <v>-</v>
      </c>
      <c r="H35" s="114" t="str">
        <f xml:space="preserve"> _xlfn.IFNA( VLOOKUP( $C35, 'INPUTS│Performance Commitments'!$C$53:$I$71, MATCH( H$4, 'INPUTS│Performance Commitments'!$G$3:$I$3, 0 ) + 4, 0 ), "-" )</f>
        <v>-</v>
      </c>
      <c r="I35" s="114" t="str">
        <f ca="1" xml:space="preserve"> IF( $D35 &gt; 1, OFFSET( 'INPUTS│Performance Commitments'!$F$53, MATCH( $C35, 'INPUTS│Performance Commitments'!$C$53:$C$71, 0 ), MATCH( $H$4, 'INPUTS│Performance Commitments'!$G$3:$I$3, 0 ) ), "-" )</f>
        <v>-</v>
      </c>
      <c r="J35" s="82" t="str">
        <f t="shared" si="8"/>
        <v>-</v>
      </c>
      <c r="K35" s="82" t="str">
        <f t="shared" ca="1" si="8"/>
        <v>-</v>
      </c>
      <c r="L35" s="282" t="str">
        <f xml:space="preserve"> IF( H35 = "-", "-", COUNTIF( J35:K35, "Met" ) / $D35 )</f>
        <v>-</v>
      </c>
      <c r="N35" s="114">
        <f xml:space="preserve"> _xlfn.IFNA( VLOOKUP( $C35, 'INPUTS│Performance Commitments'!$C$75:$I$93, MATCH( N$4, 'INPUTS│Performance Commitments'!$G$3:$I$3, 0 ) + 4, 0 ), "-" )</f>
        <v>0.12</v>
      </c>
      <c r="O35" s="114">
        <f ca="1" xml:space="preserve"> IF( $D35 &gt; 1, OFFSET( 'INPUTS│Performance Commitments'!$F$75, MATCH( $C35, 'INPUTS│Performance Commitments'!$C$75:$C$93, 0 ), MATCH( $N$4, 'INPUTS│Performance Commitments'!$G$3:$I$3, 0 ) ), "-" )</f>
        <v>93.744790337089739</v>
      </c>
      <c r="P35" s="114">
        <f xml:space="preserve"> _xlfn.IFNA( VLOOKUP( $C35, 'INPUTS│Performance Commitments'!$C$53:$I$71, MATCH( P$4, 'INPUTS│Performance Commitments'!$G$3:$I$3, 0 ) + 4, 0 ), "-" )</f>
        <v>0.2</v>
      </c>
      <c r="Q35" s="114">
        <f ca="1" xml:space="preserve"> IF( $D35 &gt; 1, OFFSET( 'INPUTS│Performance Commitments'!$F$53, MATCH( $C35, 'INPUTS│Performance Commitments'!$C$53:$C$71, 0 ), MATCH( $P$4, 'INPUTS│Performance Commitments'!$G$3:$I$3, 0 ) ), "-" )</f>
        <v>7.1</v>
      </c>
      <c r="R35" s="82" t="str">
        <f t="shared" si="9"/>
        <v>Met</v>
      </c>
      <c r="S35" s="82" t="str">
        <f t="shared" ca="1" si="9"/>
        <v>Failed</v>
      </c>
      <c r="T35" s="282">
        <f ca="1" xml:space="preserve"> IF( P35 = "-", "-", COUNTIF( R35:S35, "Met" ) / $D35 )</f>
        <v>0.5</v>
      </c>
      <c r="U35" s="51"/>
      <c r="V35" s="273">
        <f xml:space="preserve"> _xlfn.IFNA( VLOOKUP( $C35, 'INPUTS│Performance Commitments'!$C$75:$L$93, MATCH( V$4, 'INPUTS│Performance Commitments'!$K$3:$L$3, 0 ) + 8, 0 ), "-" )</f>
        <v>7.1999999999999993</v>
      </c>
      <c r="W35" s="273">
        <f ca="1" xml:space="preserve"> IF( $D35 &gt; 1, OFFSET( 'INPUTS│Performance Commitments'!$J$75, MATCH( $C35, 'INPUTS│Performance Commitments'!$C$75:$C$93, 0 ), MATCH( $V$4, 'INPUTS│Performance Commitments'!$K$3:$L$3, 0 ) ), "-" )</f>
        <v>93.744790337089739</v>
      </c>
      <c r="X35" s="273">
        <f xml:space="preserve"> _xlfn.IFNA( VLOOKUP( $C35, 'INPUTS│Performance Commitments'!$C$53:$L$71, MATCH( X$4, 'INPUTS│Performance Commitments'!$K$3:$L$3, 0 ) + 8, 0 ), "-" )</f>
        <v>12</v>
      </c>
      <c r="Y35" s="273">
        <f ca="1" xml:space="preserve"> IF( $D35 &gt; 1, OFFSET( 'INPUTS│Performance Commitments'!$J$53, MATCH( $C35, 'INPUTS│Performance Commitments'!$C$53:$C$71, 0 ), MATCH( $X$4, 'INPUTS│Performance Commitments'!$K$3:$L$3, 0 ) ), "-" )</f>
        <v>7.1</v>
      </c>
    </row>
    <row r="36" spans="3:25" hidden="1" outlineLevel="1" x14ac:dyDescent="0.2">
      <c r="C36" s="8" t="s">
        <v>86</v>
      </c>
      <c r="D36" s="202">
        <f xml:space="preserve"> COUNTIF( 'INPUTS│Performance Commitments'!$C$53:$C$71, C36 )</f>
        <v>1</v>
      </c>
      <c r="F36" s="114">
        <f xml:space="preserve"> _xlfn.IFNA( VLOOKUP( $C36, 'INPUTS│Performance Commitments'!$C$75:$I$93, MATCH( F$4, 'INPUTS│Performance Commitments'!$G$3:$I$3, 0 ) + 4, 0 ), "-" )</f>
        <v>0.22430555555555556</v>
      </c>
      <c r="G36" s="114" t="str">
        <f ca="1" xml:space="preserve"> IF( $D36 &gt; 1, OFFSET( 'INPUTS│Performance Commitments'!$F$75, MATCH( $C36, 'INPUTS│Performance Commitments'!$C$75:$C$93, 0 ), MATCH( $F$4, 'INPUTS│Performance Commitments'!$G$3:$I$3, 0 ) ), "-" )</f>
        <v>-</v>
      </c>
      <c r="H36" s="114">
        <f xml:space="preserve"> _xlfn.IFNA( VLOOKUP( $C36, 'INPUTS│Performance Commitments'!$C$53:$I$71, MATCH( H$4, 'INPUTS│Performance Commitments'!$G$3:$I$3, 0 ) + 4, 0 ), "-" )</f>
        <v>0.24722222222222223</v>
      </c>
      <c r="I36" s="114" t="str">
        <f ca="1" xml:space="preserve"> IF( $D36 &gt; 1, OFFSET( 'INPUTS│Performance Commitments'!$F$53, MATCH( $C36, 'INPUTS│Performance Commitments'!$C$53:$C$71, 0 ), MATCH( $H$4, 'INPUTS│Performance Commitments'!$G$3:$I$3, 0 ) ), "-" )</f>
        <v>-</v>
      </c>
      <c r="J36" s="82" t="str">
        <f t="shared" si="8"/>
        <v>Met</v>
      </c>
      <c r="K36" s="82" t="str">
        <f t="shared" ca="1" si="8"/>
        <v>-</v>
      </c>
      <c r="L36" s="282">
        <f ca="1" xml:space="preserve"> IF( H36 = "-", "-", COUNTIF( J36:K36, "Met" ) / $D36 )</f>
        <v>1</v>
      </c>
      <c r="N36" s="114">
        <f xml:space="preserve"> _xlfn.IFNA( VLOOKUP( $C36, 'INPUTS│Performance Commitments'!$C$75:$I$93, MATCH( N$4, 'INPUTS│Performance Commitments'!$G$3:$I$3, 0 ) + 4, 0 ), "-" )</f>
        <v>0.3833333333333333</v>
      </c>
      <c r="O36" s="114" t="str">
        <f ca="1" xml:space="preserve"> IF( $D36 &gt; 1, OFFSET( 'INPUTS│Performance Commitments'!$F$75, MATCH( $C36, 'INPUTS│Performance Commitments'!$C$75:$C$93, 0 ), MATCH( $N$4, 'INPUTS│Performance Commitments'!$G$3:$I$3, 0 ) ), "-" )</f>
        <v>-</v>
      </c>
      <c r="P36" s="114">
        <f xml:space="preserve"> _xlfn.IFNA( VLOOKUP( $C36, 'INPUTS│Performance Commitments'!$C$53:$I$71, MATCH( P$4, 'INPUTS│Performance Commitments'!$G$3:$I$3, 0 ) + 4, 0 ), "-" )</f>
        <v>0.22847222222222222</v>
      </c>
      <c r="Q36" s="114" t="str">
        <f ca="1" xml:space="preserve"> IF( $D36 &gt; 1, OFFSET( 'INPUTS│Performance Commitments'!$F$53, MATCH( $C36, 'INPUTS│Performance Commitments'!$C$53:$C$71, 0 ), MATCH( $P$4, 'INPUTS│Performance Commitments'!$G$3:$I$3, 0 ) ), "-" )</f>
        <v>-</v>
      </c>
      <c r="R36" s="82" t="str">
        <f t="shared" si="9"/>
        <v>Failed</v>
      </c>
      <c r="S36" s="82" t="str">
        <f t="shared" ca="1" si="9"/>
        <v>-</v>
      </c>
      <c r="T36" s="282">
        <f ca="1" xml:space="preserve"> IF( P36 = "-", "-", COUNTIF( R36:S36, "Met" ) / $D36 )</f>
        <v>0</v>
      </c>
      <c r="U36" s="51"/>
      <c r="V36" s="273">
        <f xml:space="preserve"> _xlfn.IFNA( VLOOKUP( $C36, 'INPUTS│Performance Commitments'!$C$75:$L$93, MATCH( V$4, 'INPUTS│Performance Commitments'!$K$3:$L$3, 0 ) + 8, 0 ), "-" )</f>
        <v>9.1999999999999993</v>
      </c>
      <c r="W36" s="273" t="str">
        <f ca="1" xml:space="preserve"> IF( $D36 &gt; 1, OFFSET( 'INPUTS│Performance Commitments'!$J$75, MATCH( $C36, 'INPUTS│Performance Commitments'!$C$75:$C$93, 0 ), MATCH( $V$4, 'INPUTS│Performance Commitments'!$K$3:$L$3, 0 ) ), "-" )</f>
        <v>-</v>
      </c>
      <c r="X36" s="273">
        <f xml:space="preserve"> _xlfn.IFNA( VLOOKUP( $C36, 'INPUTS│Performance Commitments'!$C$53:$L$71, MATCH( X$4, 'INPUTS│Performance Commitments'!$K$3:$L$3, 0 ) + 8, 0 ), "-" )</f>
        <v>5.4833333333333334</v>
      </c>
      <c r="Y36" s="273" t="str">
        <f ca="1" xml:space="preserve"> IF( $D36 &gt; 1, OFFSET( 'INPUTS│Performance Commitments'!$J$53, MATCH( $C36, 'INPUTS│Performance Commitments'!$C$53:$C$71, 0 ), MATCH( $X$4, 'INPUTS│Performance Commitments'!$K$3:$L$3, 0 ) ), "-" )</f>
        <v>-</v>
      </c>
    </row>
    <row r="37" spans="3:25" hidden="1" outlineLevel="1" x14ac:dyDescent="0.2">
      <c r="C37" s="8" t="s">
        <v>88</v>
      </c>
      <c r="D37" s="202">
        <f xml:space="preserve"> COUNTIF( 'INPUTS│Performance Commitments'!$C$53:$C$71, C37 )</f>
        <v>2</v>
      </c>
      <c r="F37" s="114" t="str">
        <f xml:space="preserve"> _xlfn.IFNA( VLOOKUP( $C37, 'INPUTS│Performance Commitments'!$C$75:$I$93, MATCH( F$4, 'INPUTS│Performance Commitments'!$G$3:$I$3, 0 ) + 4, 0 ), "-" )</f>
        <v>-</v>
      </c>
      <c r="G37" s="114" t="str">
        <f ca="1" xml:space="preserve"> IF( $D37 &gt; 1, OFFSET( 'INPUTS│Performance Commitments'!$F$75, MATCH( $C37, 'INPUTS│Performance Commitments'!$C$75:$C$93, 0 ), MATCH( $F$4, 'INPUTS│Performance Commitments'!$G$3:$I$3, 0 ) ), "-" )</f>
        <v>-</v>
      </c>
      <c r="H37" s="114" t="str">
        <f xml:space="preserve"> _xlfn.IFNA( VLOOKUP( $C37, 'INPUTS│Performance Commitments'!$C$53:$I$71, MATCH( H$4, 'INPUTS│Performance Commitments'!$G$3:$I$3, 0 ) + 4, 0 ), "-" )</f>
        <v>-</v>
      </c>
      <c r="I37" s="114" t="str">
        <f ca="1" xml:space="preserve"> IF( $D37 &gt; 1, OFFSET( 'INPUTS│Performance Commitments'!$F$53, MATCH( $C37, 'INPUTS│Performance Commitments'!$C$53:$C$71, 0 ), MATCH( $H$4, 'INPUTS│Performance Commitments'!$G$3:$I$3, 0 ) ), "-" )</f>
        <v>-</v>
      </c>
      <c r="J37" s="82" t="str">
        <f t="shared" si="8"/>
        <v>-</v>
      </c>
      <c r="K37" s="82" t="str">
        <f t="shared" ca="1" si="8"/>
        <v>-</v>
      </c>
      <c r="L37" s="282" t="str">
        <f xml:space="preserve"> IF( H37 = "-", "-", COUNTIF( J37:K37, "Met" ) / $D37 )</f>
        <v>-</v>
      </c>
      <c r="N37" s="114">
        <f xml:space="preserve"> _xlfn.IFNA( VLOOKUP( $C37, 'INPUTS│Performance Commitments'!$C$75:$I$93, MATCH( N$4, 'INPUTS│Performance Commitments'!$G$3:$I$3, 0 ) + 4, 0 ), "-" )</f>
        <v>19.059999999999999</v>
      </c>
      <c r="O37" s="114">
        <f ca="1" xml:space="preserve"> IF( $D37 &gt; 1, OFFSET( 'INPUTS│Performance Commitments'!$F$75, MATCH( $C37, 'INPUTS│Performance Commitments'!$C$75:$C$93, 0 ), MATCH( $N$4, 'INPUTS│Performance Commitments'!$G$3:$I$3, 0 ) ), "-" )</f>
        <v>0.03</v>
      </c>
      <c r="P37" s="114">
        <f xml:space="preserve"> _xlfn.IFNA( VLOOKUP( $C37, 'INPUTS│Performance Commitments'!$C$53:$I$71, MATCH( P$4, 'INPUTS│Performance Commitments'!$G$3:$I$3, 0 ) + 4, 0 ), "-" )</f>
        <v>9.4</v>
      </c>
      <c r="Q37" s="114">
        <f ca="1" xml:space="preserve"> IF( $D37 &gt; 1, OFFSET( 'INPUTS│Performance Commitments'!$F$53, MATCH( $C37, 'INPUTS│Performance Commitments'!$C$53:$C$71, 0 ), MATCH( $P$4, 'INPUTS│Performance Commitments'!$G$3:$I$3, 0 ) ), "-" )</f>
        <v>0.2</v>
      </c>
      <c r="R37" s="82" t="str">
        <f t="shared" si="9"/>
        <v>Failed</v>
      </c>
      <c r="S37" s="82" t="str">
        <f t="shared" ca="1" si="9"/>
        <v>Met</v>
      </c>
      <c r="T37" s="282">
        <f ca="1" xml:space="preserve"> IF( P37 = "-", "-", COUNTIF( R37:S37, "Met" ) / $D37 )</f>
        <v>0.5</v>
      </c>
      <c r="U37" s="51"/>
      <c r="V37" s="273">
        <f xml:space="preserve"> _xlfn.IFNA( VLOOKUP( $C37, 'INPUTS│Performance Commitments'!$C$75:$L$93, MATCH( V$4, 'INPUTS│Performance Commitments'!$K$3:$L$3, 0 ) + 8, 0 ), "-" )</f>
        <v>19.059999999999999</v>
      </c>
      <c r="W37" s="273">
        <f ca="1" xml:space="preserve"> IF( $D37 &gt; 1, OFFSET( 'INPUTS│Performance Commitments'!$J$75, MATCH( $C37, 'INPUTS│Performance Commitments'!$C$75:$C$93, 0 ), MATCH( $V$4, 'INPUTS│Performance Commitments'!$K$3:$L$3, 0 ) ), "-" )</f>
        <v>1.7999999999999998</v>
      </c>
      <c r="X37" s="273">
        <f xml:space="preserve"> _xlfn.IFNA( VLOOKUP( $C37, 'INPUTS│Performance Commitments'!$C$53:$L$71, MATCH( X$4, 'INPUTS│Performance Commitments'!$K$3:$L$3, 0 ) + 8, 0 ), "-" )</f>
        <v>9.4</v>
      </c>
      <c r="Y37" s="273">
        <f ca="1" xml:space="preserve"> IF( $D37 &gt; 1, OFFSET( 'INPUTS│Performance Commitments'!$J$53, MATCH( $C37, 'INPUTS│Performance Commitments'!$C$53:$C$71, 0 ), MATCH( $X$4, 'INPUTS│Performance Commitments'!$K$3:$L$3, 0 ) ), "-" )</f>
        <v>12</v>
      </c>
    </row>
    <row r="38" spans="3:25" s="88" customFormat="1" hidden="1" outlineLevel="1" x14ac:dyDescent="0.2">
      <c r="C38" s="88" t="s">
        <v>90</v>
      </c>
      <c r="D38" s="90">
        <f xml:space="preserve"> SUM( D51, D52 )</f>
        <v>2</v>
      </c>
      <c r="F38" s="91">
        <f>F51</f>
        <v>0.54400000000000004</v>
      </c>
      <c r="G38" s="91">
        <f>F52</f>
        <v>0.7</v>
      </c>
      <c r="H38" s="91">
        <f>H51</f>
        <v>0.22800000000000001</v>
      </c>
      <c r="I38" s="91">
        <f>H52</f>
        <v>4.4000000000000004</v>
      </c>
      <c r="J38" s="91" t="str">
        <f>J51</f>
        <v>Failed</v>
      </c>
      <c r="K38" s="91" t="str">
        <f>J52</f>
        <v>Met</v>
      </c>
      <c r="L38" s="282">
        <f ca="1" xml:space="preserve"> IF( OR( L51 = "-", L52 = "-" ), MAX( L51:L52 ), SUM( L51:L52 ) / 2 )</f>
        <v>0.5</v>
      </c>
      <c r="N38" s="91">
        <f>N51</f>
        <v>0.161</v>
      </c>
      <c r="O38" s="91">
        <f>N52</f>
        <v>0.66</v>
      </c>
      <c r="P38" s="91">
        <f>P51</f>
        <v>0.214</v>
      </c>
      <c r="Q38" s="91">
        <f>P52</f>
        <v>4.4000000000000004</v>
      </c>
      <c r="R38" s="91" t="str">
        <f>R51</f>
        <v>Met</v>
      </c>
      <c r="S38" s="91" t="str">
        <f>R52</f>
        <v>Met</v>
      </c>
      <c r="T38" s="282">
        <f ca="1" xml:space="preserve"> IF( OR( T51 = "-", T52 = "-" ), MAX( T51:T52 ), SUM( T51:T52 ) / 2 )</f>
        <v>1</v>
      </c>
      <c r="U38" s="96"/>
      <c r="V38" s="273">
        <f>V51</f>
        <v>9.66</v>
      </c>
      <c r="W38" s="273">
        <f>V52</f>
        <v>0.66</v>
      </c>
      <c r="X38" s="273">
        <f>X51</f>
        <v>12.84</v>
      </c>
      <c r="Y38" s="273">
        <f>X52</f>
        <v>4.4000000000000004</v>
      </c>
    </row>
    <row r="39" spans="3:25" hidden="1" outlineLevel="1" x14ac:dyDescent="0.2">
      <c r="C39" s="8" t="s">
        <v>93</v>
      </c>
      <c r="D39" s="202">
        <f xml:space="preserve"> COUNTIF( 'INPUTS│Performance Commitments'!$C$53:$C$71, C39 )</f>
        <v>1</v>
      </c>
      <c r="F39" s="114">
        <f xml:space="preserve"> _xlfn.IFNA( VLOOKUP( $C39, 'INPUTS│Performance Commitments'!$C$75:$I$93, MATCH( F$4, 'INPUTS│Performance Commitments'!$G$3:$I$3, 0 ) + 4, 0 ), "-" )</f>
        <v>16.77</v>
      </c>
      <c r="G39" s="114" t="str">
        <f ca="1" xml:space="preserve"> IF( $D39 &gt; 1, OFFSET( 'INPUTS│Performance Commitments'!$F$75, MATCH( $C39, 'INPUTS│Performance Commitments'!$C$75:$C$93, 0 ), MATCH( $F$4, 'INPUTS│Performance Commitments'!$G$3:$I$3, 0 ) ), "-" )</f>
        <v>-</v>
      </c>
      <c r="H39" s="114">
        <f xml:space="preserve"> _xlfn.IFNA( VLOOKUP( $C39, 'INPUTS│Performance Commitments'!$C$53:$I$71, MATCH( H$4, 'INPUTS│Performance Commitments'!$G$3:$I$3, 0 ) + 4, 0 ), "-" )</f>
        <v>9</v>
      </c>
      <c r="I39" s="114" t="str">
        <f ca="1" xml:space="preserve"> IF( $D39 &gt; 1, OFFSET( 'INPUTS│Performance Commitments'!$F$53, MATCH( $C39, 'INPUTS│Performance Commitments'!$C$53:$C$71, 0 ), MATCH( $H$4, 'INPUTS│Performance Commitments'!$G$3:$I$3, 0 ) ), "-" )</f>
        <v>-</v>
      </c>
      <c r="J39" s="82" t="str">
        <f t="shared" ref="J39:J48" si="10" xml:space="preserve"> IF( H39 &lt;&gt; "-", IF( F39 &lt;= H39, "Met", "Failed" ), "-" )</f>
        <v>Failed</v>
      </c>
      <c r="K39" s="82" t="str">
        <f t="shared" ref="K39:K48" ca="1" si="11" xml:space="preserve"> IF( I39 &lt;&gt; "-", IF( G39 &lt;= I39, "Met", "Failed" ), "-" )</f>
        <v>-</v>
      </c>
      <c r="L39" s="282">
        <f t="shared" ref="L39:L49" ca="1" si="12" xml:space="preserve"> IF( H39 = "-", "-", COUNTIF( J39:K39, "Met" ) / $D39 )</f>
        <v>0</v>
      </c>
      <c r="N39" s="114">
        <f xml:space="preserve"> _xlfn.IFNA( VLOOKUP( $C39, 'INPUTS│Performance Commitments'!$C$75:$I$93, MATCH( N$4, 'INPUTS│Performance Commitments'!$G$3:$I$3, 0 ) + 4, 0 ), "-" )</f>
        <v>7.38</v>
      </c>
      <c r="O39" s="114" t="str">
        <f ca="1" xml:space="preserve"> IF( $D39 &gt; 1, OFFSET( 'INPUTS│Performance Commitments'!$F$75, MATCH( $C39, 'INPUTS│Performance Commitments'!$C$75:$C$93, 0 ), MATCH( $N$4, 'INPUTS│Performance Commitments'!$G$3:$I$3, 0 ) ), "-" )</f>
        <v>-</v>
      </c>
      <c r="P39" s="114">
        <f xml:space="preserve"> _xlfn.IFNA( VLOOKUP( $C39, 'INPUTS│Performance Commitments'!$C$53:$I$71, MATCH( P$4, 'INPUTS│Performance Commitments'!$G$3:$I$3, 0 ) + 4, 0 ), "-" )</f>
        <v>9</v>
      </c>
      <c r="Q39" s="114" t="str">
        <f ca="1" xml:space="preserve"> IF( $D39 &gt; 1, OFFSET( 'INPUTS│Performance Commitments'!$F$53, MATCH( $C39, 'INPUTS│Performance Commitments'!$C$53:$C$71, 0 ), MATCH( $P$4, 'INPUTS│Performance Commitments'!$G$3:$I$3, 0 ) ), "-" )</f>
        <v>-</v>
      </c>
      <c r="R39" s="82" t="str">
        <f t="shared" ref="R39:R48" si="13" xml:space="preserve"> IF( P39 &lt;&gt; "-", IF( N39 &lt;= P39, "Met", "Failed" ), "-" )</f>
        <v>Met</v>
      </c>
      <c r="S39" s="82" t="str">
        <f t="shared" ref="S39:S48" ca="1" si="14" xml:space="preserve"> IF( Q39 &lt;&gt; "-", IF( O39 &lt;= Q39, "Met", "Failed" ), "-" )</f>
        <v>-</v>
      </c>
      <c r="T39" s="282">
        <f t="shared" ref="T39:T49" ca="1" si="15" xml:space="preserve"> IF( P39 = "-", "-", COUNTIF( R39:S39, "Met" ) / $D39 )</f>
        <v>1</v>
      </c>
      <c r="U39" s="51"/>
      <c r="V39" s="273">
        <f xml:space="preserve"> _xlfn.IFNA( VLOOKUP( $C39, 'INPUTS│Performance Commitments'!$C$75:$L$93, MATCH( V$4, 'INPUTS│Performance Commitments'!$K$3:$L$3, 0 ) + 8, 0 ), "-" )</f>
        <v>7.38</v>
      </c>
      <c r="W39" s="273" t="str">
        <f ca="1" xml:space="preserve"> IF( $D39 &gt; 1, OFFSET( 'INPUTS│Performance Commitments'!$J$75, MATCH( $C39, 'INPUTS│Performance Commitments'!$C$75:$C$93, 0 ), MATCH( $V$4, 'INPUTS│Performance Commitments'!$K$3:$L$3, 0 ) ), "-" )</f>
        <v>-</v>
      </c>
      <c r="X39" s="273">
        <f xml:space="preserve"> _xlfn.IFNA( VLOOKUP( $C39, 'INPUTS│Performance Commitments'!$C$53:$L$71, MATCH( X$4, 'INPUTS│Performance Commitments'!$K$3:$L$3, 0 ) + 8, 0 ), "-" )</f>
        <v>9</v>
      </c>
      <c r="Y39" s="273" t="str">
        <f ca="1" xml:space="preserve"> IF( $D39 &gt; 1, OFFSET( 'INPUTS│Performance Commitments'!$J$53, MATCH( $C39, 'INPUTS│Performance Commitments'!$C$53:$C$71, 0 ), MATCH( $X$4, 'INPUTS│Performance Commitments'!$K$3:$L$3, 0 ) ), "-" )</f>
        <v>-</v>
      </c>
    </row>
    <row r="40" spans="3:25" hidden="1" outlineLevel="1" x14ac:dyDescent="0.2">
      <c r="C40" s="8" t="s">
        <v>95</v>
      </c>
      <c r="D40" s="202">
        <f xml:space="preserve"> COUNTIF( 'INPUTS│Performance Commitments'!$C$53:$C$71, C40 )</f>
        <v>1</v>
      </c>
      <c r="F40" s="114">
        <f xml:space="preserve"> _xlfn.IFNA( VLOOKUP( $C40, 'INPUTS│Performance Commitments'!$C$75:$I$93, MATCH( F$4, 'INPUTS│Performance Commitments'!$G$3:$I$3, 0 ) + 4, 0 ), "-" )</f>
        <v>0.21</v>
      </c>
      <c r="G40" s="114" t="str">
        <f ca="1" xml:space="preserve"> IF( $D40 &gt; 1, OFFSET( 'INPUTS│Performance Commitments'!$F$75, MATCH( $C40, 'INPUTS│Performance Commitments'!$C$75:$C$93, 0 ), MATCH( $F$4, 'INPUTS│Performance Commitments'!$G$3:$I$3, 0 ) ), "-" )</f>
        <v>-</v>
      </c>
      <c r="H40" s="114">
        <f xml:space="preserve"> _xlfn.IFNA( VLOOKUP( $C40, 'INPUTS│Performance Commitments'!$C$53:$I$71, MATCH( H$4, 'INPUTS│Performance Commitments'!$G$3:$I$3, 0 ) + 4, 0 ), "-" )</f>
        <v>0.13</v>
      </c>
      <c r="I40" s="114" t="str">
        <f ca="1" xml:space="preserve"> IF( $D40 &gt; 1, OFFSET( 'INPUTS│Performance Commitments'!$F$53, MATCH( $C40, 'INPUTS│Performance Commitments'!$C$53:$C$71, 0 ), MATCH( $H$4, 'INPUTS│Performance Commitments'!$G$3:$I$3, 0 ) ), "-" )</f>
        <v>-</v>
      </c>
      <c r="J40" s="82" t="str">
        <f t="shared" si="10"/>
        <v>Failed</v>
      </c>
      <c r="K40" s="82" t="str">
        <f t="shared" ca="1" si="11"/>
        <v>-</v>
      </c>
      <c r="L40" s="282">
        <f t="shared" ca="1" si="12"/>
        <v>0</v>
      </c>
      <c r="N40" s="114">
        <f xml:space="preserve"> _xlfn.IFNA( VLOOKUP( $C40, 'INPUTS│Performance Commitments'!$C$75:$I$93, MATCH( N$4, 'INPUTS│Performance Commitments'!$G$3:$I$3, 0 ) + 4, 0 ), "-" )</f>
        <v>0.26</v>
      </c>
      <c r="O40" s="114" t="str">
        <f ca="1" xml:space="preserve"> IF( $D40 &gt; 1, OFFSET( 'INPUTS│Performance Commitments'!$F$75, MATCH( $C40, 'INPUTS│Performance Commitments'!$C$75:$C$93, 0 ), MATCH( $N$4, 'INPUTS│Performance Commitments'!$G$3:$I$3, 0 ) ), "-" )</f>
        <v>-</v>
      </c>
      <c r="P40" s="114">
        <f xml:space="preserve"> _xlfn.IFNA( VLOOKUP( $C40, 'INPUTS│Performance Commitments'!$C$53:$I$71, MATCH( P$4, 'INPUTS│Performance Commitments'!$G$3:$I$3, 0 ) + 4, 0 ), "-" )</f>
        <v>0.13</v>
      </c>
      <c r="Q40" s="114" t="str">
        <f ca="1" xml:space="preserve"> IF( $D40 &gt; 1, OFFSET( 'INPUTS│Performance Commitments'!$F$53, MATCH( $C40, 'INPUTS│Performance Commitments'!$C$53:$C$71, 0 ), MATCH( $P$4, 'INPUTS│Performance Commitments'!$G$3:$I$3, 0 ) ), "-" )</f>
        <v>-</v>
      </c>
      <c r="R40" s="82" t="str">
        <f t="shared" si="13"/>
        <v>Failed</v>
      </c>
      <c r="S40" s="82" t="str">
        <f t="shared" ca="1" si="14"/>
        <v>-</v>
      </c>
      <c r="T40" s="282">
        <f t="shared" ca="1" si="15"/>
        <v>0</v>
      </c>
      <c r="U40" s="51"/>
      <c r="V40" s="273">
        <f xml:space="preserve"> _xlfn.IFNA( VLOOKUP( $C40, 'INPUTS│Performance Commitments'!$C$75:$L$93, MATCH( V$4, 'INPUTS│Performance Commitments'!$K$3:$L$3, 0 ) + 8, 0 ), "-" )</f>
        <v>15.600000000000001</v>
      </c>
      <c r="W40" s="273" t="str">
        <f ca="1" xml:space="preserve"> IF( $D40 &gt; 1, OFFSET( 'INPUTS│Performance Commitments'!$J$75, MATCH( $C40, 'INPUTS│Performance Commitments'!$C$75:$C$93, 0 ), MATCH( $V$4, 'INPUTS│Performance Commitments'!$K$3:$L$3, 0 ) ), "-" )</f>
        <v>-</v>
      </c>
      <c r="X40" s="273">
        <f xml:space="preserve"> _xlfn.IFNA( VLOOKUP( $C40, 'INPUTS│Performance Commitments'!$C$53:$L$71, MATCH( X$4, 'INPUTS│Performance Commitments'!$K$3:$L$3, 0 ) + 8, 0 ), "-" )</f>
        <v>7.8000000000000007</v>
      </c>
      <c r="Y40" s="273" t="str">
        <f ca="1" xml:space="preserve"> IF( $D40 &gt; 1, OFFSET( 'INPUTS│Performance Commitments'!$J$53, MATCH( $C40, 'INPUTS│Performance Commitments'!$C$53:$C$71, 0 ), MATCH( $X$4, 'INPUTS│Performance Commitments'!$K$3:$L$3, 0 ) ), "-" )</f>
        <v>-</v>
      </c>
    </row>
    <row r="41" spans="3:25" hidden="1" outlineLevel="1" x14ac:dyDescent="0.2">
      <c r="C41" s="8" t="s">
        <v>97</v>
      </c>
      <c r="D41" s="202">
        <f xml:space="preserve"> COUNTIF( 'INPUTS│Performance Commitments'!$C$53:$C$71, C41 )</f>
        <v>1</v>
      </c>
      <c r="F41" s="114">
        <f xml:space="preserve"> _xlfn.IFNA( VLOOKUP( $C41, 'INPUTS│Performance Commitments'!$C$75:$I$93, MATCH( F$4, 'INPUTS│Performance Commitments'!$G$3:$I$3, 0 ) + 4, 0 ), "-" )</f>
        <v>0.54791666666666672</v>
      </c>
      <c r="G41" s="114" t="str">
        <f ca="1" xml:space="preserve"> IF( $D41 &gt; 1, OFFSET( 'INPUTS│Performance Commitments'!$F$75, MATCH( $C41, 'INPUTS│Performance Commitments'!$C$75:$C$93, 0 ), MATCH( $F$4, 'INPUTS│Performance Commitments'!$G$3:$I$3, 0 ) ), "-" )</f>
        <v>-</v>
      </c>
      <c r="H41" s="114">
        <f xml:space="preserve"> _xlfn.IFNA( VLOOKUP( $C41, 'INPUTS│Performance Commitments'!$C$53:$I$71, MATCH( H$4, 'INPUTS│Performance Commitments'!$G$3:$I$3, 0 ) + 4, 0 ), "-" )</f>
        <v>0.5</v>
      </c>
      <c r="I41" s="114" t="str">
        <f ca="1" xml:space="preserve"> IF( $D41 &gt; 1, OFFSET( 'INPUTS│Performance Commitments'!$F$53, MATCH( $C41, 'INPUTS│Performance Commitments'!$C$53:$C$71, 0 ), MATCH( $H$4, 'INPUTS│Performance Commitments'!$G$3:$I$3, 0 ) ), "-" )</f>
        <v>-</v>
      </c>
      <c r="J41" s="82" t="str">
        <f t="shared" si="10"/>
        <v>Failed</v>
      </c>
      <c r="K41" s="82" t="str">
        <f t="shared" ca="1" si="11"/>
        <v>-</v>
      </c>
      <c r="L41" s="282">
        <f t="shared" ca="1" si="12"/>
        <v>0</v>
      </c>
      <c r="N41" s="114">
        <f xml:space="preserve"> _xlfn.IFNA( VLOOKUP( $C41, 'INPUTS│Performance Commitments'!$C$75:$I$93, MATCH( N$4, 'INPUTS│Performance Commitments'!$G$3:$I$3, 0 ) + 4, 0 ), "-" )</f>
        <v>0.38194444444444442</v>
      </c>
      <c r="O41" s="114" t="str">
        <f ca="1" xml:space="preserve"> IF( $D41 &gt; 1, OFFSET( 'INPUTS│Performance Commitments'!$F$75, MATCH( $C41, 'INPUTS│Performance Commitments'!$C$75:$C$93, 0 ), MATCH( $N$4, 'INPUTS│Performance Commitments'!$G$3:$I$3, 0 ) ), "-" )</f>
        <v>-</v>
      </c>
      <c r="P41" s="114">
        <f xml:space="preserve"> _xlfn.IFNA( VLOOKUP( $C41, 'INPUTS│Performance Commitments'!$C$53:$I$71, MATCH( P$4, 'INPUTS│Performance Commitments'!$G$3:$I$3, 0 ) + 4, 0 ), "-" )</f>
        <v>0.5</v>
      </c>
      <c r="Q41" s="114" t="str">
        <f ca="1" xml:space="preserve"> IF( $D41 &gt; 1, OFFSET( 'INPUTS│Performance Commitments'!$F$53, MATCH( $C41, 'INPUTS│Performance Commitments'!$C$53:$C$71, 0 ), MATCH( $P$4, 'INPUTS│Performance Commitments'!$G$3:$I$3, 0 ) ), "-" )</f>
        <v>-</v>
      </c>
      <c r="R41" s="82" t="str">
        <f t="shared" si="13"/>
        <v>Met</v>
      </c>
      <c r="S41" s="82" t="str">
        <f t="shared" ca="1" si="14"/>
        <v>-</v>
      </c>
      <c r="T41" s="282">
        <f t="shared" ca="1" si="15"/>
        <v>1</v>
      </c>
      <c r="U41" s="51"/>
      <c r="V41" s="273">
        <f xml:space="preserve"> _xlfn.IFNA( VLOOKUP( $C41, 'INPUTS│Performance Commitments'!$C$75:$L$93, MATCH( V$4, 'INPUTS│Performance Commitments'!$K$3:$L$3, 0 ) + 8, 0 ), "-" )</f>
        <v>9.1666666666666661</v>
      </c>
      <c r="W41" s="273" t="str">
        <f ca="1" xml:space="preserve"> IF( $D41 &gt; 1, OFFSET( 'INPUTS│Performance Commitments'!$J$75, MATCH( $C41, 'INPUTS│Performance Commitments'!$C$75:$C$93, 0 ), MATCH( $V$4, 'INPUTS│Performance Commitments'!$K$3:$L$3, 0 ) ), "-" )</f>
        <v>-</v>
      </c>
      <c r="X41" s="273">
        <f xml:space="preserve"> _xlfn.IFNA( VLOOKUP( $C41, 'INPUTS│Performance Commitments'!$C$53:$L$71, MATCH( X$4, 'INPUTS│Performance Commitments'!$K$3:$L$3, 0 ) + 8, 0 ), "-" )</f>
        <v>12</v>
      </c>
      <c r="Y41" s="273" t="str">
        <f ca="1" xml:space="preserve"> IF( $D41 &gt; 1, OFFSET( 'INPUTS│Performance Commitments'!$J$53, MATCH( $C41, 'INPUTS│Performance Commitments'!$C$53:$C$71, 0 ), MATCH( $X$4, 'INPUTS│Performance Commitments'!$K$3:$L$3, 0 ) ), "-" )</f>
        <v>-</v>
      </c>
    </row>
    <row r="42" spans="3:25" hidden="1" outlineLevel="1" x14ac:dyDescent="0.2">
      <c r="C42" s="8" t="s">
        <v>99</v>
      </c>
      <c r="D42" s="202">
        <f xml:space="preserve"> COUNTIF( 'INPUTS│Performance Commitments'!$C$53:$C$71, C42 )</f>
        <v>1</v>
      </c>
      <c r="F42" s="114">
        <f xml:space="preserve"> _xlfn.IFNA( VLOOKUP( $C42, 'INPUTS│Performance Commitments'!$C$75:$I$93, MATCH( F$4, 'INPUTS│Performance Commitments'!$G$3:$I$3, 0 ) + 4, 0 ), "-" )</f>
        <v>12.3</v>
      </c>
      <c r="G42" s="114" t="str">
        <f ca="1" xml:space="preserve"> IF( $D42 &gt; 1, OFFSET( 'INPUTS│Performance Commitments'!$F$75, MATCH( $C42, 'INPUTS│Performance Commitments'!$C$75:$C$93, 0 ), MATCH( $F$4, 'INPUTS│Performance Commitments'!$G$3:$I$3, 0 ) ), "-" )</f>
        <v>-</v>
      </c>
      <c r="H42" s="114">
        <f xml:space="preserve"> _xlfn.IFNA( VLOOKUP( $C42, 'INPUTS│Performance Commitments'!$C$53:$I$71, MATCH( H$4, 'INPUTS│Performance Commitments'!$G$3:$I$3, 0 ) + 4, 0 ), "-" )</f>
        <v>12</v>
      </c>
      <c r="I42" s="114" t="str">
        <f ca="1" xml:space="preserve"> IF( $D42 &gt; 1, OFFSET( 'INPUTS│Performance Commitments'!$F$53, MATCH( $C42, 'INPUTS│Performance Commitments'!$C$53:$C$71, 0 ), MATCH( $H$4, 'INPUTS│Performance Commitments'!$G$3:$I$3, 0 ) ), "-" )</f>
        <v>-</v>
      </c>
      <c r="J42" s="82" t="str">
        <f t="shared" si="10"/>
        <v>Failed</v>
      </c>
      <c r="K42" s="82" t="str">
        <f t="shared" ca="1" si="11"/>
        <v>-</v>
      </c>
      <c r="L42" s="282">
        <f t="shared" ca="1" si="12"/>
        <v>0</v>
      </c>
      <c r="N42" s="114">
        <f xml:space="preserve"> _xlfn.IFNA( VLOOKUP( $C42, 'INPUTS│Performance Commitments'!$C$75:$I$93, MATCH( N$4, 'INPUTS│Performance Commitments'!$G$3:$I$3, 0 ) + 4, 0 ), "-" )</f>
        <v>5.85</v>
      </c>
      <c r="O42" s="114" t="str">
        <f ca="1" xml:space="preserve"> IF( $D42 &gt; 1, OFFSET( 'INPUTS│Performance Commitments'!$F$75, MATCH( $C42, 'INPUTS│Performance Commitments'!$C$75:$C$93, 0 ), MATCH( $N$4, 'INPUTS│Performance Commitments'!$G$3:$I$3, 0 ) ), "-" )</f>
        <v>-</v>
      </c>
      <c r="P42" s="114">
        <f xml:space="preserve"> _xlfn.IFNA( VLOOKUP( $C42, 'INPUTS│Performance Commitments'!$C$53:$I$71, MATCH( P$4, 'INPUTS│Performance Commitments'!$G$3:$I$3, 0 ) + 4, 0 ), "-" )</f>
        <v>12</v>
      </c>
      <c r="Q42" s="114" t="str">
        <f ca="1" xml:space="preserve"> IF( $D42 &gt; 1, OFFSET( 'INPUTS│Performance Commitments'!$F$53, MATCH( $C42, 'INPUTS│Performance Commitments'!$C$53:$C$71, 0 ), MATCH( $P$4, 'INPUTS│Performance Commitments'!$G$3:$I$3, 0 ) ), "-" )</f>
        <v>-</v>
      </c>
      <c r="R42" s="82" t="str">
        <f t="shared" si="13"/>
        <v>Met</v>
      </c>
      <c r="S42" s="82" t="str">
        <f t="shared" ca="1" si="14"/>
        <v>-</v>
      </c>
      <c r="T42" s="282">
        <f t="shared" ca="1" si="15"/>
        <v>1</v>
      </c>
      <c r="U42" s="51"/>
      <c r="V42" s="273">
        <f xml:space="preserve"> _xlfn.IFNA( VLOOKUP( $C42, 'INPUTS│Performance Commitments'!$C$75:$L$93, MATCH( V$4, 'INPUTS│Performance Commitments'!$K$3:$L$3, 0 ) + 8, 0 ), "-" )</f>
        <v>5.85</v>
      </c>
      <c r="W42" s="273" t="str">
        <f ca="1" xml:space="preserve"> IF( $D42 &gt; 1, OFFSET( 'INPUTS│Performance Commitments'!$J$75, MATCH( $C42, 'INPUTS│Performance Commitments'!$C$75:$C$93, 0 ), MATCH( $V$4, 'INPUTS│Performance Commitments'!$K$3:$L$3, 0 ) ), "-" )</f>
        <v>-</v>
      </c>
      <c r="X42" s="273">
        <f xml:space="preserve"> _xlfn.IFNA( VLOOKUP( $C42, 'INPUTS│Performance Commitments'!$C$53:$L$71, MATCH( X$4, 'INPUTS│Performance Commitments'!$K$3:$L$3, 0 ) + 8, 0 ), "-" )</f>
        <v>12</v>
      </c>
      <c r="Y42" s="273" t="str">
        <f ca="1" xml:space="preserve"> IF( $D42 &gt; 1, OFFSET( 'INPUTS│Performance Commitments'!$J$53, MATCH( $C42, 'INPUTS│Performance Commitments'!$C$53:$C$71, 0 ), MATCH( $X$4, 'INPUTS│Performance Commitments'!$K$3:$L$3, 0 ) ), "-" )</f>
        <v>-</v>
      </c>
    </row>
    <row r="43" spans="3:25" hidden="1" outlineLevel="1" x14ac:dyDescent="0.2">
      <c r="C43" s="8" t="s">
        <v>101</v>
      </c>
      <c r="D43" s="202">
        <f xml:space="preserve"> COUNTIF( 'INPUTS│Performance Commitments'!$C$53:$C$71, C43 )</f>
        <v>1</v>
      </c>
      <c r="F43" s="114">
        <f xml:space="preserve"> _xlfn.IFNA( VLOOKUP( $C43, 'INPUTS│Performance Commitments'!$C$75:$I$93, MATCH( F$4, 'INPUTS│Performance Commitments'!$G$3:$I$3, 0 ) + 4, 0 ), "-" )</f>
        <v>6.96</v>
      </c>
      <c r="G43" s="114" t="str">
        <f ca="1" xml:space="preserve"> IF( $D43 &gt; 1, OFFSET( 'INPUTS│Performance Commitments'!$F$75, MATCH( $C43, 'INPUTS│Performance Commitments'!$C$75:$C$93, 0 ), MATCH( $F$4, 'INPUTS│Performance Commitments'!$G$3:$I$3, 0 ) ), "-" )</f>
        <v>-</v>
      </c>
      <c r="H43" s="114">
        <f xml:space="preserve"> _xlfn.IFNA( VLOOKUP( $C43, 'INPUTS│Performance Commitments'!$C$53:$I$71, MATCH( H$4, 'INPUTS│Performance Commitments'!$G$3:$I$3, 0 ) + 4, 0 ), "-" )</f>
        <v>12</v>
      </c>
      <c r="I43" s="114" t="str">
        <f ca="1" xml:space="preserve"> IF( $D43 &gt; 1, OFFSET( 'INPUTS│Performance Commitments'!$F$53, MATCH( $C43, 'INPUTS│Performance Commitments'!$C$53:$C$71, 0 ), MATCH( $H$4, 'INPUTS│Performance Commitments'!$G$3:$I$3, 0 ) ), "-" )</f>
        <v>-</v>
      </c>
      <c r="J43" s="82" t="str">
        <f t="shared" si="10"/>
        <v>Met</v>
      </c>
      <c r="K43" s="82" t="str">
        <f t="shared" ca="1" si="11"/>
        <v>-</v>
      </c>
      <c r="L43" s="282">
        <f t="shared" ca="1" si="12"/>
        <v>1</v>
      </c>
      <c r="N43" s="114">
        <f xml:space="preserve"> _xlfn.IFNA( VLOOKUP( $C43, 'INPUTS│Performance Commitments'!$C$75:$I$93, MATCH( N$4, 'INPUTS│Performance Commitments'!$G$3:$I$3, 0 ) + 4, 0 ), "-" )</f>
        <v>10.46</v>
      </c>
      <c r="O43" s="114" t="str">
        <f ca="1" xml:space="preserve"> IF( $D43 &gt; 1, OFFSET( 'INPUTS│Performance Commitments'!$F$75, MATCH( $C43, 'INPUTS│Performance Commitments'!$C$75:$C$93, 0 ), MATCH( $N$4, 'INPUTS│Performance Commitments'!$G$3:$I$3, 0 ) ), "-" )</f>
        <v>-</v>
      </c>
      <c r="P43" s="114">
        <f xml:space="preserve"> _xlfn.IFNA( VLOOKUP( $C43, 'INPUTS│Performance Commitments'!$C$53:$I$71, MATCH( P$4, 'INPUTS│Performance Commitments'!$G$3:$I$3, 0 ) + 4, 0 ), "-" )</f>
        <v>12</v>
      </c>
      <c r="Q43" s="114" t="str">
        <f ca="1" xml:space="preserve"> IF( $D43 &gt; 1, OFFSET( 'INPUTS│Performance Commitments'!$F$53, MATCH( $C43, 'INPUTS│Performance Commitments'!$C$53:$C$71, 0 ), MATCH( $P$4, 'INPUTS│Performance Commitments'!$G$3:$I$3, 0 ) ), "-" )</f>
        <v>-</v>
      </c>
      <c r="R43" s="82" t="str">
        <f t="shared" si="13"/>
        <v>Met</v>
      </c>
      <c r="S43" s="82" t="str">
        <f t="shared" ca="1" si="14"/>
        <v>-</v>
      </c>
      <c r="T43" s="282">
        <f t="shared" ca="1" si="15"/>
        <v>1</v>
      </c>
      <c r="U43" s="51"/>
      <c r="V43" s="273">
        <f xml:space="preserve"> _xlfn.IFNA( VLOOKUP( $C43, 'INPUTS│Performance Commitments'!$C$75:$L$93, MATCH( V$4, 'INPUTS│Performance Commitments'!$K$3:$L$3, 0 ) + 8, 0 ), "-" )</f>
        <v>10.46</v>
      </c>
      <c r="W43" s="273" t="str">
        <f ca="1" xml:space="preserve"> IF( $D43 &gt; 1, OFFSET( 'INPUTS│Performance Commitments'!$J$75, MATCH( $C43, 'INPUTS│Performance Commitments'!$C$75:$C$93, 0 ), MATCH( $V$4, 'INPUTS│Performance Commitments'!$K$3:$L$3, 0 ) ), "-" )</f>
        <v>-</v>
      </c>
      <c r="X43" s="273">
        <f xml:space="preserve"> _xlfn.IFNA( VLOOKUP( $C43, 'INPUTS│Performance Commitments'!$C$53:$L$71, MATCH( X$4, 'INPUTS│Performance Commitments'!$K$3:$L$3, 0 ) + 8, 0 ), "-" )</f>
        <v>12</v>
      </c>
      <c r="Y43" s="273" t="str">
        <f ca="1" xml:space="preserve"> IF( $D43 &gt; 1, OFFSET( 'INPUTS│Performance Commitments'!$J$53, MATCH( $C43, 'INPUTS│Performance Commitments'!$C$53:$C$71, 0 ), MATCH( $X$4, 'INPUTS│Performance Commitments'!$K$3:$L$3, 0 ) ), "-" )</f>
        <v>-</v>
      </c>
    </row>
    <row r="44" spans="3:25" hidden="1" outlineLevel="1" x14ac:dyDescent="0.2">
      <c r="C44" s="8" t="s">
        <v>103</v>
      </c>
      <c r="D44" s="202">
        <f xml:space="preserve"> COUNTIF( 'INPUTS│Performance Commitments'!$C$53:$C$71, C44 )</f>
        <v>0</v>
      </c>
      <c r="F44" s="114" t="str">
        <f xml:space="preserve"> _xlfn.IFNA( VLOOKUP( $C44, 'INPUTS│Performance Commitments'!$C$75:$I$93, MATCH( F$4, 'INPUTS│Performance Commitments'!$G$3:$I$3, 0 ) + 4, 0 ), "-" )</f>
        <v>-</v>
      </c>
      <c r="G44" s="114" t="str">
        <f ca="1" xml:space="preserve"> IF( $D44 &gt; 1, OFFSET( 'INPUTS│Performance Commitments'!$F$75, MATCH( $C44, 'INPUTS│Performance Commitments'!$C$75:$C$93, 0 ), MATCH( $F$4, 'INPUTS│Performance Commitments'!$G$3:$I$3, 0 ) ), "-" )</f>
        <v>-</v>
      </c>
      <c r="H44" s="114" t="str">
        <f xml:space="preserve"> _xlfn.IFNA( VLOOKUP( $C44, 'INPUTS│Performance Commitments'!$C$53:$I$71, MATCH( H$4, 'INPUTS│Performance Commitments'!$G$3:$I$3, 0 ) + 4, 0 ), "-" )</f>
        <v>-</v>
      </c>
      <c r="I44" s="114" t="str">
        <f ca="1" xml:space="preserve"> IF( $D44 &gt; 1, OFFSET( 'INPUTS│Performance Commitments'!$F$53, MATCH( $C44, 'INPUTS│Performance Commitments'!$C$53:$C$71, 0 ), MATCH( $H$4, 'INPUTS│Performance Commitments'!$G$3:$I$3, 0 ) ), "-" )</f>
        <v>-</v>
      </c>
      <c r="J44" s="82" t="str">
        <f t="shared" si="10"/>
        <v>-</v>
      </c>
      <c r="K44" s="82" t="str">
        <f t="shared" ca="1" si="11"/>
        <v>-</v>
      </c>
      <c r="L44" s="282" t="str">
        <f t="shared" si="12"/>
        <v>-</v>
      </c>
      <c r="N44" s="114" t="str">
        <f xml:space="preserve"> _xlfn.IFNA( VLOOKUP( $C44, 'INPUTS│Performance Commitments'!$C$75:$I$93, MATCH( N$4, 'INPUTS│Performance Commitments'!$G$3:$I$3, 0 ) + 4, 0 ), "-" )</f>
        <v>-</v>
      </c>
      <c r="O44" s="114" t="str">
        <f ca="1" xml:space="preserve"> IF( $D44 &gt; 1, OFFSET( 'INPUTS│Performance Commitments'!$F$75, MATCH( $C44, 'INPUTS│Performance Commitments'!$C$75:$C$93, 0 ), MATCH( $N$4, 'INPUTS│Performance Commitments'!$G$3:$I$3, 0 ) ), "-" )</f>
        <v>-</v>
      </c>
      <c r="P44" s="114" t="str">
        <f xml:space="preserve"> _xlfn.IFNA( VLOOKUP( $C44, 'INPUTS│Performance Commitments'!$C$53:$I$71, MATCH( P$4, 'INPUTS│Performance Commitments'!$G$3:$I$3, 0 ) + 4, 0 ), "-" )</f>
        <v>-</v>
      </c>
      <c r="Q44" s="114" t="str">
        <f ca="1" xml:space="preserve"> IF( $D44 &gt; 1, OFFSET( 'INPUTS│Performance Commitments'!$F$53, MATCH( $C44, 'INPUTS│Performance Commitments'!$C$53:$C$71, 0 ), MATCH( $P$4, 'INPUTS│Performance Commitments'!$G$3:$I$3, 0 ) ), "-" )</f>
        <v>-</v>
      </c>
      <c r="R44" s="82" t="str">
        <f t="shared" si="13"/>
        <v>-</v>
      </c>
      <c r="S44" s="82" t="str">
        <f t="shared" ca="1" si="14"/>
        <v>-</v>
      </c>
      <c r="T44" s="282" t="str">
        <f t="shared" si="15"/>
        <v>-</v>
      </c>
      <c r="U44" s="51"/>
      <c r="V44" s="273" t="str">
        <f xml:space="preserve"> _xlfn.IFNA( VLOOKUP( $C44, 'INPUTS│Performance Commitments'!$C$75:$L$93, MATCH( V$4, 'INPUTS│Performance Commitments'!$K$3:$L$3, 0 ) + 8, 0 ), "-" )</f>
        <v>-</v>
      </c>
      <c r="W44" s="273" t="str">
        <f ca="1" xml:space="preserve"> IF( $D44 &gt; 1, OFFSET( 'INPUTS│Performance Commitments'!$J$75, MATCH( $C44, 'INPUTS│Performance Commitments'!$C$75:$C$93, 0 ), MATCH( $V$4, 'INPUTS│Performance Commitments'!$K$3:$L$3, 0 ) ), "-" )</f>
        <v>-</v>
      </c>
      <c r="X44" s="273" t="str">
        <f xml:space="preserve"> _xlfn.IFNA( VLOOKUP( $C44, 'INPUTS│Performance Commitments'!$C$53:$L$71, MATCH( X$4, 'INPUTS│Performance Commitments'!$K$3:$L$3, 0 ) + 8, 0 ), "-" )</f>
        <v>-</v>
      </c>
      <c r="Y44" s="273" t="str">
        <f ca="1" xml:space="preserve"> IF( $D44 &gt; 1, OFFSET( 'INPUTS│Performance Commitments'!$J$53, MATCH( $C44, 'INPUTS│Performance Commitments'!$C$53:$C$71, 0 ), MATCH( $X$4, 'INPUTS│Performance Commitments'!$K$3:$L$3, 0 ) ), "-" )</f>
        <v>-</v>
      </c>
    </row>
    <row r="45" spans="3:25" hidden="1" outlineLevel="1" x14ac:dyDescent="0.2">
      <c r="C45" s="8" t="s">
        <v>105</v>
      </c>
      <c r="D45" s="202">
        <f xml:space="preserve"> COUNTIF( 'INPUTS│Performance Commitments'!$C$53:$C$71, C45 )</f>
        <v>1</v>
      </c>
      <c r="F45" s="114">
        <f xml:space="preserve"> _xlfn.IFNA( VLOOKUP( $C45, 'INPUTS│Performance Commitments'!$C$75:$I$93, MATCH( F$4, 'INPUTS│Performance Commitments'!$G$3:$I$3, 0 ) + 4, 0 ), "-" )</f>
        <v>73.7</v>
      </c>
      <c r="G45" s="114" t="str">
        <f ca="1" xml:space="preserve"> IF( $D45 &gt; 1, OFFSET( 'INPUTS│Performance Commitments'!$F$75, MATCH( $C45, 'INPUTS│Performance Commitments'!$C$75:$C$93, 0 ), MATCH( $F$4, 'INPUTS│Performance Commitments'!$G$3:$I$3, 0 ) ), "-" )</f>
        <v>-</v>
      </c>
      <c r="H45" s="114">
        <f xml:space="preserve"> _xlfn.IFNA( VLOOKUP( $C45, 'INPUTS│Performance Commitments'!$C$53:$I$71, MATCH( H$4, 'INPUTS│Performance Commitments'!$G$3:$I$3, 0 ) + 4, 0 ), "-" )</f>
        <v>12.8</v>
      </c>
      <c r="I45" s="114" t="str">
        <f ca="1" xml:space="preserve"> IF( $D45 &gt; 1, OFFSET( 'INPUTS│Performance Commitments'!$F$53, MATCH( $C45, 'INPUTS│Performance Commitments'!$C$53:$C$71, 0 ), MATCH( $H$4, 'INPUTS│Performance Commitments'!$G$3:$I$3, 0 ) ), "-" )</f>
        <v>-</v>
      </c>
      <c r="J45" s="82" t="str">
        <f t="shared" si="10"/>
        <v>Failed</v>
      </c>
      <c r="K45" s="82" t="str">
        <f t="shared" ca="1" si="11"/>
        <v>-</v>
      </c>
      <c r="L45" s="282">
        <f t="shared" ca="1" si="12"/>
        <v>0</v>
      </c>
      <c r="N45" s="114">
        <f xml:space="preserve"> _xlfn.IFNA( VLOOKUP( $C45, 'INPUTS│Performance Commitments'!$C$75:$I$93, MATCH( N$4, 'INPUTS│Performance Commitments'!$G$3:$I$3, 0 ) + 4, 0 ), "-" )</f>
        <v>14.67</v>
      </c>
      <c r="O45" s="114" t="str">
        <f ca="1" xml:space="preserve"> IF( $D45 &gt; 1, OFFSET( 'INPUTS│Performance Commitments'!$F$75, MATCH( $C45, 'INPUTS│Performance Commitments'!$C$75:$C$93, 0 ), MATCH( $N$4, 'INPUTS│Performance Commitments'!$G$3:$I$3, 0 ) ), "-" )</f>
        <v>-</v>
      </c>
      <c r="P45" s="114">
        <f xml:space="preserve"> _xlfn.IFNA( VLOOKUP( $C45, 'INPUTS│Performance Commitments'!$C$53:$I$71, MATCH( P$4, 'INPUTS│Performance Commitments'!$G$3:$I$3, 0 ) + 4, 0 ), "-" )</f>
        <v>12.5</v>
      </c>
      <c r="Q45" s="114" t="str">
        <f ca="1" xml:space="preserve"> IF( $D45 &gt; 1, OFFSET( 'INPUTS│Performance Commitments'!$F$53, MATCH( $C45, 'INPUTS│Performance Commitments'!$C$53:$C$71, 0 ), MATCH( $P$4, 'INPUTS│Performance Commitments'!$G$3:$I$3, 0 ) ), "-" )</f>
        <v>-</v>
      </c>
      <c r="R45" s="82" t="str">
        <f t="shared" si="13"/>
        <v>Failed</v>
      </c>
      <c r="S45" s="82" t="str">
        <f t="shared" ca="1" si="14"/>
        <v>-</v>
      </c>
      <c r="T45" s="282">
        <f t="shared" ca="1" si="15"/>
        <v>0</v>
      </c>
      <c r="U45" s="51"/>
      <c r="V45" s="273">
        <f xml:space="preserve"> _xlfn.IFNA( VLOOKUP( $C45, 'INPUTS│Performance Commitments'!$C$75:$L$93, MATCH( V$4, 'INPUTS│Performance Commitments'!$K$3:$L$3, 0 ) + 8, 0 ), "-" )</f>
        <v>14.67</v>
      </c>
      <c r="W45" s="273" t="str">
        <f ca="1" xml:space="preserve"> IF( $D45 &gt; 1, OFFSET( 'INPUTS│Performance Commitments'!$J$75, MATCH( $C45, 'INPUTS│Performance Commitments'!$C$75:$C$93, 0 ), MATCH( $V$4, 'INPUTS│Performance Commitments'!$K$3:$L$3, 0 ) ), "-" )</f>
        <v>-</v>
      </c>
      <c r="X45" s="273">
        <f xml:space="preserve"> _xlfn.IFNA( VLOOKUP( $C45, 'INPUTS│Performance Commitments'!$C$53:$L$71, MATCH( X$4, 'INPUTS│Performance Commitments'!$K$3:$L$3, 0 ) + 8, 0 ), "-" )</f>
        <v>12.5</v>
      </c>
      <c r="Y45" s="273" t="str">
        <f ca="1" xml:space="preserve"> IF( $D45 &gt; 1, OFFSET( 'INPUTS│Performance Commitments'!$J$53, MATCH( $C45, 'INPUTS│Performance Commitments'!$C$53:$C$71, 0 ), MATCH( $X$4, 'INPUTS│Performance Commitments'!$K$3:$L$3, 0 ) ), "-" )</f>
        <v>-</v>
      </c>
    </row>
    <row r="46" spans="3:25" hidden="1" outlineLevel="1" x14ac:dyDescent="0.2">
      <c r="C46" s="8" t="s">
        <v>107</v>
      </c>
      <c r="D46" s="202">
        <f xml:space="preserve"> COUNTIF( 'INPUTS│Performance Commitments'!$C$53:$C$71, C46 )</f>
        <v>1</v>
      </c>
      <c r="F46" s="114">
        <f xml:space="preserve"> _xlfn.IFNA( VLOOKUP( $C46, 'INPUTS│Performance Commitments'!$C$75:$I$93, MATCH( F$4, 'INPUTS│Performance Commitments'!$G$3:$I$3, 0 ) + 4, 0 ), "-" )</f>
        <v>0.17847222222222223</v>
      </c>
      <c r="G46" s="114" t="str">
        <f ca="1" xml:space="preserve"> IF( $D46 &gt; 1, OFFSET( 'INPUTS│Performance Commitments'!$F$75, MATCH( $C46, 'INPUTS│Performance Commitments'!$C$75:$C$93, 0 ), MATCH( $F$4, 'INPUTS│Performance Commitments'!$G$3:$I$3, 0 ) ), "-" )</f>
        <v>-</v>
      </c>
      <c r="H46" s="114">
        <f xml:space="preserve"> _xlfn.IFNA( VLOOKUP( $C46, 'INPUTS│Performance Commitments'!$C$53:$I$71, MATCH( H$4, 'INPUTS│Performance Commitments'!$G$3:$I$3, 0 ) + 4, 0 ), "-" )</f>
        <v>0.20833333333333334</v>
      </c>
      <c r="I46" s="114" t="str">
        <f ca="1" xml:space="preserve"> IF( $D46 &gt; 1, OFFSET( 'INPUTS│Performance Commitments'!$F$53, MATCH( $C46, 'INPUTS│Performance Commitments'!$C$53:$C$71, 0 ), MATCH( $H$4, 'INPUTS│Performance Commitments'!$G$3:$I$3, 0 ) ), "-" )</f>
        <v>-</v>
      </c>
      <c r="J46" s="82" t="str">
        <f t="shared" si="10"/>
        <v>Met</v>
      </c>
      <c r="K46" s="82" t="str">
        <f t="shared" ca="1" si="11"/>
        <v>-</v>
      </c>
      <c r="L46" s="282">
        <f t="shared" ca="1" si="12"/>
        <v>1</v>
      </c>
      <c r="N46" s="114">
        <f xml:space="preserve"> _xlfn.IFNA( VLOOKUP( $C46, 'INPUTS│Performance Commitments'!$C$75:$I$93, MATCH( N$4, 'INPUTS│Performance Commitments'!$G$3:$I$3, 0 ) + 4, 0 ), "-" )</f>
        <v>0.16250000000000001</v>
      </c>
      <c r="O46" s="114" t="str">
        <f ca="1" xml:space="preserve"> IF( $D46 &gt; 1, OFFSET( 'INPUTS│Performance Commitments'!$F$75, MATCH( $C46, 'INPUTS│Performance Commitments'!$C$75:$C$93, 0 ), MATCH( $N$4, 'INPUTS│Performance Commitments'!$G$3:$I$3, 0 ) ), "-" )</f>
        <v>-</v>
      </c>
      <c r="P46" s="114">
        <f xml:space="preserve"> _xlfn.IFNA( VLOOKUP( $C46, 'INPUTS│Performance Commitments'!$C$53:$I$71, MATCH( P$4, 'INPUTS│Performance Commitments'!$G$3:$I$3, 0 ) + 4, 0 ), "-" )</f>
        <v>0.20833333333333334</v>
      </c>
      <c r="Q46" s="114" t="str">
        <f ca="1" xml:space="preserve"> IF( $D46 &gt; 1, OFFSET( 'INPUTS│Performance Commitments'!$F$53, MATCH( $C46, 'INPUTS│Performance Commitments'!$C$53:$C$71, 0 ), MATCH( $P$4, 'INPUTS│Performance Commitments'!$G$3:$I$3, 0 ) ), "-" )</f>
        <v>-</v>
      </c>
      <c r="R46" s="82" t="str">
        <f t="shared" si="13"/>
        <v>Met</v>
      </c>
      <c r="S46" s="82" t="str">
        <f t="shared" ca="1" si="14"/>
        <v>-</v>
      </c>
      <c r="T46" s="282">
        <f t="shared" ca="1" si="15"/>
        <v>1</v>
      </c>
      <c r="U46" s="51"/>
      <c r="V46" s="273">
        <f xml:space="preserve"> _xlfn.IFNA( VLOOKUP( $C46, 'INPUTS│Performance Commitments'!$C$75:$L$93, MATCH( V$4, 'INPUTS│Performance Commitments'!$K$3:$L$3, 0 ) + 8, 0 ), "-" )</f>
        <v>3.9000000000000004</v>
      </c>
      <c r="W46" s="273" t="str">
        <f ca="1" xml:space="preserve"> IF( $D46 &gt; 1, OFFSET( 'INPUTS│Performance Commitments'!$J$75, MATCH( $C46, 'INPUTS│Performance Commitments'!$C$75:$C$93, 0 ), MATCH( $V$4, 'INPUTS│Performance Commitments'!$K$3:$L$3, 0 ) ), "-" )</f>
        <v>-</v>
      </c>
      <c r="X46" s="273">
        <f xml:space="preserve"> _xlfn.IFNA( VLOOKUP( $C46, 'INPUTS│Performance Commitments'!$C$53:$L$71, MATCH( X$4, 'INPUTS│Performance Commitments'!$K$3:$L$3, 0 ) + 8, 0 ), "-" )</f>
        <v>5</v>
      </c>
      <c r="Y46" s="273" t="str">
        <f ca="1" xml:space="preserve"> IF( $D46 &gt; 1, OFFSET( 'INPUTS│Performance Commitments'!$J$53, MATCH( $C46, 'INPUTS│Performance Commitments'!$C$53:$C$71, 0 ), MATCH( $X$4, 'INPUTS│Performance Commitments'!$K$3:$L$3, 0 ) ), "-" )</f>
        <v>-</v>
      </c>
    </row>
    <row r="47" spans="3:25" hidden="1" outlineLevel="1" x14ac:dyDescent="0.2">
      <c r="C47" s="8" t="s">
        <v>111</v>
      </c>
      <c r="D47" s="202">
        <f xml:space="preserve"> COUNTIF( 'INPUTS│Performance Commitments'!$C$53:$C$71, C47 )</f>
        <v>1</v>
      </c>
      <c r="F47" s="114">
        <f xml:space="preserve"> _xlfn.IFNA( VLOOKUP( $C47, 'INPUTS│Performance Commitments'!$C$75:$I$93, MATCH( F$4, 'INPUTS│Performance Commitments'!$G$3:$I$3, 0 ) + 4, 0 ), "-" )</f>
        <v>44.6</v>
      </c>
      <c r="G47" s="114" t="str">
        <f ca="1" xml:space="preserve"> IF( $D47 &gt; 1, OFFSET( 'INPUTS│Performance Commitments'!$F$75, MATCH( $C47, 'INPUTS│Performance Commitments'!$C$75:$C$93, 0 ), MATCH( $F$4, 'INPUTS│Performance Commitments'!$G$3:$I$3, 0 ) ), "-" )</f>
        <v>-</v>
      </c>
      <c r="H47" s="114">
        <f xml:space="preserve"> _xlfn.IFNA( VLOOKUP( $C47, 'INPUTS│Performance Commitments'!$C$53:$I$71, MATCH( H$4, 'INPUTS│Performance Commitments'!$G$3:$I$3, 0 ) + 4, 0 ), "-" )</f>
        <v>12</v>
      </c>
      <c r="I47" s="114" t="str">
        <f ca="1" xml:space="preserve"> IF( $D47 &gt; 1, OFFSET( 'INPUTS│Performance Commitments'!$F$53, MATCH( $C47, 'INPUTS│Performance Commitments'!$C$53:$C$71, 0 ), MATCH( $H$4, 'INPUTS│Performance Commitments'!$G$3:$I$3, 0 ) ), "-" )</f>
        <v>-</v>
      </c>
      <c r="J47" s="82" t="str">
        <f t="shared" si="10"/>
        <v>Failed</v>
      </c>
      <c r="K47" s="82" t="str">
        <f t="shared" ca="1" si="11"/>
        <v>-</v>
      </c>
      <c r="L47" s="282">
        <f t="shared" ca="1" si="12"/>
        <v>0</v>
      </c>
      <c r="N47" s="114">
        <f xml:space="preserve"> _xlfn.IFNA( VLOOKUP( $C47, 'INPUTS│Performance Commitments'!$C$75:$I$93, MATCH( N$4, 'INPUTS│Performance Commitments'!$G$3:$I$3, 0 ) + 4, 0 ), "-" )</f>
        <v>14.2</v>
      </c>
      <c r="O47" s="114" t="str">
        <f ca="1" xml:space="preserve"> IF( $D47 &gt; 1, OFFSET( 'INPUTS│Performance Commitments'!$F$75, MATCH( $C47, 'INPUTS│Performance Commitments'!$C$75:$C$93, 0 ), MATCH( $N$4, 'INPUTS│Performance Commitments'!$G$3:$I$3, 0 ) ), "-" )</f>
        <v>-</v>
      </c>
      <c r="P47" s="114">
        <f xml:space="preserve"> _xlfn.IFNA( VLOOKUP( $C47, 'INPUTS│Performance Commitments'!$C$53:$I$71, MATCH( P$4, 'INPUTS│Performance Commitments'!$G$3:$I$3, 0 ) + 4, 0 ), "-" )</f>
        <v>12</v>
      </c>
      <c r="Q47" s="114" t="str">
        <f ca="1" xml:space="preserve"> IF( $D47 &gt; 1, OFFSET( 'INPUTS│Performance Commitments'!$F$53, MATCH( $C47, 'INPUTS│Performance Commitments'!$C$53:$C$71, 0 ), MATCH( $P$4, 'INPUTS│Performance Commitments'!$G$3:$I$3, 0 ) ), "-" )</f>
        <v>-</v>
      </c>
      <c r="R47" s="82" t="str">
        <f t="shared" si="13"/>
        <v>Failed</v>
      </c>
      <c r="S47" s="82" t="str">
        <f t="shared" ca="1" si="14"/>
        <v>-</v>
      </c>
      <c r="T47" s="282">
        <f t="shared" ca="1" si="15"/>
        <v>0</v>
      </c>
      <c r="U47" s="51"/>
      <c r="V47" s="273">
        <f xml:space="preserve"> _xlfn.IFNA( VLOOKUP( $C47, 'INPUTS│Performance Commitments'!$C$75:$L$93, MATCH( V$4, 'INPUTS│Performance Commitments'!$K$3:$L$3, 0 ) + 8, 0 ), "-" )</f>
        <v>14.2</v>
      </c>
      <c r="W47" s="273" t="str">
        <f ca="1" xml:space="preserve"> IF( $D47 &gt; 1, OFFSET( 'INPUTS│Performance Commitments'!$J$75, MATCH( $C47, 'INPUTS│Performance Commitments'!$C$75:$C$93, 0 ), MATCH( $V$4, 'INPUTS│Performance Commitments'!$K$3:$L$3, 0 ) ), "-" )</f>
        <v>-</v>
      </c>
      <c r="X47" s="273">
        <f xml:space="preserve"> _xlfn.IFNA( VLOOKUP( $C47, 'INPUTS│Performance Commitments'!$C$53:$L$71, MATCH( X$4, 'INPUTS│Performance Commitments'!$K$3:$L$3, 0 ) + 8, 0 ), "-" )</f>
        <v>12</v>
      </c>
      <c r="Y47" s="273" t="str">
        <f ca="1" xml:space="preserve"> IF( $D47 &gt; 1, OFFSET( 'INPUTS│Performance Commitments'!$J$53, MATCH( $C47, 'INPUTS│Performance Commitments'!$C$53:$C$71, 0 ), MATCH( $X$4, 'INPUTS│Performance Commitments'!$K$3:$L$3, 0 ) ), "-" )</f>
        <v>-</v>
      </c>
    </row>
    <row r="48" spans="3:25" hidden="1" outlineLevel="1" x14ac:dyDescent="0.2">
      <c r="C48" s="8" t="s">
        <v>113</v>
      </c>
      <c r="D48" s="202">
        <f xml:space="preserve"> COUNTIF( 'INPUTS│Performance Commitments'!$C$53:$C$71, C48 )</f>
        <v>1</v>
      </c>
      <c r="F48" s="114">
        <f xml:space="preserve"> _xlfn.IFNA( VLOOKUP( $C48, 'INPUTS│Performance Commitments'!$C$75:$I$93, MATCH( F$4, 'INPUTS│Performance Commitments'!$G$3:$I$3, 0 ) + 4, 0 ), "-" )</f>
        <v>8.5319000000000003</v>
      </c>
      <c r="G48" s="114" t="str">
        <f ca="1" xml:space="preserve"> IF( $D48 &gt; 1, OFFSET( 'INPUTS│Performance Commitments'!$F$75, MATCH( $C48, 'INPUTS│Performance Commitments'!$C$75:$C$93, 0 ), MATCH( $F$4, 'INPUTS│Performance Commitments'!$G$3:$I$3, 0 ) ), "-" )</f>
        <v>-</v>
      </c>
      <c r="H48" s="114">
        <f xml:space="preserve"> _xlfn.IFNA( VLOOKUP( $C48, 'INPUTS│Performance Commitments'!$C$53:$I$71, MATCH( H$4, 'INPUTS│Performance Commitments'!$G$3:$I$3, 0 ) + 4, 0 ), "-" )</f>
        <v>10</v>
      </c>
      <c r="I48" s="114" t="str">
        <f ca="1" xml:space="preserve"> IF( $D48 &gt; 1, OFFSET( 'INPUTS│Performance Commitments'!$F$53, MATCH( $C48, 'INPUTS│Performance Commitments'!$C$53:$C$71, 0 ), MATCH( $H$4, 'INPUTS│Performance Commitments'!$G$3:$I$3, 0 ) ), "-" )</f>
        <v>-</v>
      </c>
      <c r="J48" s="82" t="str">
        <f t="shared" si="10"/>
        <v>Met</v>
      </c>
      <c r="K48" s="82" t="str">
        <f t="shared" ca="1" si="11"/>
        <v>-</v>
      </c>
      <c r="L48" s="282">
        <f t="shared" ca="1" si="12"/>
        <v>1</v>
      </c>
      <c r="N48" s="114">
        <f xml:space="preserve"> _xlfn.IFNA( VLOOKUP( $C48, 'INPUTS│Performance Commitments'!$C$75:$I$93, MATCH( N$4, 'INPUTS│Performance Commitments'!$G$3:$I$3, 0 ) + 4, 0 ), "-" )</f>
        <v>7.15</v>
      </c>
      <c r="O48" s="114" t="str">
        <f ca="1" xml:space="preserve"> IF( $D48 &gt; 1, OFFSET( 'INPUTS│Performance Commitments'!$F$75, MATCH( $C48, 'INPUTS│Performance Commitments'!$C$75:$C$93, 0 ), MATCH( $N$4, 'INPUTS│Performance Commitments'!$G$3:$I$3, 0 ) ), "-" )</f>
        <v>-</v>
      </c>
      <c r="P48" s="114">
        <f xml:space="preserve"> _xlfn.IFNA( VLOOKUP( $C48, 'INPUTS│Performance Commitments'!$C$53:$I$71, MATCH( P$4, 'INPUTS│Performance Commitments'!$G$3:$I$3, 0 ) + 4, 0 ), "-" )</f>
        <v>10</v>
      </c>
      <c r="Q48" s="114" t="str">
        <f ca="1" xml:space="preserve"> IF( $D48 &gt; 1, OFFSET( 'INPUTS│Performance Commitments'!$F$53, MATCH( $C48, 'INPUTS│Performance Commitments'!$C$53:$C$71, 0 ), MATCH( $P$4, 'INPUTS│Performance Commitments'!$G$3:$I$3, 0 ) ), "-" )</f>
        <v>-</v>
      </c>
      <c r="R48" s="82" t="str">
        <f t="shared" si="13"/>
        <v>Met</v>
      </c>
      <c r="S48" s="82" t="str">
        <f t="shared" ca="1" si="14"/>
        <v>-</v>
      </c>
      <c r="T48" s="282">
        <f t="shared" ca="1" si="15"/>
        <v>1</v>
      </c>
      <c r="U48" s="51"/>
      <c r="V48" s="273">
        <f xml:space="preserve"> _xlfn.IFNA( VLOOKUP( $C48, 'INPUTS│Performance Commitments'!$C$75:$L$93, MATCH( V$4, 'INPUTS│Performance Commitments'!$K$3:$L$3, 0 ) + 8, 0 ), "-" )</f>
        <v>7.15</v>
      </c>
      <c r="W48" s="273" t="str">
        <f ca="1" xml:space="preserve"> IF( $D48 &gt; 1, OFFSET( 'INPUTS│Performance Commitments'!$J$75, MATCH( $C48, 'INPUTS│Performance Commitments'!$C$75:$C$93, 0 ), MATCH( $V$4, 'INPUTS│Performance Commitments'!$K$3:$L$3, 0 ) ), "-" )</f>
        <v>-</v>
      </c>
      <c r="X48" s="273">
        <f xml:space="preserve"> _xlfn.IFNA( VLOOKUP( $C48, 'INPUTS│Performance Commitments'!$C$53:$L$71, MATCH( X$4, 'INPUTS│Performance Commitments'!$K$3:$L$3, 0 ) + 8, 0 ), "-" )</f>
        <v>10</v>
      </c>
      <c r="Y48" s="273" t="str">
        <f ca="1" xml:space="preserve"> IF( $D48 &gt; 1, OFFSET( 'INPUTS│Performance Commitments'!$J$53, MATCH( $C48, 'INPUTS│Performance Commitments'!$C$53:$C$71, 0 ), MATCH( $X$4, 'INPUTS│Performance Commitments'!$K$3:$L$3, 0 ) ), "-" )</f>
        <v>-</v>
      </c>
    </row>
    <row r="49" spans="2:26" hidden="1" outlineLevel="1" x14ac:dyDescent="0.2">
      <c r="C49" s="8" t="s">
        <v>109</v>
      </c>
      <c r="D49" s="202">
        <f xml:space="preserve"> COUNTIF( 'INPUTS│Performance Commitments'!$C$53:$C$71, C49 )</f>
        <v>1</v>
      </c>
      <c r="F49" s="114">
        <f xml:space="preserve"> _xlfn.IFNA( VLOOKUP( $C49, 'INPUTS│Performance Commitments'!$C$75:$I$93, MATCH( F$4, 'INPUTS│Performance Commitments'!$G$3:$I$3, 0 ) + 4, 0 ), "-" )</f>
        <v>0.05</v>
      </c>
      <c r="G49" s="114" t="str">
        <f ca="1" xml:space="preserve"> IF( $D49 &gt; 1, OFFSET( 'INPUTS│Performance Commitments'!$F$75, MATCH( $C49, 'INPUTS│Performance Commitments'!$C$75:$C$93, 0 ), MATCH( $F$4, 'INPUTS│Performance Commitments'!$G$3:$I$3, 0 ) ), "-" )</f>
        <v>-</v>
      </c>
      <c r="H49" s="114">
        <f xml:space="preserve"> _xlfn.IFNA( VLOOKUP( $C49, 'INPUTS│Performance Commitments'!$C$53:$I$71, MATCH( H$4, 'INPUTS│Performance Commitments'!$G$3:$I$3, 0 ) + 4, 0 ), "-" )</f>
        <v>0.2</v>
      </c>
      <c r="I49" s="114" t="str">
        <f ca="1" xml:space="preserve"> IF( $D49 &gt; 1, OFFSET( 'INPUTS│Performance Commitments'!$F$53, MATCH( $C49, 'INPUTS│Performance Commitments'!$C$53:$C$71, 0 ), MATCH( $H$4, 'INPUTS│Performance Commitments'!$G$3:$I$3, 0 ) ), "-" )</f>
        <v>-</v>
      </c>
      <c r="J49" s="82" t="str">
        <f xml:space="preserve"> IF( H49 &lt;&gt; "-", IF( F49 &lt;= H49, "Met", "Failed" ), "-" )</f>
        <v>Met</v>
      </c>
      <c r="K49" s="82" t="str">
        <f ca="1" xml:space="preserve"> IF( I49 &lt;&gt; "-", IF( G49 &lt;= I49, "Met", "Failed" ), "-" )</f>
        <v>-</v>
      </c>
      <c r="L49" s="282">
        <f t="shared" ca="1" si="12"/>
        <v>1</v>
      </c>
      <c r="N49" s="114">
        <f xml:space="preserve"> _xlfn.IFNA( VLOOKUP( $C49, 'INPUTS│Performance Commitments'!$C$75:$I$93, MATCH( N$4, 'INPUTS│Performance Commitments'!$G$3:$I$3, 0 ) + 4, 0 ), "-" )</f>
        <v>0.27</v>
      </c>
      <c r="O49" s="114" t="str">
        <f ca="1" xml:space="preserve"> IF( $D49 &gt; 1, OFFSET( 'INPUTS│Performance Commitments'!$F$75, MATCH( $C49, 'INPUTS│Performance Commitments'!$C$75:$C$93, 0 ), MATCH( $N$4, 'INPUTS│Performance Commitments'!$G$3:$I$3, 0 ) ), "-" )</f>
        <v>-</v>
      </c>
      <c r="P49" s="114">
        <f xml:space="preserve"> _xlfn.IFNA( VLOOKUP( $C49, 'INPUTS│Performance Commitments'!$C$53:$I$71, MATCH( P$4, 'INPUTS│Performance Commitments'!$G$3:$I$3, 0 ) + 4, 0 ), "-" )</f>
        <v>0.2</v>
      </c>
      <c r="Q49" s="114" t="str">
        <f ca="1" xml:space="preserve"> IF( $D49 &gt; 1, OFFSET( 'INPUTS│Performance Commitments'!$F$53, MATCH( $C49, 'INPUTS│Performance Commitments'!$C$53:$C$71, 0 ), MATCH( $P$4, 'INPUTS│Performance Commitments'!$G$3:$I$3, 0 ) ), "-" )</f>
        <v>-</v>
      </c>
      <c r="R49" s="82" t="str">
        <f xml:space="preserve"> IF( P49 &lt;&gt; "-", IF( N49 &lt;= P49, "Met", "Failed" ), "-" )</f>
        <v>Failed</v>
      </c>
      <c r="S49" s="82" t="str">
        <f ca="1" xml:space="preserve"> IF( Q49 &lt;&gt; "-", IF( O49 &lt;= Q49, "Met", "Failed" ), "-" )</f>
        <v>-</v>
      </c>
      <c r="T49" s="282">
        <f t="shared" ca="1" si="15"/>
        <v>0</v>
      </c>
      <c r="U49" s="51"/>
      <c r="V49" s="273">
        <f xml:space="preserve"> _xlfn.IFNA( VLOOKUP( $C49, 'INPUTS│Performance Commitments'!$C$75:$L$93, MATCH( V$4, 'INPUTS│Performance Commitments'!$K$3:$L$3, 0 ) + 8, 0 ), "-" )</f>
        <v>16.200000000000003</v>
      </c>
      <c r="W49" s="273" t="str">
        <f ca="1" xml:space="preserve"> IF( $D49 &gt; 1, OFFSET( 'INPUTS│Performance Commitments'!$J$75, MATCH( $C49, 'INPUTS│Performance Commitments'!$C$75:$C$93, 0 ), MATCH( $V$4, 'INPUTS│Performance Commitments'!$K$3:$L$3, 0 ) ), "-" )</f>
        <v>-</v>
      </c>
      <c r="X49" s="273">
        <f xml:space="preserve"> _xlfn.IFNA( VLOOKUP( $C49, 'INPUTS│Performance Commitments'!$C$53:$L$71, MATCH( X$4, 'INPUTS│Performance Commitments'!$K$3:$L$3, 0 ) + 8, 0 ), "-" )</f>
        <v>12</v>
      </c>
      <c r="Y49" s="273" t="str">
        <f ca="1" xml:space="preserve"> IF( $D49 &gt; 1, OFFSET( 'INPUTS│Performance Commitments'!$J$53, MATCH( $C49, 'INPUTS│Performance Commitments'!$C$53:$C$71, 0 ), MATCH( $X$4, 'INPUTS│Performance Commitments'!$K$3:$L$3, 0 ) ), "-" )</f>
        <v>-</v>
      </c>
    </row>
    <row r="50" spans="2:26" hidden="1" outlineLevel="1" x14ac:dyDescent="0.2">
      <c r="C50" s="266"/>
      <c r="D50" s="85"/>
      <c r="E50" s="266"/>
      <c r="F50" s="56"/>
      <c r="G50" s="56"/>
      <c r="H50" s="56"/>
      <c r="I50" s="56"/>
      <c r="J50" s="56"/>
      <c r="K50" s="56"/>
      <c r="L50" s="56"/>
      <c r="M50" s="266"/>
      <c r="N50" s="56"/>
      <c r="O50" s="56"/>
      <c r="P50" s="56"/>
      <c r="Q50" s="56"/>
      <c r="R50" s="56"/>
      <c r="S50" s="56"/>
      <c r="T50" s="56"/>
      <c r="U50" s="56"/>
      <c r="V50" s="56"/>
      <c r="W50" s="56"/>
      <c r="X50" s="56"/>
      <c r="Y50" s="56"/>
    </row>
    <row r="51" spans="2:26" hidden="1" outlineLevel="1" x14ac:dyDescent="0.2">
      <c r="C51" s="8" t="s">
        <v>117</v>
      </c>
      <c r="D51" s="202">
        <f xml:space="preserve"> COUNTIF( 'INPUTS│Performance Commitments'!$C$53:$C$71, C51 )</f>
        <v>1</v>
      </c>
      <c r="F51" s="114">
        <f xml:space="preserve"> _xlfn.IFNA( VLOOKUP( $C51, 'INPUTS│Performance Commitments'!$C$75:$I$93, MATCH( F$4, 'INPUTS│Performance Commitments'!$G$3:$I$3, 0 ) + 4, 0 ), "-" )</f>
        <v>0.54400000000000004</v>
      </c>
      <c r="G51" s="114" t="str">
        <f ca="1" xml:space="preserve"> IF( $D51 &gt; 1, OFFSET( 'INPUTS│Performance Commitments'!$F$75, MATCH( $C51, 'INPUTS│Performance Commitments'!$C$75:$C$93, 0 ), MATCH( $F$4, 'INPUTS│Performance Commitments'!$G$3:$I$3, 0 ) ), "-" )</f>
        <v>-</v>
      </c>
      <c r="H51" s="114">
        <f xml:space="preserve"> _xlfn.IFNA( VLOOKUP( $C51, 'INPUTS│Performance Commitments'!$C$53:$I$71, MATCH( H$4, 'INPUTS│Performance Commitments'!$G$3:$I$3, 0 ) + 4, 0 ), "-" )</f>
        <v>0.22800000000000001</v>
      </c>
      <c r="I51" s="114" t="str">
        <f ca="1" xml:space="preserve"> IF( $D51 &gt; 1, OFFSET( 'INPUTS│Performance Commitments'!$F$53, MATCH( $C51, 'INPUTS│Performance Commitments'!$C$53:$C$71, 0 ), MATCH( $H$4, 'INPUTS│Performance Commitments'!$G$3:$I$3, 0 ) ), "-" )</f>
        <v>-</v>
      </c>
      <c r="J51" s="82" t="str">
        <f xml:space="preserve"> IF( H51 &lt;&gt; "-", IF( F51 &lt;= H51, "Met", "Failed" ), "-" )</f>
        <v>Failed</v>
      </c>
      <c r="K51" s="82" t="str">
        <f ca="1" xml:space="preserve"> IF( I51 &lt;&gt; "-", IF( G51 &lt;= I51, "Met", "Failed" ), "-" )</f>
        <v>-</v>
      </c>
      <c r="L51" s="83">
        <f ca="1" xml:space="preserve"> IF( H51 = "-", "-", COUNTIF( J51:K51, "Met" ) / $D51 )</f>
        <v>0</v>
      </c>
      <c r="N51" s="114">
        <f xml:space="preserve"> _xlfn.IFNA( VLOOKUP( $C51, 'INPUTS│Performance Commitments'!$C$75:$I$93, MATCH( N$4, 'INPUTS│Performance Commitments'!$G$3:$I$3, 0 ) + 4, 0 ), "-" )</f>
        <v>0.161</v>
      </c>
      <c r="O51" s="114" t="str">
        <f ca="1" xml:space="preserve"> IF( $D51 &gt; 1, OFFSET( 'INPUTS│Performance Commitments'!$F$75, MATCH( $C51, 'INPUTS│Performance Commitments'!$C$75:$C$93, 0 ), MATCH( $N$4, 'INPUTS│Performance Commitments'!$G$3:$I$3, 0 ) ), "-" )</f>
        <v>-</v>
      </c>
      <c r="P51" s="114">
        <f xml:space="preserve"> _xlfn.IFNA( VLOOKUP( $C51, 'INPUTS│Performance Commitments'!$C$53:$I$71, MATCH( P$4, 'INPUTS│Performance Commitments'!$G$3:$I$3, 0 ) + 4, 0 ), "-" )</f>
        <v>0.214</v>
      </c>
      <c r="Q51" s="114" t="str">
        <f ca="1" xml:space="preserve"> IF( $D51 &gt; 1, OFFSET( 'INPUTS│Performance Commitments'!$F$53, MATCH( $C51, 'INPUTS│Performance Commitments'!$C$53:$C$71, 0 ), MATCH( $P$4, 'INPUTS│Performance Commitments'!$G$3:$I$3, 0 ) ), "-" )</f>
        <v>-</v>
      </c>
      <c r="R51" s="82" t="str">
        <f xml:space="preserve"> IF( P51 &lt;&gt; "-", IF( N51 &lt;= P51, "Met", "Failed" ), "-" )</f>
        <v>Met</v>
      </c>
      <c r="S51" s="82" t="str">
        <f ca="1" xml:space="preserve"> IF( Q51 &lt;&gt; "-", IF( O51 &lt;= Q51, "Met", "Failed" ), "-" )</f>
        <v>-</v>
      </c>
      <c r="T51" s="83">
        <f ca="1" xml:space="preserve"> IF( P51 = "-", "-", COUNTIF( R51:S51, "Met" ) / $D51 )</f>
        <v>1</v>
      </c>
      <c r="U51" s="51"/>
      <c r="V51" s="82">
        <f xml:space="preserve"> _xlfn.IFNA( VLOOKUP( $C51, 'INPUTS│Performance Commitments'!$C$75:$L$93, MATCH( V$4, 'INPUTS│Performance Commitments'!$K$3:$L$3, 0 ) + 8, 0 ), "-" )</f>
        <v>9.66</v>
      </c>
      <c r="W51" s="82" t="str">
        <f ca="1" xml:space="preserve"> IF( $D51 &gt; 1, OFFSET( 'INPUTS│Performance Commitments'!$J$75, MATCH( $C51, 'INPUTS│Performance Commitments'!$C$75:$C$93, 0 ), MATCH( $V$4, 'INPUTS│Performance Commitments'!$K$3:$L$3, 0 ) ), "-" )</f>
        <v>-</v>
      </c>
      <c r="X51" s="82">
        <f xml:space="preserve"> _xlfn.IFNA( VLOOKUP( $C51, 'INPUTS│Performance Commitments'!$C$53:$L$71, MATCH( X$4, 'INPUTS│Performance Commitments'!$K$3:$L$3, 0 ) + 8, 0 ), "-" )</f>
        <v>12.84</v>
      </c>
      <c r="Y51" s="82" t="str">
        <f ca="1" xml:space="preserve"> IF( $D51 &gt; 1, OFFSET( 'INPUTS│Performance Commitments'!$J$53, MATCH( $C51, 'INPUTS│Performance Commitments'!$C$53:$C$71, 0 ), MATCH( $X$4, 'INPUTS│Performance Commitments'!$K$3:$L$3, 0 ) ), "-" )</f>
        <v>-</v>
      </c>
    </row>
    <row r="52" spans="2:26" hidden="1" outlineLevel="1" x14ac:dyDescent="0.2">
      <c r="C52" s="8" t="s">
        <v>115</v>
      </c>
      <c r="D52" s="202">
        <f xml:space="preserve"> COUNTIF( 'INPUTS│Performance Commitments'!$C$53:$C$71, C52 )</f>
        <v>1</v>
      </c>
      <c r="F52" s="114">
        <f xml:space="preserve"> _xlfn.IFNA( VLOOKUP( $C52, 'INPUTS│Performance Commitments'!$C$75:$I$93, MATCH( F$4, 'INPUTS│Performance Commitments'!$G$3:$I$3, 0 ) + 4, 0 ), "-" )</f>
        <v>0.7</v>
      </c>
      <c r="G52" s="114" t="str">
        <f ca="1" xml:space="preserve"> IF( $D52 &gt; 1, OFFSET( 'INPUTS│Performance Commitments'!$F$75, MATCH( $C52, 'INPUTS│Performance Commitments'!$C$75:$C$93, 0 ), MATCH( $F$4, 'INPUTS│Performance Commitments'!$G$3:$I$3, 0 ) ), "-" )</f>
        <v>-</v>
      </c>
      <c r="H52" s="114">
        <f xml:space="preserve"> _xlfn.IFNA( VLOOKUP( $C52, 'INPUTS│Performance Commitments'!$C$53:$I$71, MATCH( H$4, 'INPUTS│Performance Commitments'!$G$3:$I$3, 0 ) + 4, 0 ), "-" )</f>
        <v>4.4000000000000004</v>
      </c>
      <c r="I52" s="114" t="str">
        <f ca="1" xml:space="preserve"> IF( $D52 &gt; 1, OFFSET( 'INPUTS│Performance Commitments'!$F$53, MATCH( $C52, 'INPUTS│Performance Commitments'!$C$53:$C$71, 0 ), MATCH( $H$4, 'INPUTS│Performance Commitments'!$G$3:$I$3, 0 ) ), "-" )</f>
        <v>-</v>
      </c>
      <c r="J52" s="82" t="str">
        <f xml:space="preserve"> IF( H52 &lt;&gt; "-", IF( F52 &lt;= H52, "Met", "Failed" ), "-" )</f>
        <v>Met</v>
      </c>
      <c r="K52" s="82" t="str">
        <f ca="1" xml:space="preserve"> IF( I52 &lt;&gt; "-", IF( G52 &lt;= I52, "Met", "Failed" ), "-" )</f>
        <v>-</v>
      </c>
      <c r="L52" s="83">
        <f ca="1" xml:space="preserve"> IF( H52 = "-", "-", COUNTIF( J52:K52, "Met" ) / $D52 )</f>
        <v>1</v>
      </c>
      <c r="N52" s="114">
        <f xml:space="preserve"> _xlfn.IFNA( VLOOKUP( $C52, 'INPUTS│Performance Commitments'!$C$75:$I$93, MATCH( N$4, 'INPUTS│Performance Commitments'!$G$3:$I$3, 0 ) + 4, 0 ), "-" )</f>
        <v>0.66</v>
      </c>
      <c r="O52" s="114" t="str">
        <f ca="1" xml:space="preserve"> IF( $D52 &gt; 1, OFFSET( 'INPUTS│Performance Commitments'!$F$75, MATCH( $C52, 'INPUTS│Performance Commitments'!$C$75:$C$93, 0 ), MATCH( $N$4, 'INPUTS│Performance Commitments'!$G$3:$I$3, 0 ) ), "-" )</f>
        <v>-</v>
      </c>
      <c r="P52" s="114">
        <f xml:space="preserve"> _xlfn.IFNA( VLOOKUP( $C52, 'INPUTS│Performance Commitments'!$C$53:$I$71, MATCH( P$4, 'INPUTS│Performance Commitments'!$G$3:$I$3, 0 ) + 4, 0 ), "-" )</f>
        <v>4.4000000000000004</v>
      </c>
      <c r="Q52" s="114" t="str">
        <f ca="1" xml:space="preserve"> IF( $D52 &gt; 1, OFFSET( 'INPUTS│Performance Commitments'!$F$53, MATCH( $C52, 'INPUTS│Performance Commitments'!$C$53:$C$71, 0 ), MATCH( $P$4, 'INPUTS│Performance Commitments'!$G$3:$I$3, 0 ) ), "-" )</f>
        <v>-</v>
      </c>
      <c r="R52" s="82" t="str">
        <f xml:space="preserve"> IF( P52 &lt;&gt; "-", IF( N52 &lt;= P52, "Met", "Failed" ), "-" )</f>
        <v>Met</v>
      </c>
      <c r="S52" s="82" t="str">
        <f ca="1" xml:space="preserve"> IF( Q52 &lt;&gt; "-", IF( O52 &lt;= Q52, "Met", "Failed" ), "-" )</f>
        <v>-</v>
      </c>
      <c r="T52" s="83">
        <f ca="1" xml:space="preserve"> IF( P52 = "-", "-", COUNTIF( R52:S52, "Met" ) / $D52 )</f>
        <v>1</v>
      </c>
      <c r="U52" s="51"/>
      <c r="V52" s="82">
        <f xml:space="preserve"> _xlfn.IFNA( VLOOKUP( $C52, 'INPUTS│Performance Commitments'!$C$75:$L$93, MATCH( V$4, 'INPUTS│Performance Commitments'!$K$3:$L$3, 0 ) + 8, 0 ), "-" )</f>
        <v>0.66</v>
      </c>
      <c r="W52" s="82" t="str">
        <f ca="1" xml:space="preserve"> IF( $D52 &gt; 1, OFFSET( 'INPUTS│Performance Commitments'!$J$75, MATCH( $C52, 'INPUTS│Performance Commitments'!$C$75:$C$93, 0 ), MATCH( $V$4, 'INPUTS│Performance Commitments'!$K$3:$L$3, 0 ) ), "-" )</f>
        <v>-</v>
      </c>
      <c r="X52" s="82">
        <f xml:space="preserve"> _xlfn.IFNA( VLOOKUP( $C52, 'INPUTS│Performance Commitments'!$C$53:$L$71, MATCH( X$4, 'INPUTS│Performance Commitments'!$K$3:$L$3, 0 ) + 8, 0 ), "-" )</f>
        <v>4.4000000000000004</v>
      </c>
      <c r="Y52" s="82" t="str">
        <f ca="1" xml:space="preserve"> IF( $D52 &gt; 1, OFFSET( 'INPUTS│Performance Commitments'!$J$53, MATCH( $C52, 'INPUTS│Performance Commitments'!$C$53:$C$71, 0 ), MATCH( $X$4, 'INPUTS│Performance Commitments'!$K$3:$L$3, 0 ) ), "-" )</f>
        <v>-</v>
      </c>
    </row>
    <row r="54" spans="2:26" ht="13.5" collapsed="1" x14ac:dyDescent="0.25">
      <c r="B54" s="9" t="s">
        <v>162</v>
      </c>
      <c r="C54" s="9"/>
      <c r="D54" s="10"/>
      <c r="E54" s="9"/>
      <c r="F54" s="9"/>
      <c r="G54" s="9"/>
      <c r="H54" s="9"/>
      <c r="I54" s="9"/>
      <c r="J54" s="9"/>
      <c r="K54" s="9"/>
      <c r="L54" s="9"/>
      <c r="M54" s="9"/>
      <c r="N54" s="9"/>
      <c r="O54" s="9"/>
      <c r="P54" s="9"/>
      <c r="Q54" s="9"/>
      <c r="R54" s="9"/>
      <c r="S54" s="9"/>
      <c r="T54" s="9"/>
      <c r="U54" s="9"/>
      <c r="V54" s="9"/>
      <c r="W54" s="9"/>
      <c r="X54" s="9"/>
      <c r="Y54" s="9"/>
      <c r="Z54" s="9"/>
    </row>
    <row r="55" spans="2:26" hidden="1" outlineLevel="1" x14ac:dyDescent="0.2"/>
    <row r="56" spans="2:26" hidden="1" outlineLevel="1" x14ac:dyDescent="0.2">
      <c r="C56" s="8" t="s">
        <v>79</v>
      </c>
      <c r="D56" s="202">
        <f xml:space="preserve"> COUNTIF( 'INPUTS│Performance Commitments'!$C$99:$C$118, C56 )</f>
        <v>1</v>
      </c>
      <c r="F56" s="114">
        <f xml:space="preserve"> _xlfn.IFNA( VLOOKUP( $C56, 'INPUTS│Performance Commitments'!$C$122:$I$141, MATCH( F$4, 'INPUTS│Performance Commitments'!$G$3:$I$3, 0 ) + 4, 0 ), "-" )</f>
        <v>1.23</v>
      </c>
      <c r="G56" s="114" t="str">
        <f ca="1" xml:space="preserve"> IF( $D56 &gt; 1, OFFSET( 'INPUTS│Performance Commitments'!$F$122, MATCH( $C56, 'INPUTS│Performance Commitments'!$C$122:$C$141, 0 ), MATCH( $F$4, 'INPUTS│Performance Commitments'!$G$3:$I$3, 0 ) ), "-" )</f>
        <v>-</v>
      </c>
      <c r="H56" s="114">
        <f xml:space="preserve"> _xlfn.IFNA( VLOOKUP( $C56, 'INPUTS│Performance Commitments'!$C$99:$I$118, MATCH( H$4, 'INPUTS│Performance Commitments'!$G$3:$I$3, 0 ) + 4, 0 ), "-" )</f>
        <v>1.23</v>
      </c>
      <c r="I56" s="114" t="str">
        <f ca="1" xml:space="preserve"> IF( $D56 &gt; 1, OFFSET( 'INPUTS│Performance Commitments'!$F$99, MATCH( $C56, 'INPUTS│Performance Commitments'!$C$99:$C$118, 0 ), MATCH( $H$4, 'INPUTS│Performance Commitments'!$G$3:$I$3, 0 ) ), "-" )</f>
        <v>-</v>
      </c>
      <c r="J56" s="82" t="str">
        <f t="shared" ref="J56:K60" si="16" xml:space="preserve"> IF( H56 &lt;&gt; "-", IF( F56 &lt;= H56, "Met", "Failed" ), "-" )</f>
        <v>Met</v>
      </c>
      <c r="K56" s="82" t="str">
        <f t="shared" ca="1" si="16"/>
        <v>-</v>
      </c>
      <c r="L56" s="282">
        <f ca="1" xml:space="preserve"> IF( H56 = "-", "-", COUNTIF( J56:K56, "Met" ) / $D56 )</f>
        <v>1</v>
      </c>
      <c r="N56" s="114">
        <f xml:space="preserve"> _xlfn.IFNA( VLOOKUP( $C56, 'INPUTS│Performance Commitments'!$C$122:$I$141, MATCH( N$4, 'INPUTS│Performance Commitments'!$G$3:$I$3, 0 ) + 4, 0 ), "-" )</f>
        <v>1.18</v>
      </c>
      <c r="O56" s="114" t="str">
        <f ca="1" xml:space="preserve"> IF( $D56 &gt; 1, OFFSET( 'INPUTS│Performance Commitments'!$F$122, MATCH( $C56, 'INPUTS│Performance Commitments'!$C$122:$C$141, 0 ), MATCH( $N$4, 'INPUTS│Performance Commitments'!$G$3:$I$3, 0 ) ), "-" )</f>
        <v>-</v>
      </c>
      <c r="P56" s="114">
        <f xml:space="preserve"> _xlfn.IFNA( VLOOKUP( $C56, 'INPUTS│Performance Commitments'!$C$99:$I$118, MATCH( P$4, 'INPUTS│Performance Commitments'!$G$3:$I$3, 0 ) + 4, 0 ), "-" )</f>
        <v>1.23</v>
      </c>
      <c r="Q56" s="114" t="str">
        <f ca="1" xml:space="preserve"> IF( $D56 &gt; 1, OFFSET( 'INPUTS│Performance Commitments'!$F$99, MATCH( $C56, 'INPUTS│Performance Commitments'!$C$99:$C$118, 0 ), MATCH( $P$4, 'INPUTS│Performance Commitments'!$G$3:$I$3, 0 ) ), "-" )</f>
        <v>-</v>
      </c>
      <c r="R56" s="82" t="str">
        <f t="shared" ref="R56:S60" si="17" xml:space="preserve"> IF( P56 &lt;&gt; "-", IF( N56 &lt;= P56, "Met", "Failed" ), "-" )</f>
        <v>Met</v>
      </c>
      <c r="S56" s="82" t="str">
        <f t="shared" ca="1" si="17"/>
        <v>-</v>
      </c>
      <c r="T56" s="282">
        <f ca="1" xml:space="preserve"> IF( P56 = "-", "-", COUNTIF( R56:S56, "Met" ) / $D56 )</f>
        <v>1</v>
      </c>
      <c r="V56" s="273">
        <f xml:space="preserve"> _xlfn.IFNA( VLOOKUP( $C56, 'INPUTS│Performance Commitments'!$C$122:$L$141, MATCH( V$4, 'INPUTS│Performance Commitments'!$K$3:$L$3, 0 ) + 8, 0 ), "-" )</f>
        <v>1.18</v>
      </c>
      <c r="W56" s="273" t="str">
        <f ca="1" xml:space="preserve"> IF( $D56 &gt; 1, OFFSET( 'INPUTS│Performance Commitments'!$J$122, MATCH( $C56, 'INPUTS│Performance Commitments'!$C$122:$C$141, 0 ), MATCH( $V$4, 'INPUTS│Performance Commitments'!$K$3:$L$3, 0 ) ), "-" )</f>
        <v>-</v>
      </c>
      <c r="X56" s="273">
        <f xml:space="preserve"> _xlfn.IFNA( VLOOKUP( $C56, 'INPUTS│Performance Commitments'!$C$99:$L$118, MATCH( X$4, 'INPUTS│Performance Commitments'!$K$3:$L$3, 0 ) + 8, 0 ), "-" )</f>
        <v>1.23</v>
      </c>
      <c r="Y56" s="273" t="str">
        <f ca="1" xml:space="preserve"> IF( $D56 &gt; 1, OFFSET( 'INPUTS│Performance Commitments'!$J$99, MATCH( $C56, 'INPUTS│Performance Commitments'!$C$99:$C$118, 0 ), MATCH( $X$4, 'INPUTS│Performance Commitments'!$K$3:$L$3, 0 ) ), "-" )</f>
        <v>-</v>
      </c>
    </row>
    <row r="57" spans="2:26" hidden="1" outlineLevel="1" x14ac:dyDescent="0.2">
      <c r="C57" s="8" t="s">
        <v>81</v>
      </c>
      <c r="D57" s="202">
        <f xml:space="preserve"> COUNTIF( 'INPUTS│Performance Commitments'!$C$99:$C$118, C57 )</f>
        <v>1</v>
      </c>
      <c r="F57" s="114">
        <f xml:space="preserve"> _xlfn.IFNA( VLOOKUP( $C57, 'INPUTS│Performance Commitments'!$C$122:$I$141, MATCH( F$4, 'INPUTS│Performance Commitments'!$G$3:$I$3, 0 ) + 4, 0 ), "-" )</f>
        <v>3.19</v>
      </c>
      <c r="G57" s="114" t="str">
        <f ca="1" xml:space="preserve"> IF( $D57 &gt; 1, OFFSET( 'INPUTS│Performance Commitments'!$F$122, MATCH( $C57, 'INPUTS│Performance Commitments'!$C$122:$C$141, 0 ), MATCH( $F$4, 'INPUTS│Performance Commitments'!$G$3:$I$3, 0 ) ), "-" )</f>
        <v>-</v>
      </c>
      <c r="H57" s="114">
        <f xml:space="preserve"> _xlfn.IFNA( VLOOKUP( $C57, 'INPUTS│Performance Commitments'!$C$99:$I$118, MATCH( H$4, 'INPUTS│Performance Commitments'!$G$3:$I$3, 0 ) + 4, 0 ), "-" )</f>
        <v>1.23</v>
      </c>
      <c r="I57" s="114" t="str">
        <f ca="1" xml:space="preserve"> IF( $D57 &gt; 1, OFFSET( 'INPUTS│Performance Commitments'!$F$99, MATCH( $C57, 'INPUTS│Performance Commitments'!$C$99:$C$118, 0 ), MATCH( $H$4, 'INPUTS│Performance Commitments'!$G$3:$I$3, 0 ) ), "-" )</f>
        <v>-</v>
      </c>
      <c r="J57" s="82" t="str">
        <f t="shared" si="16"/>
        <v>Failed</v>
      </c>
      <c r="K57" s="82" t="str">
        <f t="shared" ca="1" si="16"/>
        <v>-</v>
      </c>
      <c r="L57" s="282">
        <f ca="1" xml:space="preserve"> IF( H57 = "-", "-", COUNTIF( J57:K57, "Met" ) / $D57 )</f>
        <v>0</v>
      </c>
      <c r="N57" s="114">
        <f xml:space="preserve"> _xlfn.IFNA( VLOOKUP( $C57, 'INPUTS│Performance Commitments'!$C$122:$I$141, MATCH( N$4, 'INPUTS│Performance Commitments'!$G$3:$I$3, 0 ) + 4, 0 ), "-" )</f>
        <v>3.28</v>
      </c>
      <c r="O57" s="114" t="str">
        <f ca="1" xml:space="preserve"> IF( $D57 &gt; 1, OFFSET( 'INPUTS│Performance Commitments'!$F$122, MATCH( $C57, 'INPUTS│Performance Commitments'!$C$122:$C$141, 0 ), MATCH( $N$4, 'INPUTS│Performance Commitments'!$G$3:$I$3, 0 ) ), "-" )</f>
        <v>-</v>
      </c>
      <c r="P57" s="114">
        <f xml:space="preserve"> _xlfn.IFNA( VLOOKUP( $C57, 'INPUTS│Performance Commitments'!$C$99:$I$118, MATCH( P$4, 'INPUTS│Performance Commitments'!$G$3:$I$3, 0 ) + 4, 0 ), "-" )</f>
        <v>1.23</v>
      </c>
      <c r="Q57" s="114" t="str">
        <f ca="1" xml:space="preserve"> IF( $D57 &gt; 1, OFFSET( 'INPUTS│Performance Commitments'!$F$99, MATCH( $C57, 'INPUTS│Performance Commitments'!$C$99:$C$118, 0 ), MATCH( $P$4, 'INPUTS│Performance Commitments'!$G$3:$I$3, 0 ) ), "-" )</f>
        <v>-</v>
      </c>
      <c r="R57" s="82" t="str">
        <f t="shared" si="17"/>
        <v>Failed</v>
      </c>
      <c r="S57" s="82" t="str">
        <f t="shared" ca="1" si="17"/>
        <v>-</v>
      </c>
      <c r="T57" s="282">
        <f ca="1" xml:space="preserve"> IF( P57 = "-", "-", COUNTIF( R57:S57, "Met" ) / $D57 )</f>
        <v>0</v>
      </c>
      <c r="V57" s="273">
        <f xml:space="preserve"> _xlfn.IFNA( VLOOKUP( $C57, 'INPUTS│Performance Commitments'!$C$122:$L$141, MATCH( V$4, 'INPUTS│Performance Commitments'!$K$3:$L$3, 0 ) + 8, 0 ), "-" )</f>
        <v>3.28</v>
      </c>
      <c r="W57" s="273" t="str">
        <f ca="1" xml:space="preserve"> IF( $D57 &gt; 1, OFFSET( 'INPUTS│Performance Commitments'!$J$122, MATCH( $C57, 'INPUTS│Performance Commitments'!$C$122:$C$141, 0 ), MATCH( $V$4, 'INPUTS│Performance Commitments'!$K$3:$L$3, 0 ) ), "-" )</f>
        <v>-</v>
      </c>
      <c r="X57" s="273">
        <f xml:space="preserve"> _xlfn.IFNA( VLOOKUP( $C57, 'INPUTS│Performance Commitments'!$C$99:$L$118, MATCH( X$4, 'INPUTS│Performance Commitments'!$K$3:$L$3, 0 ) + 8, 0 ), "-" )</f>
        <v>1.23</v>
      </c>
      <c r="Y57" s="273" t="str">
        <f ca="1" xml:space="preserve"> IF( $D57 &gt; 1, OFFSET( 'INPUTS│Performance Commitments'!$J$99, MATCH( $C57, 'INPUTS│Performance Commitments'!$C$99:$C$118, 0 ), MATCH( $X$4, 'INPUTS│Performance Commitments'!$K$3:$L$3, 0 ) ), "-" )</f>
        <v>-</v>
      </c>
    </row>
    <row r="58" spans="2:26" hidden="1" outlineLevel="1" x14ac:dyDescent="0.2">
      <c r="C58" s="8" t="s">
        <v>84</v>
      </c>
      <c r="D58" s="202">
        <f xml:space="preserve"> COUNTIF( 'INPUTS│Performance Commitments'!$C$99:$C$118, C58 )</f>
        <v>2</v>
      </c>
      <c r="F58" s="114" t="str">
        <f xml:space="preserve"> _xlfn.IFNA( VLOOKUP( $C58, 'INPUTS│Performance Commitments'!$C$122:$I$141, MATCH( F$4, 'INPUTS│Performance Commitments'!$G$3:$I$3, 0 ) + 4, 0 ), "-" )</f>
        <v>-</v>
      </c>
      <c r="G58" s="114" t="str">
        <f ca="1" xml:space="preserve"> IF( $D58 &gt; 1, OFFSET( 'INPUTS│Performance Commitments'!$F$122, MATCH( $C58, 'INPUTS│Performance Commitments'!$C$122:$C$141, 0 ), MATCH( $F$4, 'INPUTS│Performance Commitments'!$G$3:$I$3, 0 ) ), "-" )</f>
        <v>-</v>
      </c>
      <c r="H58" s="114" t="str">
        <f xml:space="preserve"> _xlfn.IFNA( VLOOKUP( $C58, 'INPUTS│Performance Commitments'!$C$99:$I$118, MATCH( H$4, 'INPUTS│Performance Commitments'!$G$3:$I$3, 0 ) + 4, 0 ), "-" )</f>
        <v>-</v>
      </c>
      <c r="I58" s="114" t="str">
        <f ca="1" xml:space="preserve"> IF( $D58 &gt; 1, OFFSET( 'INPUTS│Performance Commitments'!$F$99, MATCH( $C58, 'INPUTS│Performance Commitments'!$C$99:$C$118, 0 ), MATCH( $H$4, 'INPUTS│Performance Commitments'!$G$3:$I$3, 0 ) ), "-" )</f>
        <v>-</v>
      </c>
      <c r="J58" s="82" t="str">
        <f t="shared" si="16"/>
        <v>-</v>
      </c>
      <c r="K58" s="82" t="str">
        <f t="shared" ca="1" si="16"/>
        <v>-</v>
      </c>
      <c r="L58" s="282" t="str">
        <f xml:space="preserve"> IF( H58 = "-", "-", COUNTIF( J58:K58, "Met" ) / $D58 )</f>
        <v>-</v>
      </c>
      <c r="N58" s="114">
        <f xml:space="preserve"> _xlfn.IFNA( VLOOKUP( $C58, 'INPUTS│Performance Commitments'!$C$122:$I$141, MATCH( N$4, 'INPUTS│Performance Commitments'!$G$3:$I$3, 0 ) + 4, 0 ), "-" )</f>
        <v>1.02</v>
      </c>
      <c r="O58" s="115">
        <f ca="1" xml:space="preserve"> IF( $D58 &gt; 1, OFFSET( 'INPUTS│Performance Commitments'!$F$122, MATCH( $C58, 'INPUTS│Performance Commitments'!$C$122:$C$141, 0 ), MATCH( $N$4, 'INPUTS│Performance Commitments'!$G$3:$I$3, 0 ) ), "-" )</f>
        <v>67</v>
      </c>
      <c r="P58" s="114">
        <f xml:space="preserve"> _xlfn.IFNA( VLOOKUP( $C58, 'INPUTS│Performance Commitments'!$C$99:$I$118, MATCH( P$4, 'INPUTS│Performance Commitments'!$G$3:$I$3, 0 ) + 4, 0 ), "-" )</f>
        <v>1.01</v>
      </c>
      <c r="Q58" s="115">
        <f ca="1" xml:space="preserve"> IF( $D58 &gt; 1, OFFSET( 'INPUTS│Performance Commitments'!$F$99, MATCH( $C58, 'INPUTS│Performance Commitments'!$C$99:$C$118, 0 ), MATCH( $P$4, 'INPUTS│Performance Commitments'!$G$3:$I$3, 0 ) ), "-" )</f>
        <v>38</v>
      </c>
      <c r="R58" s="82" t="str">
        <f t="shared" si="17"/>
        <v>Failed</v>
      </c>
      <c r="S58" s="82" t="str">
        <f t="shared" ca="1" si="17"/>
        <v>Failed</v>
      </c>
      <c r="T58" s="282">
        <f ca="1" xml:space="preserve"> IF( P58 = "-", "-", COUNTIF( R58:S58, "Met" ) / $D58 )</f>
        <v>0</v>
      </c>
      <c r="V58" s="273">
        <f xml:space="preserve"> _xlfn.IFNA( VLOOKUP( $C58, 'INPUTS│Performance Commitments'!$C$122:$L$141, MATCH( V$4, 'INPUTS│Performance Commitments'!$K$3:$L$3, 0 ) + 8, 0 ), "-" )</f>
        <v>1.02</v>
      </c>
      <c r="W58" s="273">
        <f ca="1" xml:space="preserve"> IF( $D58 &gt; 1, OFFSET( 'INPUTS│Performance Commitments'!$J$122, MATCH( $C58, 'INPUTS│Performance Commitments'!$C$122:$C$141, 0 ), MATCH( $V$4, 'INPUTS│Performance Commitments'!$K$3:$L$3, 0 ) ), "-" )</f>
        <v>1.2197342071727653</v>
      </c>
      <c r="X58" s="273">
        <f xml:space="preserve"> _xlfn.IFNA( VLOOKUP( $C58, 'INPUTS│Performance Commitments'!$C$99:$L$118, MATCH( X$4, 'INPUTS│Performance Commitments'!$K$3:$L$3, 0 ) + 8, 0 ), "-" )</f>
        <v>1.01</v>
      </c>
      <c r="Y58" s="273">
        <f ca="1" xml:space="preserve"> IF( $D58 &gt; 1, OFFSET( 'INPUTS│Performance Commitments'!$J$99, MATCH( $C58, 'INPUTS│Performance Commitments'!$C$99:$C$118, 0 ), MATCH( $X$4, 'INPUTS│Performance Commitments'!$K$3:$L$3, 0 ) ), "-" )</f>
        <v>0.69178955033679224</v>
      </c>
    </row>
    <row r="59" spans="2:26" hidden="1" outlineLevel="1" x14ac:dyDescent="0.2">
      <c r="C59" s="8" t="s">
        <v>86</v>
      </c>
      <c r="D59" s="202">
        <f xml:space="preserve"> COUNTIF( 'INPUTS│Performance Commitments'!$C$99:$C$118, C59 )</f>
        <v>2</v>
      </c>
      <c r="F59" s="115">
        <f xml:space="preserve"> _xlfn.IFNA( VLOOKUP( $C59, 'INPUTS│Performance Commitments'!$C$122:$I$141, MATCH( F$4, 'INPUTS│Performance Commitments'!$G$3:$I$3, 0 ) + 4, 0 ), "-" )</f>
        <v>978</v>
      </c>
      <c r="G59" s="115">
        <f ca="1" xml:space="preserve"> IF( $D59 &gt; 1, OFFSET( 'INPUTS│Performance Commitments'!$F$122, MATCH( $C59, 'INPUTS│Performance Commitments'!$C$122:$C$141, 0 ), MATCH( $F$4, 'INPUTS│Performance Commitments'!$G$3:$I$3, 0 ) ), "-" )</f>
        <v>2776</v>
      </c>
      <c r="H59" s="115">
        <f xml:space="preserve"> _xlfn.IFNA( VLOOKUP( $C59, 'INPUTS│Performance Commitments'!$C$99:$I$118, MATCH( H$4, 'INPUTS│Performance Commitments'!$G$3:$I$3, 0 ) + 4, 0 ), "-" )</f>
        <v>987</v>
      </c>
      <c r="I59" s="115">
        <f ca="1" xml:space="preserve"> IF( $D59 &gt; 1, OFFSET( 'INPUTS│Performance Commitments'!$F$99, MATCH( $C59, 'INPUTS│Performance Commitments'!$C$99:$C$118, 0 ), MATCH( $H$4, 'INPUTS│Performance Commitments'!$G$3:$I$3, 0 ) ), "-" )</f>
        <v>3490</v>
      </c>
      <c r="J59" s="82" t="str">
        <f t="shared" si="16"/>
        <v>Met</v>
      </c>
      <c r="K59" s="82" t="str">
        <f t="shared" ca="1" si="16"/>
        <v>Met</v>
      </c>
      <c r="L59" s="282">
        <f ca="1" xml:space="preserve"> IF( H59 = "-", "-", COUNTIF( J59:K59, "Met" ) / $D59 )</f>
        <v>1</v>
      </c>
      <c r="N59" s="115">
        <f xml:space="preserve"> _xlfn.IFNA( VLOOKUP( $C59, 'INPUTS│Performance Commitments'!$C$122:$I$141, MATCH( N$4, 'INPUTS│Performance Commitments'!$G$3:$I$3, 0 ) + 4, 0 ), "-" )</f>
        <v>1060</v>
      </c>
      <c r="O59" s="115">
        <f ca="1" xml:space="preserve"> IF( $D59 &gt; 1, OFFSET( 'INPUTS│Performance Commitments'!$F$122, MATCH( $C59, 'INPUTS│Performance Commitments'!$C$122:$C$141, 0 ), MATCH( $N$4, 'INPUTS│Performance Commitments'!$G$3:$I$3, 0 ) ), "-" )</f>
        <v>2667</v>
      </c>
      <c r="P59" s="115">
        <f xml:space="preserve"> _xlfn.IFNA( VLOOKUP( $C59, 'INPUTS│Performance Commitments'!$C$99:$I$118, MATCH( P$4, 'INPUTS│Performance Commitments'!$G$3:$I$3, 0 ) + 4, 0 ), "-" )</f>
        <v>987</v>
      </c>
      <c r="Q59" s="115">
        <f ca="1" xml:space="preserve"> IF( $D59 &gt; 1, OFFSET( 'INPUTS│Performance Commitments'!$F$99, MATCH( $C59, 'INPUTS│Performance Commitments'!$C$99:$C$118, 0 ), MATCH( $P$4, 'INPUTS│Performance Commitments'!$G$3:$I$3, 0 ) ), "-" )</f>
        <v>3108</v>
      </c>
      <c r="R59" s="82" t="str">
        <f t="shared" si="17"/>
        <v>Failed</v>
      </c>
      <c r="S59" s="82" t="str">
        <f t="shared" ca="1" si="17"/>
        <v>Met</v>
      </c>
      <c r="T59" s="282">
        <f ca="1" xml:space="preserve"> IF( P59 = "-", "-", COUNTIF( R59:S59, "Met" ) / $D59 )</f>
        <v>0.5</v>
      </c>
      <c r="V59" s="273">
        <f xml:space="preserve"> _xlfn.IFNA( VLOOKUP( $C59, 'INPUTS│Performance Commitments'!$C$122:$L$141, MATCH( V$4, 'INPUTS│Performance Commitments'!$K$3:$L$3, 0 ) + 8, 0 ), "-" )</f>
        <v>0.23375104939887392</v>
      </c>
      <c r="W59" s="273">
        <f ca="1" xml:space="preserve"> IF( $D59 &gt; 1, OFFSET( 'INPUTS│Performance Commitments'!$J$122, MATCH( $C59, 'INPUTS│Performance Commitments'!$C$122:$C$141, 0 ), MATCH( $V$4, 'INPUTS│Performance Commitments'!$K$3:$L$3, 0 ) ), "-" )</f>
        <v>0.58812646108188371</v>
      </c>
      <c r="X59" s="273">
        <f xml:space="preserve"> _xlfn.IFNA( VLOOKUP( $C59, 'INPUTS│Performance Commitments'!$C$99:$L$118, MATCH( X$4, 'INPUTS│Performance Commitments'!$K$3:$L$3, 0 ) + 8, 0 ), "-" )</f>
        <v>0.21765309977046091</v>
      </c>
      <c r="Y59" s="273">
        <f ca="1" xml:space="preserve"> IF( $D59 &gt; 1, OFFSET( 'INPUTS│Performance Commitments'!$J$99, MATCH( $C59, 'INPUTS│Performance Commitments'!$C$99:$C$118, 0 ), MATCH( $X$4, 'INPUTS│Performance Commitments'!$K$3:$L$3, 0 ) ), "-" )</f>
        <v>0.68537571842613221</v>
      </c>
    </row>
    <row r="60" spans="2:26" hidden="1" outlineLevel="1" x14ac:dyDescent="0.2">
      <c r="C60" s="8" t="s">
        <v>88</v>
      </c>
      <c r="D60" s="202">
        <f xml:space="preserve"> COUNTIF( 'INPUTS│Performance Commitments'!$C$99:$C$118, C60 )</f>
        <v>2</v>
      </c>
      <c r="F60" s="114" t="str">
        <f xml:space="preserve"> _xlfn.IFNA( VLOOKUP( $C60, 'INPUTS│Performance Commitments'!$C$122:$I$141, MATCH( F$4, 'INPUTS│Performance Commitments'!$G$3:$I$3, 0 ) + 4, 0 ), "-" )</f>
        <v>-</v>
      </c>
      <c r="G60" s="114" t="str">
        <f ca="1" xml:space="preserve"> IF( $D60 &gt; 1, OFFSET( 'INPUTS│Performance Commitments'!$F$122, MATCH( $C60, 'INPUTS│Performance Commitments'!$C$122:$C$141, 0 ), MATCH( $F$4, 'INPUTS│Performance Commitments'!$G$3:$I$3, 0 ) ), "-" )</f>
        <v>-</v>
      </c>
      <c r="H60" s="114" t="str">
        <f xml:space="preserve"> _xlfn.IFNA( VLOOKUP( $C60, 'INPUTS│Performance Commitments'!$C$99:$I$118, MATCH( H$4, 'INPUTS│Performance Commitments'!$G$3:$I$3, 0 ) + 4, 0 ), "-" )</f>
        <v>-</v>
      </c>
      <c r="I60" s="114" t="str">
        <f ca="1" xml:space="preserve"> IF( $D60 &gt; 1, OFFSET( 'INPUTS│Performance Commitments'!$F$99, MATCH( $C60, 'INPUTS│Performance Commitments'!$C$99:$C$118, 0 ), MATCH( $H$4, 'INPUTS│Performance Commitments'!$G$3:$I$3, 0 ) ), "-" )</f>
        <v>-</v>
      </c>
      <c r="J60" s="82" t="str">
        <f t="shared" si="16"/>
        <v>-</v>
      </c>
      <c r="K60" s="82" t="str">
        <f t="shared" ca="1" si="16"/>
        <v>-</v>
      </c>
      <c r="L60" s="282" t="str">
        <f xml:space="preserve"> IF( H60 = "-", "-", COUNTIF( J60:K60, "Met" ) / $D60 )</f>
        <v>-</v>
      </c>
      <c r="N60" s="115">
        <f xml:space="preserve"> _xlfn.IFNA( VLOOKUP( $C60, 'INPUTS│Performance Commitments'!$C$122:$I$141, MATCH( N$4, 'INPUTS│Performance Commitments'!$G$3:$I$3, 0 ) + 4, 0 ), "-" )</f>
        <v>11856</v>
      </c>
      <c r="O60" s="114">
        <f ca="1" xml:space="preserve"> IF( $D60 &gt; 1, OFFSET( 'INPUTS│Performance Commitments'!$F$122, MATCH( $C60, 'INPUTS│Performance Commitments'!$C$122:$C$141, 0 ), MATCH( $N$4, 'INPUTS│Performance Commitments'!$G$3:$I$3, 0 ) ), "-" )</f>
        <v>0.45</v>
      </c>
      <c r="P60" s="115">
        <f xml:space="preserve"> _xlfn.IFNA( VLOOKUP( $C60, 'INPUTS│Performance Commitments'!$C$99:$I$118, MATCH( P$4, 'INPUTS│Performance Commitments'!$G$3:$I$3, 0 ) + 4, 0 ), "-" )</f>
        <v>9954</v>
      </c>
      <c r="Q60" s="114">
        <f ca="1" xml:space="preserve"> IF( $D60 &gt; 1, OFFSET( 'INPUTS│Performance Commitments'!$F$99, MATCH( $C60, 'INPUTS│Performance Commitments'!$C$99:$C$118, 0 ), MATCH( $P$4, 'INPUTS│Performance Commitments'!$G$3:$I$3, 0 ) ), "-" )</f>
        <v>1.01</v>
      </c>
      <c r="R60" s="82" t="str">
        <f t="shared" si="17"/>
        <v>Failed</v>
      </c>
      <c r="S60" s="82" t="str">
        <f t="shared" ca="1" si="17"/>
        <v>Met</v>
      </c>
      <c r="T60" s="282">
        <f ca="1" xml:space="preserve"> IF( P60 = "-", "-", COUNTIF( R60:S60, "Met" ) / $D60 )</f>
        <v>0.5</v>
      </c>
      <c r="V60" s="273">
        <f xml:space="preserve"> _xlfn.IFNA( VLOOKUP( $C60, 'INPUTS│Performance Commitments'!$C$122:$L$141, MATCH( V$4, 'INPUTS│Performance Commitments'!$K$3:$L$3, 0 ) + 8, 0 ), "-" )</f>
        <v>1.5432182126302441</v>
      </c>
      <c r="W60" s="273">
        <f ca="1" xml:space="preserve"> IF( $D60 &gt; 1, OFFSET( 'INPUTS│Performance Commitments'!$J$122, MATCH( $C60, 'INPUTS│Performance Commitments'!$C$122:$C$141, 0 ), MATCH( $V$4, 'INPUTS│Performance Commitments'!$K$3:$L$3, 0 ) ), "-" )</f>
        <v>0.45</v>
      </c>
      <c r="X60" s="273">
        <f xml:space="preserve"> _xlfn.IFNA( VLOOKUP( $C60, 'INPUTS│Performance Commitments'!$C$99:$L$118, MATCH( X$4, 'INPUTS│Performance Commitments'!$K$3:$L$3, 0 ) + 8, 0 ), "-" )</f>
        <v>1.2956472746728618</v>
      </c>
      <c r="Y60" s="273">
        <f ca="1" xml:space="preserve"> IF( $D60 &gt; 1, OFFSET( 'INPUTS│Performance Commitments'!$J$99, MATCH( $C60, 'INPUTS│Performance Commitments'!$C$99:$C$118, 0 ), MATCH( $X$4, 'INPUTS│Performance Commitments'!$K$3:$L$3, 0 ) ), "-" )</f>
        <v>1.01</v>
      </c>
    </row>
    <row r="61" spans="2:26" s="88" customFormat="1" hidden="1" outlineLevel="1" x14ac:dyDescent="0.2">
      <c r="C61" s="88" t="s">
        <v>90</v>
      </c>
      <c r="D61" s="90">
        <f xml:space="preserve"> SUM( D74, D75 )</f>
        <v>2</v>
      </c>
      <c r="F61" s="91">
        <f>F74</f>
        <v>2.2000000000000002</v>
      </c>
      <c r="G61" s="91">
        <f>F75</f>
        <v>0.82</v>
      </c>
      <c r="H61" s="91">
        <f>H74</f>
        <v>3.6</v>
      </c>
      <c r="I61" s="91">
        <f>H75</f>
        <v>1.23</v>
      </c>
      <c r="J61" s="91" t="str">
        <f>J74</f>
        <v>Met</v>
      </c>
      <c r="K61" s="91" t="str">
        <f>J75</f>
        <v>Met</v>
      </c>
      <c r="L61" s="282">
        <f ca="1" xml:space="preserve"> IF( OR( L74 = "-", L75 = "-" ), MAX( L74:L75 ), SUM( L74:L75 ) / 2 )</f>
        <v>1</v>
      </c>
      <c r="N61" s="91">
        <f>N74</f>
        <v>2.13</v>
      </c>
      <c r="O61" s="91">
        <f>N75</f>
        <v>0.71</v>
      </c>
      <c r="P61" s="91">
        <f>P74</f>
        <v>3.3</v>
      </c>
      <c r="Q61" s="91">
        <f>P75</f>
        <v>1.23</v>
      </c>
      <c r="R61" s="91" t="str">
        <f>R74</f>
        <v>Met</v>
      </c>
      <c r="S61" s="91" t="str">
        <f>R75</f>
        <v>Met</v>
      </c>
      <c r="T61" s="282">
        <f ca="1" xml:space="preserve"> IF( OR( T74 = "-", T75 = "-" ), MAX( T74:T75 ), SUM( T74:T75 ) / 2 )</f>
        <v>1</v>
      </c>
      <c r="V61" s="273">
        <f>V74</f>
        <v>2.13</v>
      </c>
      <c r="W61" s="273">
        <f>V75</f>
        <v>0.71</v>
      </c>
      <c r="X61" s="273">
        <f>X74</f>
        <v>3.3</v>
      </c>
      <c r="Y61" s="273">
        <f>X75</f>
        <v>1.23</v>
      </c>
    </row>
    <row r="62" spans="2:26" hidden="1" outlineLevel="1" x14ac:dyDescent="0.2">
      <c r="C62" s="8" t="s">
        <v>93</v>
      </c>
      <c r="D62" s="202">
        <f xml:space="preserve"> COUNTIF( 'INPUTS│Performance Commitments'!$C$99:$C$118, C62 )</f>
        <v>1</v>
      </c>
      <c r="F62" s="114">
        <f xml:space="preserve"> _xlfn.IFNA( VLOOKUP( $C62, 'INPUTS│Performance Commitments'!$C$122:$I$141, MATCH( F$4, 'INPUTS│Performance Commitments'!$G$3:$I$3, 0 ) + 4, 0 ), "-" )</f>
        <v>0.82</v>
      </c>
      <c r="G62" s="114" t="str">
        <f ca="1" xml:space="preserve"> IF( $D62 &gt; 1, OFFSET( 'INPUTS│Performance Commitments'!$F$122, MATCH( $C62, 'INPUTS│Performance Commitments'!$C$122:$C$141, 0 ), MATCH( $F$4, 'INPUTS│Performance Commitments'!$G$3:$I$3, 0 ) ), "-" )</f>
        <v>-</v>
      </c>
      <c r="H62" s="114">
        <f xml:space="preserve"> _xlfn.IFNA( VLOOKUP( $C62, 'INPUTS│Performance Commitments'!$C$99:$I$118, MATCH( H$4, 'INPUTS│Performance Commitments'!$G$3:$I$3, 0 ) + 4, 0 ), "-" )</f>
        <v>0.82</v>
      </c>
      <c r="I62" s="114" t="str">
        <f ca="1" xml:space="preserve"> IF( $D62 &gt; 1, OFFSET( 'INPUTS│Performance Commitments'!$F$99, MATCH( $C62, 'INPUTS│Performance Commitments'!$C$99:$C$118, 0 ), MATCH( $H$4, 'INPUTS│Performance Commitments'!$G$3:$I$3, 0 ) ), "-" )</f>
        <v>-</v>
      </c>
      <c r="J62" s="82" t="str">
        <f t="shared" ref="J62:J75" si="18" xml:space="preserve"> IF( H62 &lt;&gt; "-", IF( F62 &lt;= H62, "Met", "Failed" ), "-" )</f>
        <v>Met</v>
      </c>
      <c r="K62" s="82" t="str">
        <f t="shared" ref="K62:K71" ca="1" si="19" xml:space="preserve"> IF( I62 &lt;&gt; "-", IF( G62 &lt;= I62, "Met", "Failed" ), "-" )</f>
        <v>-</v>
      </c>
      <c r="L62" s="282">
        <f ca="1" xml:space="preserve"> IF( H62 = "-", "-", COUNTIF( J62:K62, "Met" ) / $D62 )</f>
        <v>1</v>
      </c>
      <c r="N62" s="114">
        <f xml:space="preserve"> _xlfn.IFNA( VLOOKUP( $C62, 'INPUTS│Performance Commitments'!$C$122:$I$141, MATCH( N$4, 'INPUTS│Performance Commitments'!$G$3:$I$3, 0 ) + 4, 0 ), "-" )</f>
        <v>0.68</v>
      </c>
      <c r="O62" s="114" t="str">
        <f ca="1" xml:space="preserve"> IF( $D62 &gt; 1, OFFSET( 'INPUTS│Performance Commitments'!$F$122, MATCH( $C62, 'INPUTS│Performance Commitments'!$C$122:$C$141, 0 ), MATCH( $N$4, 'INPUTS│Performance Commitments'!$G$3:$I$3, 0 ) ), "-" )</f>
        <v>-</v>
      </c>
      <c r="P62" s="114">
        <f xml:space="preserve"> _xlfn.IFNA( VLOOKUP( $C62, 'INPUTS│Performance Commitments'!$C$99:$I$118, MATCH( P$4, 'INPUTS│Performance Commitments'!$G$3:$I$3, 0 ) + 4, 0 ), "-" )</f>
        <v>0.82</v>
      </c>
      <c r="Q62" s="114" t="str">
        <f ca="1" xml:space="preserve"> IF( $D62 &gt; 1, OFFSET( 'INPUTS│Performance Commitments'!$F$99, MATCH( $C62, 'INPUTS│Performance Commitments'!$C$99:$C$118, 0 ), MATCH( $P$4, 'INPUTS│Performance Commitments'!$G$3:$I$3, 0 ) ), "-" )</f>
        <v>-</v>
      </c>
      <c r="R62" s="82" t="str">
        <f t="shared" ref="R62:R75" si="20" xml:space="preserve"> IF( P62 &lt;&gt; "-", IF( N62 &lt;= P62, "Met", "Failed" ), "-" )</f>
        <v>Met</v>
      </c>
      <c r="S62" s="82" t="str">
        <f t="shared" ref="S62:S71" ca="1" si="21" xml:space="preserve"> IF( Q62 &lt;&gt; "-", IF( O62 &lt;= Q62, "Met", "Failed" ), "-" )</f>
        <v>-</v>
      </c>
      <c r="T62" s="282">
        <f ca="1" xml:space="preserve"> IF( P62 = "-", "-", COUNTIF( R62:S62, "Met" ) / $D62 )</f>
        <v>1</v>
      </c>
      <c r="V62" s="273">
        <f xml:space="preserve"> _xlfn.IFNA( VLOOKUP( $C62, 'INPUTS│Performance Commitments'!$C$122:$L$141, MATCH( V$4, 'INPUTS│Performance Commitments'!$K$3:$L$3, 0 ) + 8, 0 ), "-" )</f>
        <v>0.68</v>
      </c>
      <c r="W62" s="273" t="str">
        <f ca="1" xml:space="preserve"> IF( $D62 &gt; 1, OFFSET( 'INPUTS│Performance Commitments'!$J$122, MATCH( $C62, 'INPUTS│Performance Commitments'!$C$122:$C$141, 0 ), MATCH( $V$4, 'INPUTS│Performance Commitments'!$K$3:$L$3, 0 ) ), "-" )</f>
        <v>-</v>
      </c>
      <c r="X62" s="273">
        <f xml:space="preserve"> _xlfn.IFNA( VLOOKUP( $C62, 'INPUTS│Performance Commitments'!$C$99:$L$118, MATCH( X$4, 'INPUTS│Performance Commitments'!$K$3:$L$3, 0 ) + 8, 0 ), "-" )</f>
        <v>0.82</v>
      </c>
      <c r="Y62" s="273" t="str">
        <f ca="1" xml:space="preserve"> IF( $D62 &gt; 1, OFFSET( 'INPUTS│Performance Commitments'!$J$99, MATCH( $C62, 'INPUTS│Performance Commitments'!$C$99:$C$118, 0 ), MATCH( $X$4, 'INPUTS│Performance Commitments'!$K$3:$L$3, 0 ) ), "-" )</f>
        <v>-</v>
      </c>
    </row>
    <row r="63" spans="2:26" hidden="1" outlineLevel="1" x14ac:dyDescent="0.2">
      <c r="C63" s="8" t="s">
        <v>95</v>
      </c>
      <c r="D63" s="202">
        <f xml:space="preserve"> COUNTIF( 'INPUTS│Performance Commitments'!$C$99:$C$118, C63 )</f>
        <v>0</v>
      </c>
      <c r="F63" s="114" t="str">
        <f xml:space="preserve"> _xlfn.IFNA( VLOOKUP( $C63, 'INPUTS│Performance Commitments'!$C$122:$I$141, MATCH( F$4, 'INPUTS│Performance Commitments'!$G$3:$I$3, 0 ) + 4, 0 ), "-" )</f>
        <v>-</v>
      </c>
      <c r="G63" s="114" t="str">
        <f ca="1" xml:space="preserve"> IF( $D63 &gt; 1, OFFSET( 'INPUTS│Performance Commitments'!$F$122, MATCH( $C63, 'INPUTS│Performance Commitments'!$C$122:$C$141, 0 ), MATCH( $F$4, 'INPUTS│Performance Commitments'!$G$3:$I$3, 0 ) ), "-" )</f>
        <v>-</v>
      </c>
      <c r="H63" s="114" t="str">
        <f xml:space="preserve"> _xlfn.IFNA( VLOOKUP( $C63, 'INPUTS│Performance Commitments'!$C$99:$I$118, MATCH( H$4, 'INPUTS│Performance Commitments'!$G$3:$I$3, 0 ) + 4, 0 ), "-" )</f>
        <v>-</v>
      </c>
      <c r="I63" s="114" t="str">
        <f ca="1" xml:space="preserve"> IF( $D63 &gt; 1, OFFSET( 'INPUTS│Performance Commitments'!$F$99, MATCH( $C63, 'INPUTS│Performance Commitments'!$C$99:$C$118, 0 ), MATCH( $H$4, 'INPUTS│Performance Commitments'!$G$3:$I$3, 0 ) ), "-" )</f>
        <v>-</v>
      </c>
      <c r="J63" s="82" t="str">
        <f t="shared" si="18"/>
        <v>-</v>
      </c>
      <c r="K63" s="82" t="str">
        <f t="shared" ca="1" si="19"/>
        <v>-</v>
      </c>
      <c r="L63" s="282" t="str">
        <f xml:space="preserve"> IF( H63 = "-", "-", COUNTIF( J63:K63, "Met" ) / $D63 )</f>
        <v>-</v>
      </c>
      <c r="N63" s="114" t="str">
        <f xml:space="preserve"> _xlfn.IFNA( VLOOKUP( $C63, 'INPUTS│Performance Commitments'!$C$122:$I$141, MATCH( N$4, 'INPUTS│Performance Commitments'!$G$3:$I$3, 0 ) + 4, 0 ), "-" )</f>
        <v>-</v>
      </c>
      <c r="O63" s="114" t="str">
        <f ca="1" xml:space="preserve"> IF( $D63 &gt; 1, OFFSET( 'INPUTS│Performance Commitments'!$F$122, MATCH( $C63, 'INPUTS│Performance Commitments'!$C$122:$C$141, 0 ), MATCH( $N$4, 'INPUTS│Performance Commitments'!$G$3:$I$3, 0 ) ), "-" )</f>
        <v>-</v>
      </c>
      <c r="P63" s="114" t="str">
        <f xml:space="preserve"> _xlfn.IFNA( VLOOKUP( $C63, 'INPUTS│Performance Commitments'!$C$99:$I$118, MATCH( P$4, 'INPUTS│Performance Commitments'!$G$3:$I$3, 0 ) + 4, 0 ), "-" )</f>
        <v>-</v>
      </c>
      <c r="Q63" s="114" t="str">
        <f ca="1" xml:space="preserve"> IF( $D63 &gt; 1, OFFSET( 'INPUTS│Performance Commitments'!$F$99, MATCH( $C63, 'INPUTS│Performance Commitments'!$C$99:$C$118, 0 ), MATCH( $P$4, 'INPUTS│Performance Commitments'!$G$3:$I$3, 0 ) ), "-" )</f>
        <v>-</v>
      </c>
      <c r="R63" s="82" t="str">
        <f t="shared" si="20"/>
        <v>-</v>
      </c>
      <c r="S63" s="82" t="str">
        <f t="shared" ca="1" si="21"/>
        <v>-</v>
      </c>
      <c r="T63" s="282" t="str">
        <f xml:space="preserve"> IF( P63 = "-", "-", COUNTIF( R63:S63, "Met" ) / $D63 )</f>
        <v>-</v>
      </c>
      <c r="V63" s="273" t="str">
        <f xml:space="preserve"> _xlfn.IFNA( VLOOKUP( $C63, 'INPUTS│Performance Commitments'!$C$122:$L$141, MATCH( V$4, 'INPUTS│Performance Commitments'!$K$3:$L$3, 0 ) + 8, 0 ), "-" )</f>
        <v>-</v>
      </c>
      <c r="W63" s="273" t="str">
        <f ca="1" xml:space="preserve"> IF( $D63 &gt; 1, OFFSET( 'INPUTS│Performance Commitments'!$J$122, MATCH( $C63, 'INPUTS│Performance Commitments'!$C$122:$C$141, 0 ), MATCH( $V$4, 'INPUTS│Performance Commitments'!$K$3:$L$3, 0 ) ), "-" )</f>
        <v>-</v>
      </c>
      <c r="X63" s="273" t="str">
        <f xml:space="preserve"> _xlfn.IFNA( VLOOKUP( $C63, 'INPUTS│Performance Commitments'!$C$99:$L$118, MATCH( X$4, 'INPUTS│Performance Commitments'!$K$3:$L$3, 0 ) + 8, 0 ), "-" )</f>
        <v>-</v>
      </c>
      <c r="Y63" s="273" t="str">
        <f ca="1" xml:space="preserve"> IF( $D63 &gt; 1, OFFSET( 'INPUTS│Performance Commitments'!$J$99, MATCH( $C63, 'INPUTS│Performance Commitments'!$C$99:$C$118, 0 ), MATCH( $X$4, 'INPUTS│Performance Commitments'!$K$3:$L$3, 0 ) ), "-" )</f>
        <v>-</v>
      </c>
    </row>
    <row r="64" spans="2:26" hidden="1" outlineLevel="1" x14ac:dyDescent="0.2">
      <c r="C64" s="8" t="s">
        <v>97</v>
      </c>
      <c r="D64" s="202">
        <f xml:space="preserve"> COUNTIF( 'INPUTS│Performance Commitments'!$C$99:$C$118, C64 )</f>
        <v>1</v>
      </c>
      <c r="F64" s="115">
        <f xml:space="preserve"> _xlfn.IFNA( VLOOKUP( $C64, 'INPUTS│Performance Commitments'!$C$122:$I$141, MATCH( F$4, 'INPUTS│Performance Commitments'!$G$3:$I$3, 0 ) + 4, 0 ), "-" )</f>
        <v>11652</v>
      </c>
      <c r="G64" s="115" t="str">
        <f ca="1" xml:space="preserve"> IF( $D64 &gt; 1, OFFSET( 'INPUTS│Performance Commitments'!$F$122, MATCH( $C64, 'INPUTS│Performance Commitments'!$C$122:$C$141, 0 ), MATCH( $F$4, 'INPUTS│Performance Commitments'!$G$3:$I$3, 0 ) ), "-" )</f>
        <v>-</v>
      </c>
      <c r="H64" s="115">
        <f xml:space="preserve"> _xlfn.IFNA( VLOOKUP( $C64, 'INPUTS│Performance Commitments'!$C$99:$I$118, MATCH( H$4, 'INPUTS│Performance Commitments'!$G$3:$I$3, 0 ) + 4, 0 ), "-" )</f>
        <v>6904</v>
      </c>
      <c r="I64" s="115" t="str">
        <f ca="1" xml:space="preserve"> IF( $D64 &gt; 1, OFFSET( 'INPUTS│Performance Commitments'!$F$99, MATCH( $C64, 'INPUTS│Performance Commitments'!$C$99:$C$118, 0 ), MATCH( $H$4, 'INPUTS│Performance Commitments'!$G$3:$I$3, 0 ) ), "-" )</f>
        <v>-</v>
      </c>
      <c r="J64" s="82" t="str">
        <f t="shared" si="18"/>
        <v>Failed</v>
      </c>
      <c r="K64" s="82" t="str">
        <f t="shared" ca="1" si="19"/>
        <v>-</v>
      </c>
      <c r="L64" s="282">
        <f t="shared" ref="L64:L71" ca="1" si="22" xml:space="preserve"> IF( H64 = "-", "-", COUNTIF( J64:K64, "Met" ) / $D64 )</f>
        <v>0</v>
      </c>
      <c r="N64" s="115">
        <f xml:space="preserve"> _xlfn.IFNA( VLOOKUP( $C64, 'INPUTS│Performance Commitments'!$C$122:$I$141, MATCH( N$4, 'INPUTS│Performance Commitments'!$G$3:$I$3, 0 ) + 4, 0 ), "-" )</f>
        <v>10923</v>
      </c>
      <c r="O64" s="115" t="str">
        <f ca="1" xml:space="preserve"> IF( $D64 &gt; 1, OFFSET( 'INPUTS│Performance Commitments'!$F$122, MATCH( $C64, 'INPUTS│Performance Commitments'!$C$122:$C$141, 0 ), MATCH( $N$4, 'INPUTS│Performance Commitments'!$G$3:$I$3, 0 ) ), "-" )</f>
        <v>-</v>
      </c>
      <c r="P64" s="115">
        <f xml:space="preserve"> _xlfn.IFNA( VLOOKUP( $C64, 'INPUTS│Performance Commitments'!$C$99:$I$118, MATCH( P$4, 'INPUTS│Performance Commitments'!$G$3:$I$3, 0 ) + 4, 0 ), "-" )</f>
        <v>6904</v>
      </c>
      <c r="Q64" s="115" t="str">
        <f ca="1" xml:space="preserve"> IF( $D64 &gt; 1, OFFSET( 'INPUTS│Performance Commitments'!$F$99, MATCH( $C64, 'INPUTS│Performance Commitments'!$C$99:$C$118, 0 ), MATCH( $P$4, 'INPUTS│Performance Commitments'!$G$3:$I$3, 0 ) ), "-" )</f>
        <v>-</v>
      </c>
      <c r="R64" s="82" t="str">
        <f t="shared" si="20"/>
        <v>Failed</v>
      </c>
      <c r="S64" s="82" t="str">
        <f t="shared" ca="1" si="21"/>
        <v>-</v>
      </c>
      <c r="T64" s="282">
        <f t="shared" ref="T64:T71" ca="1" si="23" xml:space="preserve"> IF( P64 = "-", "-", COUNTIF( R64:S64, "Met" ) / $D64 )</f>
        <v>0</v>
      </c>
      <c r="V64" s="273">
        <f xml:space="preserve"> _xlfn.IFNA( VLOOKUP( $C64, 'INPUTS│Performance Commitments'!$C$122:$L$141, MATCH( V$4, 'INPUTS│Performance Commitments'!$K$3:$L$3, 0 ) + 8, 0 ), "-" )</f>
        <v>1.5149115393182162</v>
      </c>
      <c r="W64" s="273" t="str">
        <f ca="1" xml:space="preserve"> IF( $D64 &gt; 1, OFFSET( 'INPUTS│Performance Commitments'!$J$122, MATCH( $C64, 'INPUTS│Performance Commitments'!$C$122:$C$141, 0 ), MATCH( $V$4, 'INPUTS│Performance Commitments'!$K$3:$L$3, 0 ) ), "-" )</f>
        <v>-</v>
      </c>
      <c r="X64" s="273">
        <f xml:space="preserve"> _xlfn.IFNA( VLOOKUP( $C64, 'INPUTS│Performance Commitments'!$C$99:$L$118, MATCH( X$4, 'INPUTS│Performance Commitments'!$K$3:$L$3, 0 ) + 8, 0 ), "-" )</f>
        <v>0.95751618304980002</v>
      </c>
      <c r="Y64" s="273" t="str">
        <f ca="1" xml:space="preserve"> IF( $D64 &gt; 1, OFFSET( 'INPUTS│Performance Commitments'!$J$99, MATCH( $C64, 'INPUTS│Performance Commitments'!$C$99:$C$118, 0 ), MATCH( $X$4, 'INPUTS│Performance Commitments'!$K$3:$L$3, 0 ) ), "-" )</f>
        <v>-</v>
      </c>
    </row>
    <row r="65" spans="2:26" hidden="1" outlineLevel="1" x14ac:dyDescent="0.2">
      <c r="C65" s="8" t="s">
        <v>99</v>
      </c>
      <c r="D65" s="202">
        <f xml:space="preserve"> COUNTIF( 'INPUTS│Performance Commitments'!$C$99:$C$118, C65 )</f>
        <v>1</v>
      </c>
      <c r="F65" s="115">
        <f xml:space="preserve"> _xlfn.IFNA( VLOOKUP( $C65, 'INPUTS│Performance Commitments'!$C$122:$I$141, MATCH( F$4, 'INPUTS│Performance Commitments'!$G$3:$I$3, 0 ) + 4, 0 ), "-" )</f>
        <v>2031</v>
      </c>
      <c r="G65" s="115" t="str">
        <f ca="1" xml:space="preserve"> IF( $D65 &gt; 1, OFFSET( 'INPUTS│Performance Commitments'!$F$122, MATCH( $C65, 'INPUTS│Performance Commitments'!$C$122:$C$141, 0 ), MATCH( $F$4, 'INPUTS│Performance Commitments'!$G$3:$I$3, 0 ) ), "-" )</f>
        <v>-</v>
      </c>
      <c r="H65" s="115">
        <f xml:space="preserve"> _xlfn.IFNA( VLOOKUP( $C65, 'INPUTS│Performance Commitments'!$C$99:$I$118, MATCH( H$4, 'INPUTS│Performance Commitments'!$G$3:$I$3, 0 ) + 4, 0 ), "-" )</f>
        <v>1608</v>
      </c>
      <c r="I65" s="115" t="str">
        <f ca="1" xml:space="preserve"> IF( $D65 &gt; 1, OFFSET( 'INPUTS│Performance Commitments'!$F$99, MATCH( $C65, 'INPUTS│Performance Commitments'!$C$99:$C$118, 0 ), MATCH( $H$4, 'INPUTS│Performance Commitments'!$G$3:$I$3, 0 ) ), "-" )</f>
        <v>-</v>
      </c>
      <c r="J65" s="82" t="str">
        <f t="shared" si="18"/>
        <v>Failed</v>
      </c>
      <c r="K65" s="82" t="str">
        <f t="shared" ca="1" si="19"/>
        <v>-</v>
      </c>
      <c r="L65" s="282">
        <f t="shared" ca="1" si="22"/>
        <v>0</v>
      </c>
      <c r="N65" s="115">
        <f xml:space="preserve"> _xlfn.IFNA( VLOOKUP( $C65, 'INPUTS│Performance Commitments'!$C$122:$I$141, MATCH( N$4, 'INPUTS│Performance Commitments'!$G$3:$I$3, 0 ) + 4, 0 ), "-" )</f>
        <v>2010</v>
      </c>
      <c r="O65" s="115" t="str">
        <f ca="1" xml:space="preserve"> IF( $D65 &gt; 1, OFFSET( 'INPUTS│Performance Commitments'!$F$122, MATCH( $C65, 'INPUTS│Performance Commitments'!$C$122:$C$141, 0 ), MATCH( $N$4, 'INPUTS│Performance Commitments'!$G$3:$I$3, 0 ) ), "-" )</f>
        <v>-</v>
      </c>
      <c r="P65" s="115">
        <f xml:space="preserve"> _xlfn.IFNA( VLOOKUP( $C65, 'INPUTS│Performance Commitments'!$C$99:$I$118, MATCH( P$4, 'INPUTS│Performance Commitments'!$G$3:$I$3, 0 ) + 4, 0 ), "-" )</f>
        <v>1608</v>
      </c>
      <c r="Q65" s="115" t="str">
        <f ca="1" xml:space="preserve"> IF( $D65 &gt; 1, OFFSET( 'INPUTS│Performance Commitments'!$F$99, MATCH( $C65, 'INPUTS│Performance Commitments'!$C$99:$C$118, 0 ), MATCH( $P$4, 'INPUTS│Performance Commitments'!$G$3:$I$3, 0 ) ), "-" )</f>
        <v>-</v>
      </c>
      <c r="R65" s="82" t="str">
        <f t="shared" si="20"/>
        <v>Failed</v>
      </c>
      <c r="S65" s="82" t="str">
        <f t="shared" ca="1" si="21"/>
        <v>-</v>
      </c>
      <c r="T65" s="282">
        <f t="shared" ca="1" si="23"/>
        <v>0</v>
      </c>
      <c r="V65" s="273">
        <f xml:space="preserve"> _xlfn.IFNA( VLOOKUP( $C65, 'INPUTS│Performance Commitments'!$C$122:$L$141, MATCH( V$4, 'INPUTS│Performance Commitments'!$K$3:$L$3, 0 ) + 8, 0 ), "-" )</f>
        <v>1.5402298850574712</v>
      </c>
      <c r="W65" s="273" t="str">
        <f ca="1" xml:space="preserve"> IF( $D65 &gt; 1, OFFSET( 'INPUTS│Performance Commitments'!$J$122, MATCH( $C65, 'INPUTS│Performance Commitments'!$C$122:$C$141, 0 ), MATCH( $V$4, 'INPUTS│Performance Commitments'!$K$3:$L$3, 0 ) ), "-" )</f>
        <v>-</v>
      </c>
      <c r="X65" s="273">
        <f xml:space="preserve"> _xlfn.IFNA( VLOOKUP( $C65, 'INPUTS│Performance Commitments'!$C$99:$L$118, MATCH( X$4, 'INPUTS│Performance Commitments'!$K$3:$L$3, 0 ) + 8, 0 ), "-" )</f>
        <v>1.2321839080459771</v>
      </c>
      <c r="Y65" s="273" t="str">
        <f ca="1" xml:space="preserve"> IF( $D65 &gt; 1, OFFSET( 'INPUTS│Performance Commitments'!$J$99, MATCH( $C65, 'INPUTS│Performance Commitments'!$C$99:$C$118, 0 ), MATCH( $X$4, 'INPUTS│Performance Commitments'!$K$3:$L$3, 0 ) ), "-" )</f>
        <v>-</v>
      </c>
    </row>
    <row r="66" spans="2:26" hidden="1" outlineLevel="1" x14ac:dyDescent="0.2">
      <c r="C66" s="8" t="s">
        <v>101</v>
      </c>
      <c r="D66" s="202">
        <f xml:space="preserve"> COUNTIF( 'INPUTS│Performance Commitments'!$C$99:$C$118, C66 )</f>
        <v>1</v>
      </c>
      <c r="F66" s="115">
        <f xml:space="preserve"> _xlfn.IFNA( VLOOKUP( $C66, 'INPUTS│Performance Commitments'!$C$122:$I$141, MATCH( F$4, 'INPUTS│Performance Commitments'!$G$3:$I$3, 0 ) + 4, 0 ), "-" )</f>
        <v>8100</v>
      </c>
      <c r="G66" s="115" t="str">
        <f ca="1" xml:space="preserve"> IF( $D66 &gt; 1, OFFSET( 'INPUTS│Performance Commitments'!$F$122, MATCH( $C66, 'INPUTS│Performance Commitments'!$C$122:$C$141, 0 ), MATCH( $F$4, 'INPUTS│Performance Commitments'!$G$3:$I$3, 0 ) ), "-" )</f>
        <v>-</v>
      </c>
      <c r="H66" s="115">
        <f xml:space="preserve"> _xlfn.IFNA( VLOOKUP( $C66, 'INPUTS│Performance Commitments'!$C$99:$I$118, MATCH( H$4, 'INPUTS│Performance Commitments'!$G$3:$I$3, 0 ) + 4, 0 ), "-" )</f>
        <v>6108</v>
      </c>
      <c r="I66" s="115" t="str">
        <f ca="1" xml:space="preserve"> IF( $D66 &gt; 1, OFFSET( 'INPUTS│Performance Commitments'!$F$99, MATCH( $C66, 'INPUTS│Performance Commitments'!$C$99:$C$118, 0 ), MATCH( $H$4, 'INPUTS│Performance Commitments'!$G$3:$I$3, 0 ) ), "-" )</f>
        <v>-</v>
      </c>
      <c r="J66" s="82" t="str">
        <f t="shared" si="18"/>
        <v>Failed</v>
      </c>
      <c r="K66" s="82" t="str">
        <f t="shared" ca="1" si="19"/>
        <v>-</v>
      </c>
      <c r="L66" s="282">
        <f t="shared" ca="1" si="22"/>
        <v>0</v>
      </c>
      <c r="N66" s="115">
        <f xml:space="preserve"> _xlfn.IFNA( VLOOKUP( $C66, 'INPUTS│Performance Commitments'!$C$122:$I$141, MATCH( N$4, 'INPUTS│Performance Commitments'!$G$3:$I$3, 0 ) + 4, 0 ), "-" )</f>
        <v>7964</v>
      </c>
      <c r="O66" s="115" t="str">
        <f ca="1" xml:space="preserve"> IF( $D66 &gt; 1, OFFSET( 'INPUTS│Performance Commitments'!$F$122, MATCH( $C66, 'INPUTS│Performance Commitments'!$C$122:$C$141, 0 ), MATCH( $N$4, 'INPUTS│Performance Commitments'!$G$3:$I$3, 0 ) ), "-" )</f>
        <v>-</v>
      </c>
      <c r="P66" s="115">
        <f xml:space="preserve"> _xlfn.IFNA( VLOOKUP( $C66, 'INPUTS│Performance Commitments'!$C$99:$I$118, MATCH( P$4, 'INPUTS│Performance Commitments'!$G$3:$I$3, 0 ) + 4, 0 ), "-" )</f>
        <v>6108</v>
      </c>
      <c r="Q66" s="115" t="str">
        <f ca="1" xml:space="preserve"> IF( $D66 &gt; 1, OFFSET( 'INPUTS│Performance Commitments'!$F$99, MATCH( $C66, 'INPUTS│Performance Commitments'!$C$99:$C$118, 0 ), MATCH( $P$4, 'INPUTS│Performance Commitments'!$G$3:$I$3, 0 ) ), "-" )</f>
        <v>-</v>
      </c>
      <c r="R66" s="82" t="str">
        <f t="shared" si="20"/>
        <v>Failed</v>
      </c>
      <c r="S66" s="82" t="str">
        <f t="shared" ca="1" si="21"/>
        <v>-</v>
      </c>
      <c r="T66" s="282">
        <f t="shared" ca="1" si="23"/>
        <v>0</v>
      </c>
      <c r="V66" s="273">
        <f xml:space="preserve"> _xlfn.IFNA( VLOOKUP( $C66, 'INPUTS│Performance Commitments'!$C$122:$L$141, MATCH( V$4, 'INPUTS│Performance Commitments'!$K$3:$L$3, 0 ) + 8, 0 ), "-" )</f>
        <v>1.5744133708894053</v>
      </c>
      <c r="W66" s="273" t="str">
        <f ca="1" xml:space="preserve"> IF( $D66 &gt; 1, OFFSET( 'INPUTS│Performance Commitments'!$J$122, MATCH( $C66, 'INPUTS│Performance Commitments'!$C$122:$C$141, 0 ), MATCH( $V$4, 'INPUTS│Performance Commitments'!$K$3:$L$3, 0 ) ), "-" )</f>
        <v>-</v>
      </c>
      <c r="X66" s="273">
        <f xml:space="preserve"> _xlfn.IFNA( VLOOKUP( $C66, 'INPUTS│Performance Commitments'!$C$99:$L$118, MATCH( X$4, 'INPUTS│Performance Commitments'!$K$3:$L$3, 0 ) + 8, 0 ), "-" )</f>
        <v>1.2074983512547071</v>
      </c>
      <c r="Y66" s="273" t="str">
        <f ca="1" xml:space="preserve"> IF( $D66 &gt; 1, OFFSET( 'INPUTS│Performance Commitments'!$J$99, MATCH( $C66, 'INPUTS│Performance Commitments'!$C$99:$C$118, 0 ), MATCH( $X$4, 'INPUTS│Performance Commitments'!$K$3:$L$3, 0 ) ), "-" )</f>
        <v>-</v>
      </c>
    </row>
    <row r="67" spans="2:26" hidden="1" outlineLevel="1" x14ac:dyDescent="0.2">
      <c r="C67" s="8" t="s">
        <v>103</v>
      </c>
      <c r="D67" s="202">
        <f xml:space="preserve"> COUNTIF( 'INPUTS│Performance Commitments'!$C$99:$C$118, C67 )</f>
        <v>1</v>
      </c>
      <c r="F67" s="114">
        <f xml:space="preserve"> _xlfn.IFNA( VLOOKUP( $C67, 'INPUTS│Performance Commitments'!$C$122:$I$141, MATCH( F$4, 'INPUTS│Performance Commitments'!$G$3:$I$3, 0 ) + 4, 0 ), "-" )</f>
        <v>0.27</v>
      </c>
      <c r="G67" s="114" t="str">
        <f ca="1" xml:space="preserve"> IF( $D67 &gt; 1, OFFSET( 'INPUTS│Performance Commitments'!$F$122, MATCH( $C67, 'INPUTS│Performance Commitments'!$C$122:$C$141, 0 ), MATCH( $F$4, 'INPUTS│Performance Commitments'!$G$3:$I$3, 0 ) ), "-" )</f>
        <v>-</v>
      </c>
      <c r="H67" s="114">
        <f xml:space="preserve"> _xlfn.IFNA( VLOOKUP( $C67, 'INPUTS│Performance Commitments'!$C$99:$I$118, MATCH( H$4, 'INPUTS│Performance Commitments'!$G$3:$I$3, 0 ) + 4, 0 ), "-" )</f>
        <v>0.66</v>
      </c>
      <c r="I67" s="114" t="str">
        <f ca="1" xml:space="preserve"> IF( $D67 &gt; 1, OFFSET( 'INPUTS│Performance Commitments'!$F$99, MATCH( $C67, 'INPUTS│Performance Commitments'!$C$99:$C$118, 0 ), MATCH( $H$4, 'INPUTS│Performance Commitments'!$G$3:$I$3, 0 ) ), "-" )</f>
        <v>-</v>
      </c>
      <c r="J67" s="82" t="str">
        <f t="shared" si="18"/>
        <v>Met</v>
      </c>
      <c r="K67" s="82" t="str">
        <f t="shared" ca="1" si="19"/>
        <v>-</v>
      </c>
      <c r="L67" s="282">
        <f t="shared" ca="1" si="22"/>
        <v>1</v>
      </c>
      <c r="N67" s="114">
        <f xml:space="preserve"> _xlfn.IFNA( VLOOKUP( $C67, 'INPUTS│Performance Commitments'!$C$122:$I$141, MATCH( N$4, 'INPUTS│Performance Commitments'!$G$3:$I$3, 0 ) + 4, 0 ), "-" )</f>
        <v>0.23</v>
      </c>
      <c r="O67" s="114" t="str">
        <f ca="1" xml:space="preserve"> IF( $D67 &gt; 1, OFFSET( 'INPUTS│Performance Commitments'!$F$122, MATCH( $C67, 'INPUTS│Performance Commitments'!$C$122:$C$141, 0 ), MATCH( $N$4, 'INPUTS│Performance Commitments'!$G$3:$I$3, 0 ) ), "-" )</f>
        <v>-</v>
      </c>
      <c r="P67" s="114">
        <f xml:space="preserve"> _xlfn.IFNA( VLOOKUP( $C67, 'INPUTS│Performance Commitments'!$C$99:$I$118, MATCH( P$4, 'INPUTS│Performance Commitments'!$G$3:$I$3, 0 ) + 4, 0 ), "-" )</f>
        <v>0.66</v>
      </c>
      <c r="Q67" s="114" t="str">
        <f ca="1" xml:space="preserve"> IF( $D67 &gt; 1, OFFSET( 'INPUTS│Performance Commitments'!$F$99, MATCH( $C67, 'INPUTS│Performance Commitments'!$C$99:$C$118, 0 ), MATCH( $P$4, 'INPUTS│Performance Commitments'!$G$3:$I$3, 0 ) ), "-" )</f>
        <v>-</v>
      </c>
      <c r="R67" s="82" t="str">
        <f t="shared" si="20"/>
        <v>Met</v>
      </c>
      <c r="S67" s="82" t="str">
        <f t="shared" ca="1" si="21"/>
        <v>-</v>
      </c>
      <c r="T67" s="282">
        <f t="shared" ca="1" si="23"/>
        <v>1</v>
      </c>
      <c r="V67" s="273">
        <f xml:space="preserve"> _xlfn.IFNA( VLOOKUP( $C67, 'INPUTS│Performance Commitments'!$C$122:$L$141, MATCH( V$4, 'INPUTS│Performance Commitments'!$K$3:$L$3, 0 ) + 8, 0 ), "-" )</f>
        <v>0.23</v>
      </c>
      <c r="W67" s="273" t="str">
        <f ca="1" xml:space="preserve"> IF( $D67 &gt; 1, OFFSET( 'INPUTS│Performance Commitments'!$J$122, MATCH( $C67, 'INPUTS│Performance Commitments'!$C$122:$C$141, 0 ), MATCH( $V$4, 'INPUTS│Performance Commitments'!$K$3:$L$3, 0 ) ), "-" )</f>
        <v>-</v>
      </c>
      <c r="X67" s="273">
        <f xml:space="preserve"> _xlfn.IFNA( VLOOKUP( $C67, 'INPUTS│Performance Commitments'!$C$99:$L$118, MATCH( X$4, 'INPUTS│Performance Commitments'!$K$3:$L$3, 0 ) + 8, 0 ), "-" )</f>
        <v>0.66</v>
      </c>
      <c r="Y67" s="273" t="str">
        <f ca="1" xml:space="preserve"> IF( $D67 &gt; 1, OFFSET( 'INPUTS│Performance Commitments'!$J$99, MATCH( $C67, 'INPUTS│Performance Commitments'!$C$99:$C$118, 0 ), MATCH( $X$4, 'INPUTS│Performance Commitments'!$K$3:$L$3, 0 ) ), "-" )</f>
        <v>-</v>
      </c>
    </row>
    <row r="68" spans="2:26" hidden="1" outlineLevel="1" x14ac:dyDescent="0.2">
      <c r="C68" s="8" t="s">
        <v>105</v>
      </c>
      <c r="D68" s="202">
        <f xml:space="preserve"> COUNTIF( 'INPUTS│Performance Commitments'!$C$99:$C$118, C68 )</f>
        <v>1</v>
      </c>
      <c r="F68" s="115">
        <f xml:space="preserve"> _xlfn.IFNA( VLOOKUP( $C68, 'INPUTS│Performance Commitments'!$C$122:$I$141, MATCH( F$4, 'INPUTS│Performance Commitments'!$G$3:$I$3, 0 ) + 4, 0 ), "-" )</f>
        <v>1711</v>
      </c>
      <c r="G68" s="115" t="str">
        <f ca="1" xml:space="preserve"> IF( $D68 &gt; 1, OFFSET( 'INPUTS│Performance Commitments'!$F$122, MATCH( $C68, 'INPUTS│Performance Commitments'!$C$122:$C$141, 0 ), MATCH( $F$4, 'INPUTS│Performance Commitments'!$G$3:$I$3, 0 ) ), "-" )</f>
        <v>-</v>
      </c>
      <c r="H68" s="115">
        <f xml:space="preserve"> _xlfn.IFNA( VLOOKUP( $C68, 'INPUTS│Performance Commitments'!$C$99:$I$118, MATCH( H$4, 'INPUTS│Performance Commitments'!$G$3:$I$3, 0 ) + 4, 0 ), "-" )</f>
        <v>2322</v>
      </c>
      <c r="I68" s="115" t="str">
        <f ca="1" xml:space="preserve"> IF( $D68 &gt; 1, OFFSET( 'INPUTS│Performance Commitments'!$F$99, MATCH( $C68, 'INPUTS│Performance Commitments'!$C$99:$C$118, 0 ), MATCH( $H$4, 'INPUTS│Performance Commitments'!$G$3:$I$3, 0 ) ), "-" )</f>
        <v>-</v>
      </c>
      <c r="J68" s="82" t="str">
        <f t="shared" si="18"/>
        <v>Met</v>
      </c>
      <c r="K68" s="82" t="str">
        <f t="shared" ca="1" si="19"/>
        <v>-</v>
      </c>
      <c r="L68" s="282">
        <f t="shared" ca="1" si="22"/>
        <v>1</v>
      </c>
      <c r="N68" s="115">
        <f xml:space="preserve"> _xlfn.IFNA( VLOOKUP( $C68, 'INPUTS│Performance Commitments'!$C$122:$I$141, MATCH( N$4, 'INPUTS│Performance Commitments'!$G$3:$I$3, 0 ) + 4, 0 ), "-" )</f>
        <v>1934</v>
      </c>
      <c r="O68" s="115" t="str">
        <f ca="1" xml:space="preserve"> IF( $D68 &gt; 1, OFFSET( 'INPUTS│Performance Commitments'!$F$122, MATCH( $C68, 'INPUTS│Performance Commitments'!$C$122:$C$141, 0 ), MATCH( $N$4, 'INPUTS│Performance Commitments'!$G$3:$I$3, 0 ) ), "-" )</f>
        <v>-</v>
      </c>
      <c r="P68" s="115">
        <f xml:space="preserve"> _xlfn.IFNA( VLOOKUP( $C68, 'INPUTS│Performance Commitments'!$C$99:$I$118, MATCH( P$4, 'INPUTS│Performance Commitments'!$G$3:$I$3, 0 ) + 4, 0 ), "-" )</f>
        <v>2275</v>
      </c>
      <c r="Q68" s="115" t="str">
        <f ca="1" xml:space="preserve"> IF( $D68 &gt; 1, OFFSET( 'INPUTS│Performance Commitments'!$F$99, MATCH( $C68, 'INPUTS│Performance Commitments'!$C$99:$C$118, 0 ), MATCH( $P$4, 'INPUTS│Performance Commitments'!$G$3:$I$3, 0 ) ), "-" )</f>
        <v>-</v>
      </c>
      <c r="R68" s="82" t="str">
        <f t="shared" si="20"/>
        <v>Met</v>
      </c>
      <c r="S68" s="82" t="str">
        <f t="shared" ca="1" si="21"/>
        <v>-</v>
      </c>
      <c r="T68" s="282">
        <f t="shared" ca="1" si="23"/>
        <v>1</v>
      </c>
      <c r="V68" s="273">
        <f xml:space="preserve"> _xlfn.IFNA( VLOOKUP( $C68, 'INPUTS│Performance Commitments'!$C$122:$L$141, MATCH( V$4, 'INPUTS│Performance Commitments'!$K$3:$L$3, 0 ) + 8, 0 ), "-" )</f>
        <v>1.6186999178095491</v>
      </c>
      <c r="W68" s="273" t="str">
        <f ca="1" xml:space="preserve"> IF( $D68 &gt; 1, OFFSET( 'INPUTS│Performance Commitments'!$J$122, MATCH( $C68, 'INPUTS│Performance Commitments'!$C$122:$C$141, 0 ), MATCH( $V$4, 'INPUTS│Performance Commitments'!$K$3:$L$3, 0 ) ), "-" )</f>
        <v>-</v>
      </c>
      <c r="X68" s="273">
        <f xml:space="preserve"> _xlfn.IFNA( VLOOKUP( $C68, 'INPUTS│Performance Commitments'!$C$99:$L$118, MATCH( X$4, 'INPUTS│Performance Commitments'!$K$3:$L$3, 0 ) + 8, 0 ), "-" )</f>
        <v>1.9041066768442214</v>
      </c>
      <c r="Y68" s="273" t="str">
        <f ca="1" xml:space="preserve"> IF( $D68 &gt; 1, OFFSET( 'INPUTS│Performance Commitments'!$J$99, MATCH( $C68, 'INPUTS│Performance Commitments'!$C$99:$C$118, 0 ), MATCH( $X$4, 'INPUTS│Performance Commitments'!$K$3:$L$3, 0 ) ), "-" )</f>
        <v>-</v>
      </c>
    </row>
    <row r="69" spans="2:26" hidden="1" outlineLevel="1" x14ac:dyDescent="0.2">
      <c r="C69" s="8" t="s">
        <v>107</v>
      </c>
      <c r="D69" s="202">
        <f xml:space="preserve"> COUNTIF( 'INPUTS│Performance Commitments'!$C$99:$C$118, C69 )</f>
        <v>1</v>
      </c>
      <c r="F69" s="114">
        <f xml:space="preserve"> _xlfn.IFNA( VLOOKUP( $C69, 'INPUTS│Performance Commitments'!$C$122:$I$141, MATCH( F$4, 'INPUTS│Performance Commitments'!$G$3:$I$3, 0 ) + 4, 0 ), "-" )</f>
        <v>0.54900000000000004</v>
      </c>
      <c r="G69" s="114" t="str">
        <f ca="1" xml:space="preserve"> IF( $D69 &gt; 1, OFFSET( 'INPUTS│Performance Commitments'!$F$122, MATCH( $C69, 'INPUTS│Performance Commitments'!$C$122:$C$141, 0 ), MATCH( $F$4, 'INPUTS│Performance Commitments'!$G$3:$I$3, 0 ) ), "-" )</f>
        <v>-</v>
      </c>
      <c r="H69" s="114">
        <f xml:space="preserve"> _xlfn.IFNA( VLOOKUP( $C69, 'INPUTS│Performance Commitments'!$C$99:$I$118, MATCH( H$4, 'INPUTS│Performance Commitments'!$G$3:$I$3, 0 ) + 4, 0 ), "-" )</f>
        <v>0.42099999999999999</v>
      </c>
      <c r="I69" s="114" t="str">
        <f ca="1" xml:space="preserve"> IF( $D69 &gt; 1, OFFSET( 'INPUTS│Performance Commitments'!$F$99, MATCH( $C69, 'INPUTS│Performance Commitments'!$C$99:$C$118, 0 ), MATCH( $H$4, 'INPUTS│Performance Commitments'!$G$3:$I$3, 0 ) ), "-" )</f>
        <v>-</v>
      </c>
      <c r="J69" s="82" t="str">
        <f t="shared" si="18"/>
        <v>Failed</v>
      </c>
      <c r="K69" s="82" t="str">
        <f t="shared" ca="1" si="19"/>
        <v>-</v>
      </c>
      <c r="L69" s="282">
        <f t="shared" ca="1" si="22"/>
        <v>0</v>
      </c>
      <c r="N69" s="114">
        <f xml:space="preserve"> _xlfn.IFNA( VLOOKUP( $C69, 'INPUTS│Performance Commitments'!$C$122:$I$141, MATCH( N$4, 'INPUTS│Performance Commitments'!$G$3:$I$3, 0 ) + 4, 0 ), "-" )</f>
        <v>0.437</v>
      </c>
      <c r="O69" s="114" t="str">
        <f ca="1" xml:space="preserve"> IF( $D69 &gt; 1, OFFSET( 'INPUTS│Performance Commitments'!$F$122, MATCH( $C69, 'INPUTS│Performance Commitments'!$C$122:$C$141, 0 ), MATCH( $N$4, 'INPUTS│Performance Commitments'!$G$3:$I$3, 0 ) ), "-" )</f>
        <v>-</v>
      </c>
      <c r="P69" s="114">
        <f xml:space="preserve"> _xlfn.IFNA( VLOOKUP( $C69, 'INPUTS│Performance Commitments'!$C$99:$I$118, MATCH( P$4, 'INPUTS│Performance Commitments'!$G$3:$I$3, 0 ) + 4, 0 ), "-" )</f>
        <v>0.41699999999999998</v>
      </c>
      <c r="Q69" s="114" t="str">
        <f ca="1" xml:space="preserve"> IF( $D69 &gt; 1, OFFSET( 'INPUTS│Performance Commitments'!$F$99, MATCH( $C69, 'INPUTS│Performance Commitments'!$C$99:$C$118, 0 ), MATCH( $P$4, 'INPUTS│Performance Commitments'!$G$3:$I$3, 0 ) ), "-" )</f>
        <v>-</v>
      </c>
      <c r="R69" s="82" t="str">
        <f t="shared" si="20"/>
        <v>Failed</v>
      </c>
      <c r="S69" s="82" t="str">
        <f t="shared" ca="1" si="21"/>
        <v>-</v>
      </c>
      <c r="T69" s="282">
        <f t="shared" ca="1" si="23"/>
        <v>0</v>
      </c>
      <c r="V69" s="273">
        <f xml:space="preserve"> _xlfn.IFNA( VLOOKUP( $C69, 'INPUTS│Performance Commitments'!$C$122:$L$141, MATCH( V$4, 'INPUTS│Performance Commitments'!$K$3:$L$3, 0 ) + 8, 0 ), "-" )</f>
        <v>0.437</v>
      </c>
      <c r="W69" s="273" t="str">
        <f ca="1" xml:space="preserve"> IF( $D69 &gt; 1, OFFSET( 'INPUTS│Performance Commitments'!$J$122, MATCH( $C69, 'INPUTS│Performance Commitments'!$C$122:$C$141, 0 ), MATCH( $V$4, 'INPUTS│Performance Commitments'!$K$3:$L$3, 0 ) ), "-" )</f>
        <v>-</v>
      </c>
      <c r="X69" s="273">
        <f xml:space="preserve"> _xlfn.IFNA( VLOOKUP( $C69, 'INPUTS│Performance Commitments'!$C$99:$L$118, MATCH( X$4, 'INPUTS│Performance Commitments'!$K$3:$L$3, 0 ) + 8, 0 ), "-" )</f>
        <v>0.41699999999999998</v>
      </c>
      <c r="Y69" s="273" t="str">
        <f ca="1" xml:space="preserve"> IF( $D69 &gt; 1, OFFSET( 'INPUTS│Performance Commitments'!$J$99, MATCH( $C69, 'INPUTS│Performance Commitments'!$C$99:$C$118, 0 ), MATCH( $X$4, 'INPUTS│Performance Commitments'!$K$3:$L$3, 0 ) ), "-" )</f>
        <v>-</v>
      </c>
    </row>
    <row r="70" spans="2:26" hidden="1" outlineLevel="1" x14ac:dyDescent="0.2">
      <c r="C70" s="8" t="s">
        <v>111</v>
      </c>
      <c r="D70" s="202">
        <f xml:space="preserve"> COUNTIF( 'INPUTS│Performance Commitments'!$C$99:$C$118, C70 )</f>
        <v>1</v>
      </c>
      <c r="F70" s="114">
        <f xml:space="preserve"> _xlfn.IFNA( VLOOKUP( $C70, 'INPUTS│Performance Commitments'!$C$122:$I$141, MATCH( F$4, 'INPUTS│Performance Commitments'!$G$3:$I$3, 0 ) + 4, 0 ), "-" )</f>
        <v>0.82</v>
      </c>
      <c r="G70" s="114" t="str">
        <f ca="1" xml:space="preserve"> IF( $D70 &gt; 1, OFFSET( 'INPUTS│Performance Commitments'!$F$122, MATCH( $C70, 'INPUTS│Performance Commitments'!$C$122:$C$141, 0 ), MATCH( $F$4, 'INPUTS│Performance Commitments'!$G$3:$I$3, 0 ) ), "-" )</f>
        <v>-</v>
      </c>
      <c r="H70" s="114">
        <f xml:space="preserve"> _xlfn.IFNA( VLOOKUP( $C70, 'INPUTS│Performance Commitments'!$C$99:$I$118, MATCH( H$4, 'INPUTS│Performance Commitments'!$G$3:$I$3, 0 ) + 4, 0 ), "-" )</f>
        <v>0.57999999999999996</v>
      </c>
      <c r="I70" s="114" t="str">
        <f ca="1" xml:space="preserve"> IF( $D70 &gt; 1, OFFSET( 'INPUTS│Performance Commitments'!$F$99, MATCH( $C70, 'INPUTS│Performance Commitments'!$C$99:$C$118, 0 ), MATCH( $H$4, 'INPUTS│Performance Commitments'!$G$3:$I$3, 0 ) ), "-" )</f>
        <v>-</v>
      </c>
      <c r="J70" s="82" t="str">
        <f t="shared" si="18"/>
        <v>Failed</v>
      </c>
      <c r="K70" s="82" t="str">
        <f t="shared" ca="1" si="19"/>
        <v>-</v>
      </c>
      <c r="L70" s="282">
        <f t="shared" ca="1" si="22"/>
        <v>0</v>
      </c>
      <c r="N70" s="114">
        <f xml:space="preserve"> _xlfn.IFNA( VLOOKUP( $C70, 'INPUTS│Performance Commitments'!$C$122:$I$141, MATCH( N$4, 'INPUTS│Performance Commitments'!$G$3:$I$3, 0 ) + 4, 0 ), "-" )</f>
        <v>0.59</v>
      </c>
      <c r="O70" s="114" t="str">
        <f ca="1" xml:space="preserve"> IF( $D70 &gt; 1, OFFSET( 'INPUTS│Performance Commitments'!$F$122, MATCH( $C70, 'INPUTS│Performance Commitments'!$C$122:$C$141, 0 ), MATCH( $N$4, 'INPUTS│Performance Commitments'!$G$3:$I$3, 0 ) ), "-" )</f>
        <v>-</v>
      </c>
      <c r="P70" s="114">
        <f xml:space="preserve"> _xlfn.IFNA( VLOOKUP( $C70, 'INPUTS│Performance Commitments'!$C$99:$I$118, MATCH( P$4, 'INPUTS│Performance Commitments'!$G$3:$I$3, 0 ) + 4, 0 ), "-" )</f>
        <v>0.57999999999999996</v>
      </c>
      <c r="Q70" s="114" t="str">
        <f ca="1" xml:space="preserve"> IF( $D70 &gt; 1, OFFSET( 'INPUTS│Performance Commitments'!$F$99, MATCH( $C70, 'INPUTS│Performance Commitments'!$C$99:$C$118, 0 ), MATCH( $P$4, 'INPUTS│Performance Commitments'!$G$3:$I$3, 0 ) ), "-" )</f>
        <v>-</v>
      </c>
      <c r="R70" s="82" t="str">
        <f t="shared" si="20"/>
        <v>Failed</v>
      </c>
      <c r="S70" s="82" t="str">
        <f t="shared" ca="1" si="21"/>
        <v>-</v>
      </c>
      <c r="T70" s="282">
        <f t="shared" ca="1" si="23"/>
        <v>0</v>
      </c>
      <c r="V70" s="273">
        <f xml:space="preserve"> _xlfn.IFNA( VLOOKUP( $C70, 'INPUTS│Performance Commitments'!$C$122:$L$141, MATCH( V$4, 'INPUTS│Performance Commitments'!$K$3:$L$3, 0 ) + 8, 0 ), "-" )</f>
        <v>0.59</v>
      </c>
      <c r="W70" s="273" t="str">
        <f ca="1" xml:space="preserve"> IF( $D70 &gt; 1, OFFSET( 'INPUTS│Performance Commitments'!$J$122, MATCH( $C70, 'INPUTS│Performance Commitments'!$C$122:$C$141, 0 ), MATCH( $V$4, 'INPUTS│Performance Commitments'!$K$3:$L$3, 0 ) ), "-" )</f>
        <v>-</v>
      </c>
      <c r="X70" s="273">
        <f xml:space="preserve"> _xlfn.IFNA( VLOOKUP( $C70, 'INPUTS│Performance Commitments'!$C$99:$L$118, MATCH( X$4, 'INPUTS│Performance Commitments'!$K$3:$L$3, 0 ) + 8, 0 ), "-" )</f>
        <v>0.57999999999999996</v>
      </c>
      <c r="Y70" s="273" t="str">
        <f ca="1" xml:space="preserve"> IF( $D70 &gt; 1, OFFSET( 'INPUTS│Performance Commitments'!$J$99, MATCH( $C70, 'INPUTS│Performance Commitments'!$C$99:$C$118, 0 ), MATCH( $X$4, 'INPUTS│Performance Commitments'!$K$3:$L$3, 0 ) ), "-" )</f>
        <v>-</v>
      </c>
    </row>
    <row r="71" spans="2:26" hidden="1" outlineLevel="1" x14ac:dyDescent="0.2">
      <c r="C71" s="8" t="s">
        <v>113</v>
      </c>
      <c r="D71" s="202">
        <f xml:space="preserve"> COUNTIF( 'INPUTS│Performance Commitments'!$C$99:$C$118, C71 )</f>
        <v>1</v>
      </c>
      <c r="F71" s="114">
        <f xml:space="preserve"> _xlfn.IFNA( VLOOKUP( $C71, 'INPUTS│Performance Commitments'!$C$122:$I$141, MATCH( F$4, 'INPUTS│Performance Commitments'!$G$3:$I$3, 0 ) + 4, 0 ), "-" )</f>
        <v>1.4159999999999999</v>
      </c>
      <c r="G71" s="114" t="str">
        <f ca="1" xml:space="preserve"> IF( $D71 &gt; 1, OFFSET( 'INPUTS│Performance Commitments'!$F$122, MATCH( $C71, 'INPUTS│Performance Commitments'!$C$122:$C$141, 0 ), MATCH( $F$4, 'INPUTS│Performance Commitments'!$G$3:$I$3, 0 ) ), "-" )</f>
        <v>-</v>
      </c>
      <c r="H71" s="114">
        <f xml:space="preserve"> _xlfn.IFNA( VLOOKUP( $C71, 'INPUTS│Performance Commitments'!$C$99:$I$118, MATCH( H$4, 'INPUTS│Performance Commitments'!$G$3:$I$3, 0 ) + 4, 0 ), "-" )</f>
        <v>1.23</v>
      </c>
      <c r="I71" s="114" t="str">
        <f ca="1" xml:space="preserve"> IF( $D71 &gt; 1, OFFSET( 'INPUTS│Performance Commitments'!$F$99, MATCH( $C71, 'INPUTS│Performance Commitments'!$C$99:$C$118, 0 ), MATCH( $H$4, 'INPUTS│Performance Commitments'!$G$3:$I$3, 0 ) ), "-" )</f>
        <v>-</v>
      </c>
      <c r="J71" s="82" t="str">
        <f t="shared" si="18"/>
        <v>Failed</v>
      </c>
      <c r="K71" s="82" t="str">
        <f t="shared" ca="1" si="19"/>
        <v>-</v>
      </c>
      <c r="L71" s="282">
        <f t="shared" ca="1" si="22"/>
        <v>0</v>
      </c>
      <c r="N71" s="114">
        <f xml:space="preserve"> _xlfn.IFNA( VLOOKUP( $C71, 'INPUTS│Performance Commitments'!$C$122:$I$141, MATCH( N$4, 'INPUTS│Performance Commitments'!$G$3:$I$3, 0 ) + 4, 0 ), "-" )</f>
        <v>1.51</v>
      </c>
      <c r="O71" s="114" t="str">
        <f ca="1" xml:space="preserve"> IF( $D71 &gt; 1, OFFSET( 'INPUTS│Performance Commitments'!$F$122, MATCH( $C71, 'INPUTS│Performance Commitments'!$C$122:$C$141, 0 ), MATCH( $N$4, 'INPUTS│Performance Commitments'!$G$3:$I$3, 0 ) ), "-" )</f>
        <v>-</v>
      </c>
      <c r="P71" s="114">
        <f xml:space="preserve"> _xlfn.IFNA( VLOOKUP( $C71, 'INPUTS│Performance Commitments'!$C$99:$I$118, MATCH( P$4, 'INPUTS│Performance Commitments'!$G$3:$I$3, 0 ) + 4, 0 ), "-" )</f>
        <v>1.23</v>
      </c>
      <c r="Q71" s="114" t="str">
        <f ca="1" xml:space="preserve"> IF( $D71 &gt; 1, OFFSET( 'INPUTS│Performance Commitments'!$F$99, MATCH( $C71, 'INPUTS│Performance Commitments'!$C$99:$C$118, 0 ), MATCH( $P$4, 'INPUTS│Performance Commitments'!$G$3:$I$3, 0 ) ), "-" )</f>
        <v>-</v>
      </c>
      <c r="R71" s="82" t="str">
        <f t="shared" si="20"/>
        <v>Failed</v>
      </c>
      <c r="S71" s="82" t="str">
        <f t="shared" ca="1" si="21"/>
        <v>-</v>
      </c>
      <c r="T71" s="282">
        <f t="shared" ca="1" si="23"/>
        <v>0</v>
      </c>
      <c r="V71" s="273">
        <f xml:space="preserve"> _xlfn.IFNA( VLOOKUP( $C71, 'INPUTS│Performance Commitments'!$C$122:$L$141, MATCH( V$4, 'INPUTS│Performance Commitments'!$K$3:$L$3, 0 ) + 8, 0 ), "-" )</f>
        <v>1.51</v>
      </c>
      <c r="W71" s="273" t="str">
        <f ca="1" xml:space="preserve"> IF( $D71 &gt; 1, OFFSET( 'INPUTS│Performance Commitments'!$J$122, MATCH( $C71, 'INPUTS│Performance Commitments'!$C$122:$C$141, 0 ), MATCH( $V$4, 'INPUTS│Performance Commitments'!$K$3:$L$3, 0 ) ), "-" )</f>
        <v>-</v>
      </c>
      <c r="X71" s="273">
        <f xml:space="preserve"> _xlfn.IFNA( VLOOKUP( $C71, 'INPUTS│Performance Commitments'!$C$99:$L$118, MATCH( X$4, 'INPUTS│Performance Commitments'!$K$3:$L$3, 0 ) + 8, 0 ), "-" )</f>
        <v>1.23</v>
      </c>
      <c r="Y71" s="273" t="str">
        <f ca="1" xml:space="preserve"> IF( $D71 &gt; 1, OFFSET( 'INPUTS│Performance Commitments'!$J$99, MATCH( $C71, 'INPUTS│Performance Commitments'!$C$99:$C$118, 0 ), MATCH( $X$4, 'INPUTS│Performance Commitments'!$K$3:$L$3, 0 ) ), "-" )</f>
        <v>-</v>
      </c>
    </row>
    <row r="72" spans="2:26" hidden="1" outlineLevel="1" x14ac:dyDescent="0.2">
      <c r="C72" s="8" t="s">
        <v>109</v>
      </c>
      <c r="D72" s="202">
        <f xml:space="preserve"> COUNTIF( 'INPUTS│Performance Commitments'!$C$99:$C$118, C72 )</f>
        <v>1</v>
      </c>
      <c r="F72" s="115">
        <f xml:space="preserve"> _xlfn.IFNA( VLOOKUP( $C72, 'INPUTS│Performance Commitments'!$C$122:$I$141, MATCH( F$4, 'INPUTS│Performance Commitments'!$G$3:$I$3, 0 ) + 4, 0 ), "-" )</f>
        <v>365</v>
      </c>
      <c r="G72" s="115" t="str">
        <f ca="1" xml:space="preserve"> IF( $D72 &gt; 1, OFFSET( 'INPUTS│Performance Commitments'!$F$122, MATCH( $C72, 'INPUTS│Performance Commitments'!$C$122:$C$141, 0 ), MATCH( $F$4, 'INPUTS│Performance Commitments'!$G$3:$I$3, 0 ) ), "-" )</f>
        <v>-</v>
      </c>
      <c r="H72" s="115">
        <f xml:space="preserve"> _xlfn.IFNA( VLOOKUP( $C72, 'INPUTS│Performance Commitments'!$C$99:$I$118, MATCH( H$4, 'INPUTS│Performance Commitments'!$G$3:$I$3, 0 ) + 4, 0 ), "-" )</f>
        <v>350</v>
      </c>
      <c r="I72" s="115" t="str">
        <f ca="1" xml:space="preserve"> IF( $D72 &gt; 1, OFFSET( 'INPUTS│Performance Commitments'!$F$99, MATCH( $C72, 'INPUTS│Performance Commitments'!$C$99:$C$118, 0 ), MATCH( $H$4, 'INPUTS│Performance Commitments'!$G$3:$I$3, 0 ) ), "-" )</f>
        <v>-</v>
      </c>
      <c r="J72" s="82" t="str">
        <f xml:space="preserve"> IF( H72 &lt;&gt; "-", IF( F72 &lt;= H72, "Met", "Failed" ), "-" )</f>
        <v>Failed</v>
      </c>
      <c r="K72" s="82" t="str">
        <f ca="1" xml:space="preserve"> IF( I72 &lt;&gt; "-", IF( G72 &lt;= I72, "Met", "Failed" ), "-" )</f>
        <v>-</v>
      </c>
      <c r="L72" s="282">
        <f ca="1" xml:space="preserve"> IF( H72 = "-", "-", COUNTIF( J72:K72, "Met" ) / $D72 )</f>
        <v>0</v>
      </c>
      <c r="N72" s="115">
        <f xml:space="preserve"> _xlfn.IFNA( VLOOKUP( $C72, 'INPUTS│Performance Commitments'!$C$122:$I$141, MATCH( N$4, 'INPUTS│Performance Commitments'!$G$3:$I$3, 0 ) + 4, 0 ), "-" )</f>
        <v>388</v>
      </c>
      <c r="O72" s="115" t="str">
        <f ca="1" xml:space="preserve"> IF( $D72 &gt; 1, OFFSET( 'INPUTS│Performance Commitments'!$F$122, MATCH( $C72, 'INPUTS│Performance Commitments'!$C$122:$C$141, 0 ), MATCH( $N$4, 'INPUTS│Performance Commitments'!$G$3:$I$3, 0 ) ), "-" )</f>
        <v>-</v>
      </c>
      <c r="P72" s="115">
        <f xml:space="preserve"> _xlfn.IFNA( VLOOKUP( $C72, 'INPUTS│Performance Commitments'!$C$99:$I$118, MATCH( P$4, 'INPUTS│Performance Commitments'!$G$3:$I$3, 0 ) + 4, 0 ), "-" )</f>
        <v>350</v>
      </c>
      <c r="Q72" s="115" t="str">
        <f ca="1" xml:space="preserve"> IF( $D72 &gt; 1, OFFSET( 'INPUTS│Performance Commitments'!$F$99, MATCH( $C72, 'INPUTS│Performance Commitments'!$C$99:$C$118, 0 ), MATCH( $P$4, 'INPUTS│Performance Commitments'!$G$3:$I$3, 0 ) ), "-" )</f>
        <v>-</v>
      </c>
      <c r="R72" s="82" t="str">
        <f xml:space="preserve"> IF( P72 &lt;&gt; "-", IF( N72 &lt;= P72, "Met", "Failed" ), "-" )</f>
        <v>Failed</v>
      </c>
      <c r="S72" s="82" t="str">
        <f ca="1" xml:space="preserve"> IF( Q72 &lt;&gt; "-", IF( O72 &lt;= Q72, "Met", "Failed" ), "-" )</f>
        <v>-</v>
      </c>
      <c r="T72" s="282">
        <f ca="1" xml:space="preserve"> IF( P72 = "-", "-", COUNTIF( R72:S72, "Met" ) / $D72 )</f>
        <v>0</v>
      </c>
      <c r="V72" s="273">
        <f xml:space="preserve"> _xlfn.IFNA( VLOOKUP( $C72, 'INPUTS│Performance Commitments'!$C$122:$L$141, MATCH( V$4, 'INPUTS│Performance Commitments'!$K$3:$L$3, 0 ) + 8, 0 ), "-" )</f>
        <v>0.54492029147320131</v>
      </c>
      <c r="W72" s="273" t="str">
        <f ca="1" xml:space="preserve"> IF( $D72 &gt; 1, OFFSET( 'INPUTS│Performance Commitments'!$J$122, MATCH( $C72, 'INPUTS│Performance Commitments'!$C$122:$C$141, 0 ), MATCH( $V$4, 'INPUTS│Performance Commitments'!$K$3:$L$3, 0 ) ), "-" )</f>
        <v>-</v>
      </c>
      <c r="X72" s="273">
        <f xml:space="preserve"> _xlfn.IFNA( VLOOKUP( $C72, 'INPUTS│Performance Commitments'!$C$99:$L$118, MATCH( X$4, 'INPUTS│Performance Commitments'!$K$3:$L$3, 0 ) + 8, 0 ), "-" )</f>
        <v>0.49155180931860942</v>
      </c>
      <c r="Y72" s="273" t="str">
        <f ca="1" xml:space="preserve"> IF( $D72 &gt; 1, OFFSET( 'INPUTS│Performance Commitments'!$J$99, MATCH( $C72, 'INPUTS│Performance Commitments'!$C$99:$C$118, 0 ), MATCH( $X$4, 'INPUTS│Performance Commitments'!$K$3:$L$3, 0 ) ), "-" )</f>
        <v>-</v>
      </c>
    </row>
    <row r="73" spans="2:26" hidden="1" outlineLevel="1" x14ac:dyDescent="0.2">
      <c r="C73" s="266"/>
      <c r="D73" s="85"/>
      <c r="E73" s="266"/>
      <c r="F73" s="56"/>
      <c r="G73" s="56"/>
      <c r="H73" s="56"/>
      <c r="I73" s="56"/>
      <c r="J73" s="56"/>
      <c r="K73" s="56"/>
      <c r="L73" s="56"/>
      <c r="M73" s="266"/>
      <c r="N73" s="56"/>
      <c r="O73" s="56"/>
      <c r="P73" s="56"/>
      <c r="Q73" s="56"/>
      <c r="R73" s="56"/>
      <c r="S73" s="56"/>
      <c r="T73" s="56"/>
      <c r="U73" s="266"/>
      <c r="V73" s="56"/>
      <c r="W73" s="56"/>
      <c r="X73" s="56"/>
      <c r="Y73" s="56"/>
    </row>
    <row r="74" spans="2:26" hidden="1" outlineLevel="1" x14ac:dyDescent="0.2">
      <c r="C74" s="8" t="s">
        <v>117</v>
      </c>
      <c r="D74" s="202">
        <f xml:space="preserve"> COUNTIF( 'INPUTS│Performance Commitments'!$C$99:$C$118, C74 )</f>
        <v>1</v>
      </c>
      <c r="F74" s="114">
        <f xml:space="preserve"> _xlfn.IFNA( VLOOKUP( $C74, 'INPUTS│Performance Commitments'!$C$122:$I$141, MATCH( F$4, 'INPUTS│Performance Commitments'!$G$3:$I$3, 0 ) + 4, 0 ), "-" )</f>
        <v>2.2000000000000002</v>
      </c>
      <c r="G74" s="114" t="str">
        <f ca="1" xml:space="preserve"> IF( $D74 &gt; 1, OFFSET( 'INPUTS│Performance Commitments'!$F$122, MATCH( $C74, 'INPUTS│Performance Commitments'!$C$122:$C$141, 0 ), MATCH( $F$4, 'INPUTS│Performance Commitments'!$G$3:$I$3, 0 ) ), "-" )</f>
        <v>-</v>
      </c>
      <c r="H74" s="114">
        <f xml:space="preserve"> _xlfn.IFNA( VLOOKUP( $C74, 'INPUTS│Performance Commitments'!$C$99:$I$118, MATCH( H$4, 'INPUTS│Performance Commitments'!$G$3:$I$3, 0 ) + 4, 0 ), "-" )</f>
        <v>3.6</v>
      </c>
      <c r="I74" s="114" t="str">
        <f ca="1" xml:space="preserve"> IF( $D74 &gt; 1, OFFSET( 'INPUTS│Performance Commitments'!$F$99, MATCH( $C74, 'INPUTS│Performance Commitments'!$C$99:$C$118, 0 ), MATCH( $H$4, 'INPUTS│Performance Commitments'!$G$3:$I$3, 0 ) ), "-" )</f>
        <v>-</v>
      </c>
      <c r="J74" s="82" t="str">
        <f t="shared" si="18"/>
        <v>Met</v>
      </c>
      <c r="K74" s="82" t="str">
        <f ca="1" xml:space="preserve"> IF( I74 &lt;&gt; "-", IF( G74 &lt;= I74, "Met", "Failed" ), "-" )</f>
        <v>-</v>
      </c>
      <c r="L74" s="83">
        <f ca="1" xml:space="preserve"> IF( H74 = "-", "-", COUNTIF( J74:K74, "Met" ) / $D74 )</f>
        <v>1</v>
      </c>
      <c r="N74" s="114">
        <f xml:space="preserve"> _xlfn.IFNA( VLOOKUP( $C74, 'INPUTS│Performance Commitments'!$C$122:$I$141, MATCH( N$4, 'INPUTS│Performance Commitments'!$G$3:$I$3, 0 ) + 4, 0 ), "-" )</f>
        <v>2.13</v>
      </c>
      <c r="O74" s="114" t="str">
        <f ca="1" xml:space="preserve"> IF( $D74 &gt; 1, OFFSET( 'INPUTS│Performance Commitments'!$F$122, MATCH( $C74, 'INPUTS│Performance Commitments'!$C$122:$C$141, 0 ), MATCH( $N$4, 'INPUTS│Performance Commitments'!$G$3:$I$3, 0 ) ), "-" )</f>
        <v>-</v>
      </c>
      <c r="P74" s="114">
        <f xml:space="preserve"> _xlfn.IFNA( VLOOKUP( $C74, 'INPUTS│Performance Commitments'!$C$99:$I$118, MATCH( P$4, 'INPUTS│Performance Commitments'!$G$3:$I$3, 0 ) + 4, 0 ), "-" )</f>
        <v>3.3</v>
      </c>
      <c r="Q74" s="114" t="str">
        <f ca="1" xml:space="preserve"> IF( $D74 &gt; 1, OFFSET( 'INPUTS│Performance Commitments'!$F$99, MATCH( $C74, 'INPUTS│Performance Commitments'!$C$99:$C$118, 0 ), MATCH( $P$4, 'INPUTS│Performance Commitments'!$G$3:$I$3, 0 ) ), "-" )</f>
        <v>-</v>
      </c>
      <c r="R74" s="82" t="str">
        <f t="shared" si="20"/>
        <v>Met</v>
      </c>
      <c r="S74" s="82" t="str">
        <f ca="1" xml:space="preserve"> IF( Q74 &lt;&gt; "-", IF( O74 &lt;= Q74, "Met", "Failed" ), "-" )</f>
        <v>-</v>
      </c>
      <c r="T74" s="83">
        <f ca="1" xml:space="preserve"> IF( P74 = "-", "-", COUNTIF( R74:S74, "Met" ) / $D74 )</f>
        <v>1</v>
      </c>
      <c r="V74" s="82">
        <f xml:space="preserve"> _xlfn.IFNA( VLOOKUP( $C74, 'INPUTS│Performance Commitments'!$C$122:$L$141, MATCH( V$4, 'INPUTS│Performance Commitments'!$K$3:$L$3, 0 ) + 8, 0 ), "-" )</f>
        <v>2.13</v>
      </c>
      <c r="W74" s="82" t="str">
        <f ca="1" xml:space="preserve"> IF( $D74 &gt; 1, OFFSET( 'INPUTS│Performance Commitments'!$J$122, MATCH( $C74, 'INPUTS│Performance Commitments'!$C$122:$C$141, 0 ), MATCH( $V$4, 'INPUTS│Performance Commitments'!$K$3:$L$3, 0 ) ), "-" )</f>
        <v>-</v>
      </c>
      <c r="X74" s="82">
        <f xml:space="preserve"> _xlfn.IFNA( VLOOKUP( $C74, 'INPUTS│Performance Commitments'!$C$99:$L$118, MATCH( X$4, 'INPUTS│Performance Commitments'!$K$3:$L$3, 0 ) + 8, 0 ), "-" )</f>
        <v>3.3</v>
      </c>
      <c r="Y74" s="82" t="str">
        <f ca="1" xml:space="preserve"> IF( $D74 &gt; 1, OFFSET( 'INPUTS│Performance Commitments'!$J$99, MATCH( $C74, 'INPUTS│Performance Commitments'!$C$99:$C$118, 0 ), MATCH( $X$4, 'INPUTS│Performance Commitments'!$K$3:$L$3, 0 ) ), "-" )</f>
        <v>-</v>
      </c>
    </row>
    <row r="75" spans="2:26" hidden="1" outlineLevel="1" x14ac:dyDescent="0.2">
      <c r="C75" s="8" t="s">
        <v>115</v>
      </c>
      <c r="D75" s="202">
        <f xml:space="preserve"> COUNTIF( 'INPUTS│Performance Commitments'!$C$99:$C$118, C75 )</f>
        <v>1</v>
      </c>
      <c r="F75" s="114">
        <f xml:space="preserve"> _xlfn.IFNA( VLOOKUP( $C75, 'INPUTS│Performance Commitments'!$C$122:$I$141, MATCH( F$4, 'INPUTS│Performance Commitments'!$G$3:$I$3, 0 ) + 4, 0 ), "-" )</f>
        <v>0.82</v>
      </c>
      <c r="G75" s="114" t="str">
        <f ca="1" xml:space="preserve"> IF( $D75 &gt; 1, OFFSET( 'INPUTS│Performance Commitments'!$F$122, MATCH( $C75, 'INPUTS│Performance Commitments'!$C$122:$C$141, 0 ), MATCH( $F$4, 'INPUTS│Performance Commitments'!$G$3:$I$3, 0 ) ), "-" )</f>
        <v>-</v>
      </c>
      <c r="H75" s="114">
        <f xml:space="preserve"> _xlfn.IFNA( VLOOKUP( $C75, 'INPUTS│Performance Commitments'!$C$99:$I$118, MATCH( H$4, 'INPUTS│Performance Commitments'!$G$3:$I$3, 0 ) + 4, 0 ), "-" )</f>
        <v>1.23</v>
      </c>
      <c r="I75" s="114" t="str">
        <f ca="1" xml:space="preserve"> IF( $D75 &gt; 1, OFFSET( 'INPUTS│Performance Commitments'!$F$99, MATCH( $C75, 'INPUTS│Performance Commitments'!$C$99:$C$118, 0 ), MATCH( $H$4, 'INPUTS│Performance Commitments'!$G$3:$I$3, 0 ) ), "-" )</f>
        <v>-</v>
      </c>
      <c r="J75" s="82" t="str">
        <f t="shared" si="18"/>
        <v>Met</v>
      </c>
      <c r="K75" s="82" t="str">
        <f ca="1" xml:space="preserve"> IF( I75 &lt;&gt; "-", IF( G75 &lt;= I75, "Met", "Failed" ), "-" )</f>
        <v>-</v>
      </c>
      <c r="L75" s="83">
        <f ca="1" xml:space="preserve"> IF( H75 = "-", "-", COUNTIF( J75:K75, "Met" ) / $D75 )</f>
        <v>1</v>
      </c>
      <c r="N75" s="114">
        <f xml:space="preserve"> _xlfn.IFNA( VLOOKUP( $C75, 'INPUTS│Performance Commitments'!$C$122:$I$141, MATCH( N$4, 'INPUTS│Performance Commitments'!$G$3:$I$3, 0 ) + 4, 0 ), "-" )</f>
        <v>0.71</v>
      </c>
      <c r="O75" s="114" t="str">
        <f ca="1" xml:space="preserve"> IF( $D75 &gt; 1, OFFSET( 'INPUTS│Performance Commitments'!$F$122, MATCH( $C75, 'INPUTS│Performance Commitments'!$C$122:$C$141, 0 ), MATCH( $N$4, 'INPUTS│Performance Commitments'!$G$3:$I$3, 0 ) ), "-" )</f>
        <v>-</v>
      </c>
      <c r="P75" s="114">
        <f xml:space="preserve"> _xlfn.IFNA( VLOOKUP( $C75, 'INPUTS│Performance Commitments'!$C$99:$I$118, MATCH( P$4, 'INPUTS│Performance Commitments'!$G$3:$I$3, 0 ) + 4, 0 ), "-" )</f>
        <v>1.23</v>
      </c>
      <c r="Q75" s="114" t="str">
        <f ca="1" xml:space="preserve"> IF( $D75 &gt; 1, OFFSET( 'INPUTS│Performance Commitments'!$F$99, MATCH( $C75, 'INPUTS│Performance Commitments'!$C$99:$C$118, 0 ), MATCH( $P$4, 'INPUTS│Performance Commitments'!$G$3:$I$3, 0 ) ), "-" )</f>
        <v>-</v>
      </c>
      <c r="R75" s="82" t="str">
        <f t="shared" si="20"/>
        <v>Met</v>
      </c>
      <c r="S75" s="82" t="str">
        <f ca="1" xml:space="preserve"> IF( Q75 &lt;&gt; "-", IF( O75 &lt;= Q75, "Met", "Failed" ), "-" )</f>
        <v>-</v>
      </c>
      <c r="T75" s="83">
        <f ca="1" xml:space="preserve"> IF( P75 = "-", "-", COUNTIF( R75:S75, "Met" ) / $D75 )</f>
        <v>1</v>
      </c>
      <c r="V75" s="82">
        <f xml:space="preserve"> _xlfn.IFNA( VLOOKUP( $C75, 'INPUTS│Performance Commitments'!$C$122:$L$141, MATCH( V$4, 'INPUTS│Performance Commitments'!$K$3:$L$3, 0 ) + 8, 0 ), "-" )</f>
        <v>0.71</v>
      </c>
      <c r="W75" s="82" t="str">
        <f ca="1" xml:space="preserve"> IF( $D75 &gt; 1, OFFSET( 'INPUTS│Performance Commitments'!$J$122, MATCH( $C75, 'INPUTS│Performance Commitments'!$C$122:$C$141, 0 ), MATCH( $V$4, 'INPUTS│Performance Commitments'!$K$3:$L$3, 0 ) ), "-" )</f>
        <v>-</v>
      </c>
      <c r="X75" s="82">
        <f xml:space="preserve"> _xlfn.IFNA( VLOOKUP( $C75, 'INPUTS│Performance Commitments'!$C$99:$L$118, MATCH( X$4, 'INPUTS│Performance Commitments'!$K$3:$L$3, 0 ) + 8, 0 ), "-" )</f>
        <v>1.23</v>
      </c>
      <c r="Y75" s="82" t="str">
        <f ca="1" xml:space="preserve"> IF( $D75 &gt; 1, OFFSET( 'INPUTS│Performance Commitments'!$J$99, MATCH( $C75, 'INPUTS│Performance Commitments'!$C$99:$C$118, 0 ), MATCH( $X$4, 'INPUTS│Performance Commitments'!$K$3:$L$3, 0 ) ), "-" )</f>
        <v>-</v>
      </c>
    </row>
    <row r="77" spans="2:26" ht="13.5" collapsed="1" x14ac:dyDescent="0.25">
      <c r="B77" s="9" t="s">
        <v>163</v>
      </c>
      <c r="C77" s="9"/>
      <c r="D77" s="10"/>
      <c r="E77" s="9"/>
      <c r="F77" s="9"/>
      <c r="G77" s="9"/>
      <c r="H77" s="9"/>
      <c r="I77" s="9"/>
      <c r="J77" s="9"/>
      <c r="K77" s="9"/>
      <c r="L77" s="9"/>
      <c r="M77" s="9"/>
      <c r="N77" s="9"/>
      <c r="O77" s="9"/>
      <c r="P77" s="9"/>
      <c r="Q77" s="9"/>
      <c r="R77" s="9"/>
      <c r="S77" s="9"/>
      <c r="T77" s="9"/>
      <c r="U77" s="9"/>
      <c r="V77" s="9"/>
      <c r="W77" s="9"/>
      <c r="X77" s="9"/>
      <c r="Y77" s="9"/>
      <c r="Z77" s="9"/>
    </row>
    <row r="78" spans="2:26" hidden="1" outlineLevel="1" x14ac:dyDescent="0.2"/>
    <row r="79" spans="2:26" hidden="1" outlineLevel="1" x14ac:dyDescent="0.2">
      <c r="C79" s="8" t="s">
        <v>79</v>
      </c>
      <c r="D79" s="202">
        <f xml:space="preserve"> COUNTIF( 'INPUTS│Performance Commitments'!$C$147:$C$159, C79 )</f>
        <v>1</v>
      </c>
      <c r="E79" s="51"/>
      <c r="F79" s="115" t="str">
        <f xml:space="preserve"> _xlfn.IFNA( VLOOKUP( $C79, 'INPUTS│Performance Commitments'!$C$163:$I$175, MATCH( F$4, 'INPUTS│Performance Commitments'!$G$3:$I$3, 0 ) + 4, 0 ), "-" )</f>
        <v>-</v>
      </c>
      <c r="G79" s="115" t="str">
        <f ca="1" xml:space="preserve"> IF( $D79 &gt; 1, OFFSET( 'INPUTS│Performance Commitments'!$F$163, MATCH( $C79, 'INPUTS│Performance Commitments'!$C$163:$C$175, 0 ), MATCH( $F$4, 'INPUTS│Performance Commitments'!$G$3:$I$3, 0 ) ), "-" )</f>
        <v>-</v>
      </c>
      <c r="H79" s="115" t="str">
        <f xml:space="preserve"> _xlfn.IFNA( VLOOKUP( $C79, 'INPUTS│Performance Commitments'!$C$147:$I$159, MATCH( H$4, 'INPUTS│Performance Commitments'!$G$3:$I$3, 0 ) + 4, 0 ), "-" )</f>
        <v>-</v>
      </c>
      <c r="I79" s="115" t="str">
        <f ca="1" xml:space="preserve"> IF( $D79 &gt; 1, OFFSET( 'INPUTS│Performance Commitments'!$F$147, MATCH( $C79, 'INPUTS│Performance Commitments'!$C$147:$C$159, 0 ), MATCH( $H$4, 'INPUTS│Performance Commitments'!$G$3:$I$3, 0 ) ), "-" )</f>
        <v>-</v>
      </c>
      <c r="J79" s="82" t="str">
        <f xml:space="preserve"> IF( H79 &lt;&gt; "-", IF( F79 &lt;= H79, "Met", "Failed" ), "-" )</f>
        <v>-</v>
      </c>
      <c r="K79" s="82" t="str">
        <f ca="1" xml:space="preserve"> IF( I79 &lt;&gt; "-", IF( G79 &lt;= I79, "Met", "Failed" ), "-" )</f>
        <v>-</v>
      </c>
      <c r="L79" s="282" t="str">
        <f xml:space="preserve"> IF( H79 = "-", "-", COUNTIF( J79:K79, "Met" ) / $D79 )</f>
        <v>-</v>
      </c>
      <c r="M79" s="51"/>
      <c r="N79" s="115" t="str">
        <f xml:space="preserve"> _xlfn.IFNA( VLOOKUP( $C79, 'INPUTS│Performance Commitments'!$C$163:$I$175, MATCH( N$4, 'INPUTS│Performance Commitments'!$G$3:$I$3, 0 ) + 4, 0 ), "-" )</f>
        <v>-</v>
      </c>
      <c r="O79" s="115" t="str">
        <f ca="1" xml:space="preserve"> IF( $D79 &gt; 1, OFFSET( 'INPUTS│Performance Commitments'!$F$163, MATCH( $C79, 'INPUTS│Performance Commitments'!$C$163:$C$175, 0 ), MATCH( $N$4, 'INPUTS│Performance Commitments'!$G$3:$I$3, 0 ) ), "-" )</f>
        <v>-</v>
      </c>
      <c r="P79" s="115" t="str">
        <f xml:space="preserve"> _xlfn.IFNA( VLOOKUP( $C79, 'INPUTS│Performance Commitments'!$C$147:$I$159, MATCH( P$4, 'INPUTS│Performance Commitments'!$G$3:$I$3, 0 ) + 4, 0 ), "-" )</f>
        <v>-</v>
      </c>
      <c r="Q79" s="115" t="str">
        <f ca="1" xml:space="preserve"> IF( $D79 &gt; 1, OFFSET( 'INPUTS│Performance Commitments'!$F$147, MATCH( $C79, 'INPUTS│Performance Commitments'!$C$147:$C$159, 0 ), MATCH( $P$4, 'INPUTS│Performance Commitments'!$G$3:$I$3, 0 ) ), "-" )</f>
        <v>-</v>
      </c>
      <c r="R79" s="82" t="str">
        <f xml:space="preserve"> IF( P79 &lt;&gt; "-", IF( N79 &lt;= P79, "Met", "Failed" ), "-" )</f>
        <v>-</v>
      </c>
      <c r="S79" s="82" t="str">
        <f ca="1" xml:space="preserve"> IF( Q79 &lt;&gt; "-", IF( O79 &lt;= Q79, "Met", "Failed" ), "-" )</f>
        <v>-</v>
      </c>
      <c r="T79" s="282" t="str">
        <f t="shared" ref="T79:T89" si="24" xml:space="preserve"> IF( P79 = "-", "-", COUNTIF( R79:S79, "Met" ) / $D79 )</f>
        <v>-</v>
      </c>
      <c r="U79" s="51"/>
      <c r="V79" s="274" t="str">
        <f xml:space="preserve"> _xlfn.IFNA( VLOOKUP( $C79, 'INPUTS│Performance Commitments'!$C$163:$L$175, MATCH( V$4, 'INPUTS│Performance Commitments'!$K$3:$L$3, 0 ) + 8, 0 ), "-" )</f>
        <v>-</v>
      </c>
      <c r="W79" s="274" t="str">
        <f ca="1" xml:space="preserve"> IF( $D79 &gt; 1, OFFSET( 'INPUTS│Performance Commitments'!$J$163, MATCH( $C79, 'INPUTS│Performance Commitments'!$C$163:$C$175, 0 ), MATCH( $V$4, 'INPUTS│Performance Commitments'!$K$3:$L$3, 0 ) ), "-" )</f>
        <v>-</v>
      </c>
      <c r="X79" s="274" t="str">
        <f xml:space="preserve"> _xlfn.IFNA( VLOOKUP( $C79, 'INPUTS│Performance Commitments'!$C$147:$L$159, MATCH( X$4, 'INPUTS│Performance Commitments'!$K$3:$L$3, 0 ) + 8, 0 ), "-" )</f>
        <v>-</v>
      </c>
      <c r="Y79" s="274" t="str">
        <f ca="1" xml:space="preserve"> IF( $D79 &gt; 1, OFFSET( 'INPUTS│Performance Commitments'!$J$147, MATCH( $C79, 'INPUTS│Performance Commitments'!$C$147:$C$159, 0 ), MATCH( $X$4, 'INPUTS│Performance Commitments'!$K$3:$L$3, 0 ) ), "-" )</f>
        <v>-</v>
      </c>
    </row>
    <row r="80" spans="2:26" hidden="1" outlineLevel="1" x14ac:dyDescent="0.2">
      <c r="C80" s="8" t="s">
        <v>81</v>
      </c>
      <c r="D80" s="202">
        <f xml:space="preserve"> COUNTIF( 'INPUTS│Performance Commitments'!$C$147:$C$159, C80 )</f>
        <v>1</v>
      </c>
      <c r="E80" s="51"/>
      <c r="F80" s="115">
        <f xml:space="preserve"> _xlfn.IFNA( VLOOKUP( $C80, 'INPUTS│Performance Commitments'!$C$163:$I$175, MATCH( F$4, 'INPUTS│Performance Commitments'!$G$3:$I$3, 0 ) + 4, 0 ), "-" )</f>
        <v>221</v>
      </c>
      <c r="G80" s="115" t="str">
        <f ca="1" xml:space="preserve"> IF( $D80 &gt; 1, OFFSET( 'INPUTS│Performance Commitments'!$F$163, MATCH( $C80, 'INPUTS│Performance Commitments'!$C$163:$C$175, 0 ), MATCH( $F$4, 'INPUTS│Performance Commitments'!$G$3:$I$3, 0 ) ), "-" )</f>
        <v>-</v>
      </c>
      <c r="H80" s="115">
        <f xml:space="preserve"> _xlfn.IFNA( VLOOKUP( $C80, 'INPUTS│Performance Commitments'!$C$147:$I$159, MATCH( H$4, 'INPUTS│Performance Commitments'!$G$3:$I$3, 0 ) + 4, 0 ), "-" )</f>
        <v>292</v>
      </c>
      <c r="I80" s="115" t="str">
        <f ca="1" xml:space="preserve"> IF( $D80 &gt; 1, OFFSET( 'INPUTS│Performance Commitments'!$F$147, MATCH( $C80, 'INPUTS│Performance Commitments'!$C$147:$C$159, 0 ), MATCH( $H$4, 'INPUTS│Performance Commitments'!$G$3:$I$3, 0 ) ), "-" )</f>
        <v>-</v>
      </c>
      <c r="J80" s="82" t="str">
        <f t="shared" ref="J80:J89" si="25" xml:space="preserve"> IF( H80 &lt;&gt; "-", IF( F80 &lt;= H80, "Met", "Failed" ), "-" )</f>
        <v>Met</v>
      </c>
      <c r="K80" s="82" t="str">
        <f t="shared" ref="K80:K89" ca="1" si="26" xml:space="preserve"> IF( I80 &lt;&gt; "-", IF( G80 &lt;= I80, "Met", "Failed" ), "-" )</f>
        <v>-</v>
      </c>
      <c r="L80" s="282">
        <f ca="1" xml:space="preserve"> IF( H80 = "-", "-", COUNTIF( J80:K80, "Met" ) / $D80 )</f>
        <v>1</v>
      </c>
      <c r="M80" s="51"/>
      <c r="N80" s="115">
        <f xml:space="preserve"> _xlfn.IFNA( VLOOKUP( $C80, 'INPUTS│Performance Commitments'!$C$163:$I$175, MATCH( N$4, 'INPUTS│Performance Commitments'!$G$3:$I$3, 0 ) + 4, 0 ), "-" )</f>
        <v>221</v>
      </c>
      <c r="O80" s="115" t="str">
        <f ca="1" xml:space="preserve"> IF( $D80 &gt; 1, OFFSET( 'INPUTS│Performance Commitments'!$F$163, MATCH( $C80, 'INPUTS│Performance Commitments'!$C$163:$C$175, 0 ), MATCH( $N$4, 'INPUTS│Performance Commitments'!$G$3:$I$3, 0 ) ), "-" )</f>
        <v>-</v>
      </c>
      <c r="P80" s="115">
        <f xml:space="preserve"> _xlfn.IFNA( VLOOKUP( $C80, 'INPUTS│Performance Commitments'!$C$147:$I$159, MATCH( P$4, 'INPUTS│Performance Commitments'!$G$3:$I$3, 0 ) + 4, 0 ), "-" )</f>
        <v>282</v>
      </c>
      <c r="Q80" s="115" t="str">
        <f ca="1" xml:space="preserve"> IF( $D80 &gt; 1, OFFSET( 'INPUTS│Performance Commitments'!$F$147, MATCH( $C80, 'INPUTS│Performance Commitments'!$C$147:$C$159, 0 ), MATCH( $P$4, 'INPUTS│Performance Commitments'!$G$3:$I$3, 0 ) ), "-" )</f>
        <v>-</v>
      </c>
      <c r="R80" s="82" t="str">
        <f t="shared" ref="R80:R89" si="27" xml:space="preserve"> IF( P80 &lt;&gt; "-", IF( N80 &lt;= P80, "Met", "Failed" ), "-" )</f>
        <v>Met</v>
      </c>
      <c r="S80" s="82" t="str">
        <f t="shared" ref="S80:S89" ca="1" si="28" xml:space="preserve"> IF( Q80 &lt;&gt; "-", IF( O80 &lt;= Q80, "Met", "Failed" ), "-" )</f>
        <v>-</v>
      </c>
      <c r="T80" s="282">
        <f t="shared" ca="1" si="24"/>
        <v>1</v>
      </c>
      <c r="U80" s="51"/>
      <c r="V80" s="274">
        <f xml:space="preserve"> _xlfn.IFNA( VLOOKUP( $C80, 'INPUTS│Performance Commitments'!$C$163:$L$175, MATCH( V$4, 'INPUTS│Performance Commitments'!$K$3:$L$3, 0 ) + 8, 0 ), "-" )</f>
        <v>221</v>
      </c>
      <c r="W80" s="274" t="str">
        <f ca="1" xml:space="preserve"> IF( $D80 &gt; 1, OFFSET( 'INPUTS│Performance Commitments'!$J$163, MATCH( $C80, 'INPUTS│Performance Commitments'!$C$163:$C$175, 0 ), MATCH( $V$4, 'INPUTS│Performance Commitments'!$K$3:$L$3, 0 ) ), "-" )</f>
        <v>-</v>
      </c>
      <c r="X80" s="274">
        <f xml:space="preserve"> _xlfn.IFNA( VLOOKUP( $C80, 'INPUTS│Performance Commitments'!$C$147:$L$159, MATCH( X$4, 'INPUTS│Performance Commitments'!$K$3:$L$3, 0 ) + 8, 0 ), "-" )</f>
        <v>282</v>
      </c>
      <c r="Y80" s="274" t="str">
        <f ca="1" xml:space="preserve"> IF( $D80 &gt; 1, OFFSET( 'INPUTS│Performance Commitments'!$J$147, MATCH( $C80, 'INPUTS│Performance Commitments'!$C$147:$C$159, 0 ), MATCH( $X$4, 'INPUTS│Performance Commitments'!$K$3:$L$3, 0 ) ), "-" )</f>
        <v>-</v>
      </c>
    </row>
    <row r="81" spans="2:26" hidden="1" outlineLevel="1" x14ac:dyDescent="0.2">
      <c r="C81" s="8" t="s">
        <v>84</v>
      </c>
      <c r="D81" s="202">
        <f xml:space="preserve"> COUNTIF( 'INPUTS│Performance Commitments'!$C$147:$C$159, C81 )</f>
        <v>1</v>
      </c>
      <c r="E81" s="51"/>
      <c r="F81" s="115" t="str">
        <f xml:space="preserve"> _xlfn.IFNA( VLOOKUP( $C81, 'INPUTS│Performance Commitments'!$C$163:$I$175, MATCH( F$4, 'INPUTS│Performance Commitments'!$G$3:$I$3, 0 ) + 4, 0 ), "-" )</f>
        <v>-</v>
      </c>
      <c r="G81" s="115" t="str">
        <f ca="1" xml:space="preserve"> IF( $D81 &gt; 1, OFFSET( 'INPUTS│Performance Commitments'!$F$163, MATCH( $C81, 'INPUTS│Performance Commitments'!$C$163:$C$175, 0 ), MATCH( $F$4, 'INPUTS│Performance Commitments'!$G$3:$I$3, 0 ) ), "-" )</f>
        <v>-</v>
      </c>
      <c r="H81" s="115" t="str">
        <f xml:space="preserve"> _xlfn.IFNA( VLOOKUP( $C81, 'INPUTS│Performance Commitments'!$C$147:$I$159, MATCH( H$4, 'INPUTS│Performance Commitments'!$G$3:$I$3, 0 ) + 4, 0 ), "-" )</f>
        <v>-</v>
      </c>
      <c r="I81" s="115" t="str">
        <f ca="1" xml:space="preserve"> IF( $D81 &gt; 1, OFFSET( 'INPUTS│Performance Commitments'!$F$147, MATCH( $C81, 'INPUTS│Performance Commitments'!$C$147:$C$159, 0 ), MATCH( $H$4, 'INPUTS│Performance Commitments'!$G$3:$I$3, 0 ) ), "-" )</f>
        <v>-</v>
      </c>
      <c r="J81" s="82" t="str">
        <f t="shared" si="25"/>
        <v>-</v>
      </c>
      <c r="K81" s="82" t="str">
        <f t="shared" ca="1" si="26"/>
        <v>-</v>
      </c>
      <c r="L81" s="282" t="str">
        <f xml:space="preserve"> IF( H81 = "-", "-", COUNTIF( J81:K81, "Met" ) / $D81 )</f>
        <v>-</v>
      </c>
      <c r="M81" s="51"/>
      <c r="N81" s="115">
        <f xml:space="preserve"> _xlfn.IFNA( VLOOKUP( $C81, 'INPUTS│Performance Commitments'!$C$163:$I$175, MATCH( N$4, 'INPUTS│Performance Commitments'!$G$3:$I$3, 0 ) + 4, 0 ), "-" )</f>
        <v>4</v>
      </c>
      <c r="O81" s="115" t="str">
        <f ca="1" xml:space="preserve"> IF( $D81 &gt; 1, OFFSET( 'INPUTS│Performance Commitments'!$F$163, MATCH( $C81, 'INPUTS│Performance Commitments'!$C$163:$C$175, 0 ), MATCH( $N$4, 'INPUTS│Performance Commitments'!$G$3:$I$3, 0 ) ), "-" )</f>
        <v>-</v>
      </c>
      <c r="P81" s="115">
        <f xml:space="preserve"> _xlfn.IFNA( VLOOKUP( $C81, 'INPUTS│Performance Commitments'!$C$147:$I$159, MATCH( P$4, 'INPUTS│Performance Commitments'!$G$3:$I$3, 0 ) + 4, 0 ), "-" )</f>
        <v>5</v>
      </c>
      <c r="Q81" s="115" t="str">
        <f ca="1" xml:space="preserve"> IF( $D81 &gt; 1, OFFSET( 'INPUTS│Performance Commitments'!$F$147, MATCH( $C81, 'INPUTS│Performance Commitments'!$C$147:$C$159, 0 ), MATCH( $P$4, 'INPUTS│Performance Commitments'!$G$3:$I$3, 0 ) ), "-" )</f>
        <v>-</v>
      </c>
      <c r="R81" s="82" t="str">
        <f t="shared" si="27"/>
        <v>Met</v>
      </c>
      <c r="S81" s="82" t="str">
        <f t="shared" ca="1" si="28"/>
        <v>-</v>
      </c>
      <c r="T81" s="282">
        <f t="shared" ca="1" si="24"/>
        <v>1</v>
      </c>
      <c r="U81" s="51"/>
      <c r="V81" s="274">
        <f xml:space="preserve"> _xlfn.IFNA( VLOOKUP( $C81, 'INPUTS│Performance Commitments'!$C$163:$L$175, MATCH( V$4, 'INPUTS│Performance Commitments'!$K$3:$L$3, 0 ) + 8, 0 ), "-" )</f>
        <v>4</v>
      </c>
      <c r="W81" s="274" t="str">
        <f ca="1" xml:space="preserve"> IF( $D81 &gt; 1, OFFSET( 'INPUTS│Performance Commitments'!$J$163, MATCH( $C81, 'INPUTS│Performance Commitments'!$C$163:$C$175, 0 ), MATCH( $V$4, 'INPUTS│Performance Commitments'!$K$3:$L$3, 0 ) ), "-" )</f>
        <v>-</v>
      </c>
      <c r="X81" s="274">
        <f xml:space="preserve"> _xlfn.IFNA( VLOOKUP( $C81, 'INPUTS│Performance Commitments'!$C$147:$L$159, MATCH( X$4, 'INPUTS│Performance Commitments'!$K$3:$L$3, 0 ) + 8, 0 ), "-" )</f>
        <v>5</v>
      </c>
      <c r="Y81" s="274" t="str">
        <f ca="1" xml:space="preserve"> IF( $D81 &gt; 1, OFFSET( 'INPUTS│Performance Commitments'!$J$147, MATCH( $C81, 'INPUTS│Performance Commitments'!$C$147:$C$159, 0 ), MATCH( $X$4, 'INPUTS│Performance Commitments'!$K$3:$L$3, 0 ) ), "-" )</f>
        <v>-</v>
      </c>
    </row>
    <row r="82" spans="2:26" hidden="1" outlineLevel="1" x14ac:dyDescent="0.2">
      <c r="C82" s="8" t="s">
        <v>86</v>
      </c>
      <c r="D82" s="202">
        <f xml:space="preserve"> COUNTIF( 'INPUTS│Performance Commitments'!$C$147:$C$159, C82 )</f>
        <v>2</v>
      </c>
      <c r="E82" s="51"/>
      <c r="F82" s="115">
        <f xml:space="preserve"> _xlfn.IFNA( VLOOKUP( $C82, 'INPUTS│Performance Commitments'!$C$163:$I$175, MATCH( F$4, 'INPUTS│Performance Commitments'!$G$3:$I$3, 0 ) + 4, 0 ), "-" )</f>
        <v>96</v>
      </c>
      <c r="G82" s="115">
        <f ca="1" xml:space="preserve"> IF( $D82 &gt; 1, OFFSET( 'INPUTS│Performance Commitments'!$F$163, MATCH( $C82, 'INPUTS│Performance Commitments'!$C$163:$C$175, 0 ), MATCH( $F$4, 'INPUTS│Performance Commitments'!$G$3:$I$3, 0 ) ), "-" )</f>
        <v>199</v>
      </c>
      <c r="H82" s="115">
        <f xml:space="preserve"> _xlfn.IFNA( VLOOKUP( $C82, 'INPUTS│Performance Commitments'!$C$147:$I$159, MATCH( H$4, 'INPUTS│Performance Commitments'!$G$3:$I$3, 0 ) + 4, 0 ), "-" )</f>
        <v>186</v>
      </c>
      <c r="I82" s="115">
        <f ca="1" xml:space="preserve"> IF( $D82 &gt; 1, OFFSET( 'INPUTS│Performance Commitments'!$F$147, MATCH( $C82, 'INPUTS│Performance Commitments'!$C$147:$C$159, 0 ), MATCH( $H$4, 'INPUTS│Performance Commitments'!$G$3:$I$3, 0 ) ), "-" )</f>
        <v>228</v>
      </c>
      <c r="J82" s="82" t="str">
        <f t="shared" si="25"/>
        <v>Met</v>
      </c>
      <c r="K82" s="82" t="str">
        <f t="shared" ca="1" si="26"/>
        <v>Met</v>
      </c>
      <c r="L82" s="282">
        <f ca="1" xml:space="preserve"> IF( H82 = "-", "-", COUNTIF( J82:K82, "Met" ) / $D82 )</f>
        <v>1</v>
      </c>
      <c r="M82" s="51"/>
      <c r="N82" s="115">
        <f xml:space="preserve"> _xlfn.IFNA( VLOOKUP( $C82, 'INPUTS│Performance Commitments'!$C$163:$I$175, MATCH( N$4, 'INPUTS│Performance Commitments'!$G$3:$I$3, 0 ) + 4, 0 ), "-" )</f>
        <v>124</v>
      </c>
      <c r="O82" s="115">
        <f ca="1" xml:space="preserve"> IF( $D82 &gt; 1, OFFSET( 'INPUTS│Performance Commitments'!$F$163, MATCH( $C82, 'INPUTS│Performance Commitments'!$C$163:$C$175, 0 ), MATCH( $N$4, 'INPUTS│Performance Commitments'!$G$3:$I$3, 0 ) ), "-" )</f>
        <v>246</v>
      </c>
      <c r="P82" s="115">
        <f xml:space="preserve"> _xlfn.IFNA( VLOOKUP( $C82, 'INPUTS│Performance Commitments'!$C$147:$I$159, MATCH( P$4, 'INPUTS│Performance Commitments'!$G$3:$I$3, 0 ) + 4, 0 ), "-" )</f>
        <v>186</v>
      </c>
      <c r="Q82" s="115">
        <f ca="1" xml:space="preserve"> IF( $D82 &gt; 1, OFFSET( 'INPUTS│Performance Commitments'!$F$147, MATCH( $C82, 'INPUTS│Performance Commitments'!$C$147:$C$159, 0 ), MATCH( $P$4, 'INPUTS│Performance Commitments'!$G$3:$I$3, 0 ) ), "-" )</f>
        <v>228</v>
      </c>
      <c r="R82" s="82" t="str">
        <f t="shared" si="27"/>
        <v>Met</v>
      </c>
      <c r="S82" s="82" t="str">
        <f t="shared" ca="1" si="28"/>
        <v>Failed</v>
      </c>
      <c r="T82" s="282">
        <f t="shared" ca="1" si="24"/>
        <v>0.5</v>
      </c>
      <c r="U82" s="51"/>
      <c r="V82" s="274">
        <f xml:space="preserve"> _xlfn.IFNA( VLOOKUP( $C82, 'INPUTS│Performance Commitments'!$C$163:$L$175, MATCH( V$4, 'INPUTS│Performance Commitments'!$K$3:$L$3, 0 ) + 8, 0 ), "-" )</f>
        <v>124</v>
      </c>
      <c r="W82" s="274">
        <f ca="1" xml:space="preserve"> IF( $D82 &gt; 1, OFFSET( 'INPUTS│Performance Commitments'!$J$163, MATCH( $C82, 'INPUTS│Performance Commitments'!$C$163:$C$175, 0 ), MATCH( $V$4, 'INPUTS│Performance Commitments'!$K$3:$L$3, 0 ) ), "-" )</f>
        <v>246</v>
      </c>
      <c r="X82" s="274">
        <f xml:space="preserve"> _xlfn.IFNA( VLOOKUP( $C82, 'INPUTS│Performance Commitments'!$C$147:$L$159, MATCH( X$4, 'INPUTS│Performance Commitments'!$K$3:$L$3, 0 ) + 8, 0 ), "-" )</f>
        <v>186</v>
      </c>
      <c r="Y82" s="274">
        <f ca="1" xml:space="preserve"> IF( $D82 &gt; 1, OFFSET( 'INPUTS│Performance Commitments'!$J$147, MATCH( $C82, 'INPUTS│Performance Commitments'!$C$147:$C$159, 0 ), MATCH( $X$4, 'INPUTS│Performance Commitments'!$K$3:$L$3, 0 ) ), "-" )</f>
        <v>228</v>
      </c>
    </row>
    <row r="83" spans="2:26" hidden="1" outlineLevel="1" x14ac:dyDescent="0.2">
      <c r="C83" s="8" t="s">
        <v>88</v>
      </c>
      <c r="D83" s="202">
        <f xml:space="preserve"> COUNTIF( 'INPUTS│Performance Commitments'!$C$147:$C$159, C83 )</f>
        <v>1</v>
      </c>
      <c r="E83" s="51"/>
      <c r="F83" s="115" t="str">
        <f xml:space="preserve"> _xlfn.IFNA( VLOOKUP( $C83, 'INPUTS│Performance Commitments'!$C$163:$I$175, MATCH( F$4, 'INPUTS│Performance Commitments'!$G$3:$I$3, 0 ) + 4, 0 ), "-" )</f>
        <v>-</v>
      </c>
      <c r="G83" s="115" t="str">
        <f ca="1" xml:space="preserve"> IF( $D83 &gt; 1, OFFSET( 'INPUTS│Performance Commitments'!$F$163, MATCH( $C83, 'INPUTS│Performance Commitments'!$C$163:$C$175, 0 ), MATCH( $F$4, 'INPUTS│Performance Commitments'!$G$3:$I$3, 0 ) ), "-" )</f>
        <v>-</v>
      </c>
      <c r="H83" s="115" t="str">
        <f xml:space="preserve"> _xlfn.IFNA( VLOOKUP( $C83, 'INPUTS│Performance Commitments'!$C$147:$I$159, MATCH( H$4, 'INPUTS│Performance Commitments'!$G$3:$I$3, 0 ) + 4, 0 ), "-" )</f>
        <v>-</v>
      </c>
      <c r="I83" s="115" t="str">
        <f ca="1" xml:space="preserve"> IF( $D83 &gt; 1, OFFSET( 'INPUTS│Performance Commitments'!$F$147, MATCH( $C83, 'INPUTS│Performance Commitments'!$C$147:$C$159, 0 ), MATCH( $H$4, 'INPUTS│Performance Commitments'!$G$3:$I$3, 0 ) ), "-" )</f>
        <v>-</v>
      </c>
      <c r="J83" s="82" t="str">
        <f t="shared" si="25"/>
        <v>-</v>
      </c>
      <c r="K83" s="82" t="str">
        <f t="shared" ca="1" si="26"/>
        <v>-</v>
      </c>
      <c r="L83" s="282" t="str">
        <f xml:space="preserve"> IF( H83 = "-", "-", COUNTIF( J83:K83, "Met" ) / $D83 )</f>
        <v>-</v>
      </c>
      <c r="M83" s="51"/>
      <c r="N83" s="115">
        <f xml:space="preserve"> _xlfn.IFNA( VLOOKUP( $C83, 'INPUTS│Performance Commitments'!$C$163:$I$175, MATCH( N$4, 'INPUTS│Performance Commitments'!$G$3:$I$3, 0 ) + 4, 0 ), "-" )</f>
        <v>725</v>
      </c>
      <c r="O83" s="115" t="str">
        <f ca="1" xml:space="preserve"> IF( $D83 &gt; 1, OFFSET( 'INPUTS│Performance Commitments'!$F$163, MATCH( $C83, 'INPUTS│Performance Commitments'!$C$163:$C$175, 0 ), MATCH( $N$4, 'INPUTS│Performance Commitments'!$G$3:$I$3, 0 ) ), "-" )</f>
        <v>-</v>
      </c>
      <c r="P83" s="115">
        <f xml:space="preserve"> _xlfn.IFNA( VLOOKUP( $C83, 'INPUTS│Performance Commitments'!$C$147:$I$159, MATCH( P$4, 'INPUTS│Performance Commitments'!$G$3:$I$3, 0 ) + 4, 0 ), "-" )</f>
        <v>868</v>
      </c>
      <c r="Q83" s="115" t="str">
        <f ca="1" xml:space="preserve"> IF( $D83 &gt; 1, OFFSET( 'INPUTS│Performance Commitments'!$F$147, MATCH( $C83, 'INPUTS│Performance Commitments'!$C$147:$C$159, 0 ), MATCH( $P$4, 'INPUTS│Performance Commitments'!$G$3:$I$3, 0 ) ), "-" )</f>
        <v>-</v>
      </c>
      <c r="R83" s="82" t="str">
        <f t="shared" si="27"/>
        <v>Met</v>
      </c>
      <c r="S83" s="82" t="str">
        <f t="shared" ca="1" si="28"/>
        <v>-</v>
      </c>
      <c r="T83" s="282">
        <f t="shared" ca="1" si="24"/>
        <v>1</v>
      </c>
      <c r="U83" s="51"/>
      <c r="V83" s="274">
        <f xml:space="preserve"> _xlfn.IFNA( VLOOKUP( $C83, 'INPUTS│Performance Commitments'!$C$163:$L$175, MATCH( V$4, 'INPUTS│Performance Commitments'!$K$3:$L$3, 0 ) + 8, 0 ), "-" )</f>
        <v>725</v>
      </c>
      <c r="W83" s="274" t="str">
        <f ca="1" xml:space="preserve"> IF( $D83 &gt; 1, OFFSET( 'INPUTS│Performance Commitments'!$J$163, MATCH( $C83, 'INPUTS│Performance Commitments'!$C$163:$C$175, 0 ), MATCH( $V$4, 'INPUTS│Performance Commitments'!$K$3:$L$3, 0 ) ), "-" )</f>
        <v>-</v>
      </c>
      <c r="X83" s="274">
        <f xml:space="preserve"> _xlfn.IFNA( VLOOKUP( $C83, 'INPUTS│Performance Commitments'!$C$147:$L$159, MATCH( X$4, 'INPUTS│Performance Commitments'!$K$3:$L$3, 0 ) + 8, 0 ), "-" )</f>
        <v>868</v>
      </c>
      <c r="Y83" s="274" t="str">
        <f ca="1" xml:space="preserve"> IF( $D83 &gt; 1, OFFSET( 'INPUTS│Performance Commitments'!$J$147, MATCH( $C83, 'INPUTS│Performance Commitments'!$C$147:$C$159, 0 ), MATCH( $X$4, 'INPUTS│Performance Commitments'!$K$3:$L$3, 0 ) ), "-" )</f>
        <v>-</v>
      </c>
    </row>
    <row r="84" spans="2:26" hidden="1" outlineLevel="1" x14ac:dyDescent="0.2">
      <c r="C84" s="8" t="s">
        <v>117</v>
      </c>
      <c r="D84" s="202">
        <f xml:space="preserve"> COUNTIF( 'INPUTS│Performance Commitments'!$C$147:$C$159, C84 )</f>
        <v>1</v>
      </c>
      <c r="E84" s="51"/>
      <c r="F84" s="115">
        <f xml:space="preserve"> _xlfn.IFNA( VLOOKUP( $C84, 'INPUTS│Performance Commitments'!$C$163:$I$175, MATCH( F$4, 'INPUTS│Performance Commitments'!$G$3:$I$3, 0 ) + 4, 0 ), "-" )</f>
        <v>141</v>
      </c>
      <c r="G84" s="115" t="str">
        <f ca="1" xml:space="preserve"> IF( $D84 &gt; 1, OFFSET( 'INPUTS│Performance Commitments'!$F$163, MATCH( $C84, 'INPUTS│Performance Commitments'!$C$163:$C$175, 0 ), MATCH( $F$4, 'INPUTS│Performance Commitments'!$G$3:$I$3, 0 ) ), "-" )</f>
        <v>-</v>
      </c>
      <c r="H84" s="115">
        <f xml:space="preserve"> _xlfn.IFNA( VLOOKUP( $C84, 'INPUTS│Performance Commitments'!$C$147:$I$159, MATCH( H$4, 'INPUTS│Performance Commitments'!$G$3:$I$3, 0 ) + 4, 0 ), "-" )</f>
        <v>144</v>
      </c>
      <c r="I84" s="115" t="str">
        <f ca="1" xml:space="preserve"> IF( $D84 &gt; 1, OFFSET( 'INPUTS│Performance Commitments'!$F$147, MATCH( $C84, 'INPUTS│Performance Commitments'!$C$147:$C$159, 0 ), MATCH( $H$4, 'INPUTS│Performance Commitments'!$G$3:$I$3, 0 ) ), "-" )</f>
        <v>-</v>
      </c>
      <c r="J84" s="82" t="str">
        <f t="shared" si="25"/>
        <v>Met</v>
      </c>
      <c r="K84" s="82" t="str">
        <f t="shared" ca="1" si="26"/>
        <v>-</v>
      </c>
      <c r="L84" s="282">
        <f t="shared" ref="L84:L89" ca="1" si="29" xml:space="preserve"> IF( H84 = "-", "-", COUNTIF( J84:K84, "Met" ) / $D84 )</f>
        <v>1</v>
      </c>
      <c r="M84" s="51"/>
      <c r="N84" s="115">
        <f xml:space="preserve"> _xlfn.IFNA( VLOOKUP( $C84, 'INPUTS│Performance Commitments'!$C$163:$I$175, MATCH( N$4, 'INPUTS│Performance Commitments'!$G$3:$I$3, 0 ) + 4, 0 ), "-" )</f>
        <v>93</v>
      </c>
      <c r="O84" s="115" t="str">
        <f ca="1" xml:space="preserve"> IF( $D84 &gt; 1, OFFSET( 'INPUTS│Performance Commitments'!$F$163, MATCH( $C84, 'INPUTS│Performance Commitments'!$C$163:$C$175, 0 ), MATCH( $N$4, 'INPUTS│Performance Commitments'!$G$3:$I$3, 0 ) ), "-" )</f>
        <v>-</v>
      </c>
      <c r="P84" s="115">
        <f xml:space="preserve"> _xlfn.IFNA( VLOOKUP( $C84, 'INPUTS│Performance Commitments'!$C$147:$I$159, MATCH( P$4, 'INPUTS│Performance Commitments'!$G$3:$I$3, 0 ) + 4, 0 ), "-" )</f>
        <v>139</v>
      </c>
      <c r="Q84" s="115" t="str">
        <f ca="1" xml:space="preserve"> IF( $D84 &gt; 1, OFFSET( 'INPUTS│Performance Commitments'!$F$147, MATCH( $C84, 'INPUTS│Performance Commitments'!$C$147:$C$159, 0 ), MATCH( $P$4, 'INPUTS│Performance Commitments'!$G$3:$I$3, 0 ) ), "-" )</f>
        <v>-</v>
      </c>
      <c r="R84" s="82" t="str">
        <f t="shared" si="27"/>
        <v>Met</v>
      </c>
      <c r="S84" s="82" t="str">
        <f t="shared" ca="1" si="28"/>
        <v>-</v>
      </c>
      <c r="T84" s="282">
        <f t="shared" ca="1" si="24"/>
        <v>1</v>
      </c>
      <c r="U84" s="51"/>
      <c r="V84" s="274">
        <f xml:space="preserve"> _xlfn.IFNA( VLOOKUP( $C84, 'INPUTS│Performance Commitments'!$C$163:$L$175, MATCH( V$4, 'INPUTS│Performance Commitments'!$K$3:$L$3, 0 ) + 8, 0 ), "-" )</f>
        <v>93</v>
      </c>
      <c r="W84" s="274" t="str">
        <f ca="1" xml:space="preserve"> IF( $D84 &gt; 1, OFFSET( 'INPUTS│Performance Commitments'!$J$163, MATCH( $C84, 'INPUTS│Performance Commitments'!$C$163:$C$175, 0 ), MATCH( $V$4, 'INPUTS│Performance Commitments'!$K$3:$L$3, 0 ) ), "-" )</f>
        <v>-</v>
      </c>
      <c r="X84" s="274">
        <f xml:space="preserve"> _xlfn.IFNA( VLOOKUP( $C84, 'INPUTS│Performance Commitments'!$C$147:$L$159, MATCH( X$4, 'INPUTS│Performance Commitments'!$K$3:$L$3, 0 ) + 8, 0 ), "-" )</f>
        <v>139</v>
      </c>
      <c r="Y84" s="274" t="str">
        <f ca="1" xml:space="preserve"> IF( $D84 &gt; 1, OFFSET( 'INPUTS│Performance Commitments'!$J$147, MATCH( $C84, 'INPUTS│Performance Commitments'!$C$147:$C$159, 0 ), MATCH( $X$4, 'INPUTS│Performance Commitments'!$K$3:$L$3, 0 ) ), "-" )</f>
        <v>-</v>
      </c>
    </row>
    <row r="85" spans="2:26" hidden="1" outlineLevel="1" x14ac:dyDescent="0.2">
      <c r="C85" s="8" t="s">
        <v>93</v>
      </c>
      <c r="D85" s="202">
        <f xml:space="preserve"> COUNTIF( 'INPUTS│Performance Commitments'!$C$147:$C$159, C85 )</f>
        <v>1</v>
      </c>
      <c r="E85" s="51"/>
      <c r="F85" s="115">
        <f xml:space="preserve"> _xlfn.IFNA( VLOOKUP( $C85, 'INPUTS│Performance Commitments'!$C$163:$I$175, MATCH( F$4, 'INPUTS│Performance Commitments'!$G$3:$I$3, 0 ) + 4, 0 ), "-" )</f>
        <v>401</v>
      </c>
      <c r="G85" s="115" t="str">
        <f ca="1" xml:space="preserve"> IF( $D85 &gt; 1, OFFSET( 'INPUTS│Performance Commitments'!$F$163, MATCH( $C85, 'INPUTS│Performance Commitments'!$C$163:$C$175, 0 ), MATCH( $F$4, 'INPUTS│Performance Commitments'!$G$3:$I$3, 0 ) ), "-" )</f>
        <v>-</v>
      </c>
      <c r="H85" s="115">
        <f xml:space="preserve"> _xlfn.IFNA( VLOOKUP( $C85, 'INPUTS│Performance Commitments'!$C$147:$I$159, MATCH( H$4, 'INPUTS│Performance Commitments'!$G$3:$I$3, 0 ) + 4, 0 ), "-" )</f>
        <v>414</v>
      </c>
      <c r="I85" s="115" t="str">
        <f ca="1" xml:space="preserve"> IF( $D85 &gt; 1, OFFSET( 'INPUTS│Performance Commitments'!$F$147, MATCH( $C85, 'INPUTS│Performance Commitments'!$C$147:$C$159, 0 ), MATCH( $H$4, 'INPUTS│Performance Commitments'!$G$3:$I$3, 0 ) ), "-" )</f>
        <v>-</v>
      </c>
      <c r="J85" s="82" t="str">
        <f t="shared" si="25"/>
        <v>Met</v>
      </c>
      <c r="K85" s="82" t="str">
        <f t="shared" ca="1" si="26"/>
        <v>-</v>
      </c>
      <c r="L85" s="282">
        <f t="shared" ca="1" si="29"/>
        <v>1</v>
      </c>
      <c r="M85" s="51"/>
      <c r="N85" s="115">
        <f xml:space="preserve"> _xlfn.IFNA( VLOOKUP( $C85, 'INPUTS│Performance Commitments'!$C$163:$I$175, MATCH( N$4, 'INPUTS│Performance Commitments'!$G$3:$I$3, 0 ) + 4, 0 ), "-" )</f>
        <v>389</v>
      </c>
      <c r="O85" s="115" t="str">
        <f ca="1" xml:space="preserve"> IF( $D85 &gt; 1, OFFSET( 'INPUTS│Performance Commitments'!$F$163, MATCH( $C85, 'INPUTS│Performance Commitments'!$C$163:$C$175, 0 ), MATCH( $N$4, 'INPUTS│Performance Commitments'!$G$3:$I$3, 0 ) ), "-" )</f>
        <v>-</v>
      </c>
      <c r="P85" s="115">
        <f xml:space="preserve"> _xlfn.IFNA( VLOOKUP( $C85, 'INPUTS│Performance Commitments'!$C$147:$I$159, MATCH( P$4, 'INPUTS│Performance Commitments'!$G$3:$I$3, 0 ) + 4, 0 ), "-" )</f>
        <v>392</v>
      </c>
      <c r="Q85" s="115" t="str">
        <f ca="1" xml:space="preserve"> IF( $D85 &gt; 1, OFFSET( 'INPUTS│Performance Commitments'!$F$147, MATCH( $C85, 'INPUTS│Performance Commitments'!$C$147:$C$159, 0 ), MATCH( $P$4, 'INPUTS│Performance Commitments'!$G$3:$I$3, 0 ) ), "-" )</f>
        <v>-</v>
      </c>
      <c r="R85" s="82" t="str">
        <f t="shared" si="27"/>
        <v>Met</v>
      </c>
      <c r="S85" s="82" t="str">
        <f t="shared" ca="1" si="28"/>
        <v>-</v>
      </c>
      <c r="T85" s="282">
        <f t="shared" ca="1" si="24"/>
        <v>1</v>
      </c>
      <c r="U85" s="51"/>
      <c r="V85" s="274">
        <f xml:space="preserve"> _xlfn.IFNA( VLOOKUP( $C85, 'INPUTS│Performance Commitments'!$C$163:$L$175, MATCH( V$4, 'INPUTS│Performance Commitments'!$K$3:$L$3, 0 ) + 8, 0 ), "-" )</f>
        <v>389</v>
      </c>
      <c r="W85" s="274" t="str">
        <f ca="1" xml:space="preserve"> IF( $D85 &gt; 1, OFFSET( 'INPUTS│Performance Commitments'!$J$163, MATCH( $C85, 'INPUTS│Performance Commitments'!$C$163:$C$175, 0 ), MATCH( $V$4, 'INPUTS│Performance Commitments'!$K$3:$L$3, 0 ) ), "-" )</f>
        <v>-</v>
      </c>
      <c r="X85" s="274">
        <f xml:space="preserve"> _xlfn.IFNA( VLOOKUP( $C85, 'INPUTS│Performance Commitments'!$C$147:$L$159, MATCH( X$4, 'INPUTS│Performance Commitments'!$K$3:$L$3, 0 ) + 8, 0 ), "-" )</f>
        <v>392</v>
      </c>
      <c r="Y85" s="274" t="str">
        <f ca="1" xml:space="preserve"> IF( $D85 &gt; 1, OFFSET( 'INPUTS│Performance Commitments'!$J$147, MATCH( $C85, 'INPUTS│Performance Commitments'!$C$147:$C$159, 0 ), MATCH( $X$4, 'INPUTS│Performance Commitments'!$K$3:$L$3, 0 ) ), "-" )</f>
        <v>-</v>
      </c>
    </row>
    <row r="86" spans="2:26" hidden="1" outlineLevel="1" x14ac:dyDescent="0.2">
      <c r="C86" s="8" t="s">
        <v>95</v>
      </c>
      <c r="D86" s="202">
        <f xml:space="preserve"> COUNTIF( 'INPUTS│Performance Commitments'!$C$147:$C$159, C86 )</f>
        <v>1</v>
      </c>
      <c r="E86" s="51"/>
      <c r="F86" s="115">
        <f xml:space="preserve"> _xlfn.IFNA( VLOOKUP( $C86, 'INPUTS│Performance Commitments'!$C$163:$I$175, MATCH( F$4, 'INPUTS│Performance Commitments'!$G$3:$I$3, 0 ) + 4, 0 ), "-" )</f>
        <v>1062</v>
      </c>
      <c r="G86" s="115" t="str">
        <f ca="1" xml:space="preserve"> IF( $D86 &gt; 1, OFFSET( 'INPUTS│Performance Commitments'!$F$163, MATCH( $C86, 'INPUTS│Performance Commitments'!$C$163:$C$175, 0 ), MATCH( $F$4, 'INPUTS│Performance Commitments'!$G$3:$I$3, 0 ) ), "-" )</f>
        <v>-</v>
      </c>
      <c r="H86" s="115">
        <f xml:space="preserve"> _xlfn.IFNA( VLOOKUP( $C86, 'INPUTS│Performance Commitments'!$C$147:$I$159, MATCH( H$4, 'INPUTS│Performance Commitments'!$G$3:$I$3, 0 ) + 4, 0 ), "-" )</f>
        <v>1085</v>
      </c>
      <c r="I86" s="115" t="str">
        <f ca="1" xml:space="preserve"> IF( $D86 &gt; 1, OFFSET( 'INPUTS│Performance Commitments'!$F$147, MATCH( $C86, 'INPUTS│Performance Commitments'!$C$147:$C$159, 0 ), MATCH( $H$4, 'INPUTS│Performance Commitments'!$G$3:$I$3, 0 ) ), "-" )</f>
        <v>-</v>
      </c>
      <c r="J86" s="82" t="str">
        <f t="shared" si="25"/>
        <v>Met</v>
      </c>
      <c r="K86" s="82" t="str">
        <f t="shared" ca="1" si="26"/>
        <v>-</v>
      </c>
      <c r="L86" s="282">
        <f t="shared" ca="1" si="29"/>
        <v>1</v>
      </c>
      <c r="M86" s="51"/>
      <c r="N86" s="115">
        <f xml:space="preserve"> _xlfn.IFNA( VLOOKUP( $C86, 'INPUTS│Performance Commitments'!$C$163:$I$175, MATCH( N$4, 'INPUTS│Performance Commitments'!$G$3:$I$3, 0 ) + 4, 0 ), "-" )</f>
        <v>1032</v>
      </c>
      <c r="O86" s="115" t="str">
        <f ca="1" xml:space="preserve"> IF( $D86 &gt; 1, OFFSET( 'INPUTS│Performance Commitments'!$F$163, MATCH( $C86, 'INPUTS│Performance Commitments'!$C$163:$C$175, 0 ), MATCH( $N$4, 'INPUTS│Performance Commitments'!$G$3:$I$3, 0 ) ), "-" )</f>
        <v>-</v>
      </c>
      <c r="P86" s="115">
        <f xml:space="preserve"> _xlfn.IFNA( VLOOKUP( $C86, 'INPUTS│Performance Commitments'!$C$147:$I$159, MATCH( P$4, 'INPUTS│Performance Commitments'!$G$3:$I$3, 0 ) + 4, 0 ), "-" )</f>
        <v>1085</v>
      </c>
      <c r="Q86" s="115" t="str">
        <f ca="1" xml:space="preserve"> IF( $D86 &gt; 1, OFFSET( 'INPUTS│Performance Commitments'!$F$147, MATCH( $C86, 'INPUTS│Performance Commitments'!$C$147:$C$159, 0 ), MATCH( $P$4, 'INPUTS│Performance Commitments'!$G$3:$I$3, 0 ) ), "-" )</f>
        <v>-</v>
      </c>
      <c r="R86" s="82" t="str">
        <f t="shared" si="27"/>
        <v>Met</v>
      </c>
      <c r="S86" s="82" t="str">
        <f t="shared" ca="1" si="28"/>
        <v>-</v>
      </c>
      <c r="T86" s="282">
        <f t="shared" ca="1" si="24"/>
        <v>1</v>
      </c>
      <c r="U86" s="51"/>
      <c r="V86" s="274">
        <f xml:space="preserve"> _xlfn.IFNA( VLOOKUP( $C86, 'INPUTS│Performance Commitments'!$C$163:$L$175, MATCH( V$4, 'INPUTS│Performance Commitments'!$K$3:$L$3, 0 ) + 8, 0 ), "-" )</f>
        <v>1032</v>
      </c>
      <c r="W86" s="274" t="str">
        <f ca="1" xml:space="preserve"> IF( $D86 &gt; 1, OFFSET( 'INPUTS│Performance Commitments'!$J$163, MATCH( $C86, 'INPUTS│Performance Commitments'!$C$163:$C$175, 0 ), MATCH( $V$4, 'INPUTS│Performance Commitments'!$K$3:$L$3, 0 ) ), "-" )</f>
        <v>-</v>
      </c>
      <c r="X86" s="274">
        <f xml:space="preserve"> _xlfn.IFNA( VLOOKUP( $C86, 'INPUTS│Performance Commitments'!$C$147:$L$159, MATCH( X$4, 'INPUTS│Performance Commitments'!$K$3:$L$3, 0 ) + 8, 0 ), "-" )</f>
        <v>1085</v>
      </c>
      <c r="Y86" s="274" t="str">
        <f ca="1" xml:space="preserve"> IF( $D86 &gt; 1, OFFSET( 'INPUTS│Performance Commitments'!$J$147, MATCH( $C86, 'INPUTS│Performance Commitments'!$C$147:$C$159, 0 ), MATCH( $X$4, 'INPUTS│Performance Commitments'!$K$3:$L$3, 0 ) ), "-" )</f>
        <v>-</v>
      </c>
    </row>
    <row r="87" spans="2:26" hidden="1" outlineLevel="1" x14ac:dyDescent="0.2">
      <c r="C87" s="8" t="s">
        <v>97</v>
      </c>
      <c r="D87" s="202">
        <f xml:space="preserve"> COUNTIF( 'INPUTS│Performance Commitments'!$C$147:$C$159, C87 )</f>
        <v>2</v>
      </c>
      <c r="E87" s="51"/>
      <c r="F87" s="115">
        <f xml:space="preserve"> _xlfn.IFNA( VLOOKUP( $C87, 'INPUTS│Performance Commitments'!$C$163:$I$175, MATCH( F$4, 'INPUTS│Performance Commitments'!$G$3:$I$3, 0 ) + 4, 0 ), "-" )</f>
        <v>559</v>
      </c>
      <c r="G87" s="115">
        <f ca="1" xml:space="preserve"> IF( $D87 &gt; 1, OFFSET( 'INPUTS│Performance Commitments'!$F$163, MATCH( $C87, 'INPUTS│Performance Commitments'!$C$163:$C$175, 0 ), MATCH( $F$4, 'INPUTS│Performance Commitments'!$G$3:$I$3, 0 ) ), "-" )</f>
        <v>91</v>
      </c>
      <c r="H87" s="115">
        <f xml:space="preserve"> _xlfn.IFNA( VLOOKUP( $C87, 'INPUTS│Performance Commitments'!$C$147:$I$159, MATCH( H$4, 'INPUTS│Performance Commitments'!$G$3:$I$3, 0 ) + 4, 0 ), "-" )</f>
        <v>375</v>
      </c>
      <c r="I87" s="115">
        <f ca="1" xml:space="preserve"> IF( $D87 &gt; 1, OFFSET( 'INPUTS│Performance Commitments'!$F$147, MATCH( $C87, 'INPUTS│Performance Commitments'!$C$147:$C$159, 0 ), MATCH( $H$4, 'INPUTS│Performance Commitments'!$G$3:$I$3, 0 ) ), "-" )</f>
        <v>55</v>
      </c>
      <c r="J87" s="82" t="str">
        <f t="shared" si="25"/>
        <v>Failed</v>
      </c>
      <c r="K87" s="82" t="str">
        <f t="shared" ca="1" si="26"/>
        <v>Failed</v>
      </c>
      <c r="L87" s="282">
        <f t="shared" ca="1" si="29"/>
        <v>0</v>
      </c>
      <c r="M87" s="51"/>
      <c r="N87" s="115">
        <f xml:space="preserve"> _xlfn.IFNA( VLOOKUP( $C87, 'INPUTS│Performance Commitments'!$C$163:$I$175, MATCH( N$4, 'INPUTS│Performance Commitments'!$G$3:$I$3, 0 ) + 4, 0 ), "-" )</f>
        <v>551</v>
      </c>
      <c r="O87" s="115">
        <f ca="1" xml:space="preserve"> IF( $D87 &gt; 1, OFFSET( 'INPUTS│Performance Commitments'!$F$163, MATCH( $C87, 'INPUTS│Performance Commitments'!$C$163:$C$175, 0 ), MATCH( $N$4, 'INPUTS│Performance Commitments'!$G$3:$I$3, 0 ) ), "-" )</f>
        <v>15</v>
      </c>
      <c r="P87" s="115">
        <f xml:space="preserve"> _xlfn.IFNA( VLOOKUP( $C87, 'INPUTS│Performance Commitments'!$C$147:$I$159, MATCH( P$4, 'INPUTS│Performance Commitments'!$G$3:$I$3, 0 ) + 4, 0 ), "-" )</f>
        <v>375</v>
      </c>
      <c r="Q87" s="115">
        <f ca="1" xml:space="preserve"> IF( $D87 &gt; 1, OFFSET( 'INPUTS│Performance Commitments'!$F$147, MATCH( $C87, 'INPUTS│Performance Commitments'!$C$147:$C$159, 0 ), MATCH( $P$4, 'INPUTS│Performance Commitments'!$G$3:$I$3, 0 ) ), "-" )</f>
        <v>55</v>
      </c>
      <c r="R87" s="82" t="str">
        <f t="shared" si="27"/>
        <v>Failed</v>
      </c>
      <c r="S87" s="82" t="str">
        <f t="shared" ca="1" si="28"/>
        <v>Met</v>
      </c>
      <c r="T87" s="282">
        <f t="shared" ca="1" si="24"/>
        <v>0.5</v>
      </c>
      <c r="U87" s="51"/>
      <c r="V87" s="274">
        <f xml:space="preserve"> _xlfn.IFNA( VLOOKUP( $C87, 'INPUTS│Performance Commitments'!$C$163:$L$175, MATCH( V$4, 'INPUTS│Performance Commitments'!$K$3:$L$3, 0 ) + 8, 0 ), "-" )</f>
        <v>551</v>
      </c>
      <c r="W87" s="274">
        <f ca="1" xml:space="preserve"> IF( $D87 &gt; 1, OFFSET( 'INPUTS│Performance Commitments'!$J$163, MATCH( $C87, 'INPUTS│Performance Commitments'!$C$163:$C$175, 0 ), MATCH( $V$4, 'INPUTS│Performance Commitments'!$K$3:$L$3, 0 ) ), "-" )</f>
        <v>15</v>
      </c>
      <c r="X87" s="274">
        <f xml:space="preserve"> _xlfn.IFNA( VLOOKUP( $C87, 'INPUTS│Performance Commitments'!$C$147:$L$159, MATCH( X$4, 'INPUTS│Performance Commitments'!$K$3:$L$3, 0 ) + 8, 0 ), "-" )</f>
        <v>375</v>
      </c>
      <c r="Y87" s="274">
        <f ca="1" xml:space="preserve"> IF( $D87 &gt; 1, OFFSET( 'INPUTS│Performance Commitments'!$J$147, MATCH( $C87, 'INPUTS│Performance Commitments'!$C$147:$C$159, 0 ), MATCH( $X$4, 'INPUTS│Performance Commitments'!$K$3:$L$3, 0 ) ), "-" )</f>
        <v>55</v>
      </c>
    </row>
    <row r="88" spans="2:26" hidden="1" outlineLevel="1" x14ac:dyDescent="0.2">
      <c r="C88" s="8" t="s">
        <v>99</v>
      </c>
      <c r="D88" s="202">
        <f xml:space="preserve"> COUNTIF( 'INPUTS│Performance Commitments'!$C$147:$C$159, C88 )</f>
        <v>1</v>
      </c>
      <c r="E88" s="51"/>
      <c r="F88" s="115">
        <f xml:space="preserve"> _xlfn.IFNA( VLOOKUP( $C88, 'INPUTS│Performance Commitments'!$C$163:$I$175, MATCH( F$4, 'INPUTS│Performance Commitments'!$G$3:$I$3, 0 ) + 4, 0 ), "-" )</f>
        <v>1.21</v>
      </c>
      <c r="G88" s="115" t="str">
        <f ca="1" xml:space="preserve"> IF( $D88 &gt; 1, OFFSET( 'INPUTS│Performance Commitments'!$F$163, MATCH( $C88, 'INPUTS│Performance Commitments'!$C$163:$C$175, 0 ), MATCH( $F$4, 'INPUTS│Performance Commitments'!$G$3:$I$3, 0 ) ), "-" )</f>
        <v>-</v>
      </c>
      <c r="H88" s="115">
        <f xml:space="preserve"> _xlfn.IFNA( VLOOKUP( $C88, 'INPUTS│Performance Commitments'!$C$147:$I$159, MATCH( H$4, 'INPUTS│Performance Commitments'!$G$3:$I$3, 0 ) + 4, 0 ), "-" )</f>
        <v>1.7</v>
      </c>
      <c r="I88" s="115" t="str">
        <f ca="1" xml:space="preserve"> IF( $D88 &gt; 1, OFFSET( 'INPUTS│Performance Commitments'!$F$147, MATCH( $C88, 'INPUTS│Performance Commitments'!$C$147:$C$159, 0 ), MATCH( $H$4, 'INPUTS│Performance Commitments'!$G$3:$I$3, 0 ) ), "-" )</f>
        <v>-</v>
      </c>
      <c r="J88" s="82" t="str">
        <f t="shared" si="25"/>
        <v>Met</v>
      </c>
      <c r="K88" s="82" t="str">
        <f t="shared" ca="1" si="26"/>
        <v>-</v>
      </c>
      <c r="L88" s="282">
        <f t="shared" ca="1" si="29"/>
        <v>1</v>
      </c>
      <c r="M88" s="51"/>
      <c r="N88" s="115">
        <f xml:space="preserve"> _xlfn.IFNA( VLOOKUP( $C88, 'INPUTS│Performance Commitments'!$C$163:$I$175, MATCH( N$4, 'INPUTS│Performance Commitments'!$G$3:$I$3, 0 ) + 4, 0 ), "-" )</f>
        <v>1.43</v>
      </c>
      <c r="O88" s="115" t="str">
        <f ca="1" xml:space="preserve"> IF( $D88 &gt; 1, OFFSET( 'INPUTS│Performance Commitments'!$F$163, MATCH( $C88, 'INPUTS│Performance Commitments'!$C$163:$C$175, 0 ), MATCH( $N$4, 'INPUTS│Performance Commitments'!$G$3:$I$3, 0 ) ), "-" )</f>
        <v>-</v>
      </c>
      <c r="P88" s="115">
        <f xml:space="preserve"> _xlfn.IFNA( VLOOKUP( $C88, 'INPUTS│Performance Commitments'!$C$147:$I$159, MATCH( P$4, 'INPUTS│Performance Commitments'!$G$3:$I$3, 0 ) + 4, 0 ), "-" )</f>
        <v>1.68</v>
      </c>
      <c r="Q88" s="115" t="str">
        <f ca="1" xml:space="preserve"> IF( $D88 &gt; 1, OFFSET( 'INPUTS│Performance Commitments'!$F$147, MATCH( $C88, 'INPUTS│Performance Commitments'!$C$147:$C$159, 0 ), MATCH( $P$4, 'INPUTS│Performance Commitments'!$G$3:$I$3, 0 ) ), "-" )</f>
        <v>-</v>
      </c>
      <c r="R88" s="82" t="str">
        <f t="shared" si="27"/>
        <v>Met</v>
      </c>
      <c r="S88" s="82" t="str">
        <f t="shared" ca="1" si="28"/>
        <v>-</v>
      </c>
      <c r="T88" s="282">
        <f t="shared" ca="1" si="24"/>
        <v>1</v>
      </c>
      <c r="U88" s="51"/>
      <c r="V88" s="274">
        <f xml:space="preserve"> _xlfn.IFNA( VLOOKUP( $C88, 'INPUTS│Performance Commitments'!$C$163:$L$175, MATCH( V$4, 'INPUTS│Performance Commitments'!$K$3:$L$3, 0 ) + 8, 0 ), "-" )</f>
        <v>179</v>
      </c>
      <c r="W88" s="274" t="str">
        <f ca="1" xml:space="preserve"> IF( $D88 &gt; 1, OFFSET( 'INPUTS│Performance Commitments'!$J$163, MATCH( $C88, 'INPUTS│Performance Commitments'!$C$163:$C$175, 0 ), MATCH( $V$4, 'INPUTS│Performance Commitments'!$K$3:$L$3, 0 ) ), "-" )</f>
        <v>-</v>
      </c>
      <c r="X88" s="274">
        <f xml:space="preserve"> _xlfn.IFNA( VLOOKUP( $C88, 'INPUTS│Performance Commitments'!$C$147:$L$159, MATCH( X$4, 'INPUTS│Performance Commitments'!$K$3:$L$3, 0 ) + 8, 0 ), "-" )</f>
        <v>210</v>
      </c>
      <c r="Y88" s="274" t="str">
        <f ca="1" xml:space="preserve"> IF( $D88 &gt; 1, OFFSET( 'INPUTS│Performance Commitments'!$J$147, MATCH( $C88, 'INPUTS│Performance Commitments'!$C$147:$C$159, 0 ), MATCH( $X$4, 'INPUTS│Performance Commitments'!$K$3:$L$3, 0 ) ), "-" )</f>
        <v>-</v>
      </c>
    </row>
    <row r="89" spans="2:26" hidden="1" outlineLevel="1" x14ac:dyDescent="0.2">
      <c r="C89" s="8" t="s">
        <v>101</v>
      </c>
      <c r="D89" s="202">
        <f xml:space="preserve"> COUNTIF( 'INPUTS│Performance Commitments'!$C$147:$C$159, C89 )</f>
        <v>1</v>
      </c>
      <c r="E89" s="51"/>
      <c r="F89" s="115">
        <f xml:space="preserve"> _xlfn.IFNA( VLOOKUP( $C89, 'INPUTS│Performance Commitments'!$C$163:$I$175, MATCH( F$4, 'INPUTS│Performance Commitments'!$G$3:$I$3, 0 ) + 4, 0 ), "-" )</f>
        <v>1682</v>
      </c>
      <c r="G89" s="115" t="str">
        <f ca="1" xml:space="preserve"> IF( $D89 &gt; 1, OFFSET( 'INPUTS│Performance Commitments'!$F$163, MATCH( $C89, 'INPUTS│Performance Commitments'!$C$163:$C$175, 0 ), MATCH( $F$4, 'INPUTS│Performance Commitments'!$G$3:$I$3, 0 ) ), "-" )</f>
        <v>-</v>
      </c>
      <c r="H89" s="115">
        <f xml:space="preserve"> _xlfn.IFNA( VLOOKUP( $C89, 'INPUTS│Performance Commitments'!$C$147:$I$159, MATCH( H$4, 'INPUTS│Performance Commitments'!$G$3:$I$3, 0 ) + 4, 0 ), "-" )</f>
        <v>1919</v>
      </c>
      <c r="I89" s="115" t="str">
        <f ca="1" xml:space="preserve"> IF( $D89 &gt; 1, OFFSET( 'INPUTS│Performance Commitments'!$F$147, MATCH( $C89, 'INPUTS│Performance Commitments'!$C$147:$C$159, 0 ), MATCH( $H$4, 'INPUTS│Performance Commitments'!$G$3:$I$3, 0 ) ), "-" )</f>
        <v>-</v>
      </c>
      <c r="J89" s="82" t="str">
        <f t="shared" si="25"/>
        <v>Met</v>
      </c>
      <c r="K89" s="82" t="str">
        <f t="shared" ca="1" si="26"/>
        <v>-</v>
      </c>
      <c r="L89" s="282">
        <f t="shared" ca="1" si="29"/>
        <v>1</v>
      </c>
      <c r="M89" s="51"/>
      <c r="N89" s="115">
        <f xml:space="preserve"> _xlfn.IFNA( VLOOKUP( $C89, 'INPUTS│Performance Commitments'!$C$163:$I$175, MATCH( N$4, 'INPUTS│Performance Commitments'!$G$3:$I$3, 0 ) + 4, 0 ), "-" )</f>
        <v>1692</v>
      </c>
      <c r="O89" s="115" t="str">
        <f ca="1" xml:space="preserve"> IF( $D89 &gt; 1, OFFSET( 'INPUTS│Performance Commitments'!$F$163, MATCH( $C89, 'INPUTS│Performance Commitments'!$C$163:$C$175, 0 ), MATCH( $N$4, 'INPUTS│Performance Commitments'!$G$3:$I$3, 0 ) ), "-" )</f>
        <v>-</v>
      </c>
      <c r="P89" s="115">
        <f xml:space="preserve"> _xlfn.IFNA( VLOOKUP( $C89, 'INPUTS│Performance Commitments'!$C$147:$I$159, MATCH( P$4, 'INPUTS│Performance Commitments'!$G$3:$I$3, 0 ) + 4, 0 ), "-" )</f>
        <v>1919</v>
      </c>
      <c r="Q89" s="115" t="str">
        <f ca="1" xml:space="preserve"> IF( $D89 &gt; 1, OFFSET( 'INPUTS│Performance Commitments'!$F$147, MATCH( $C89, 'INPUTS│Performance Commitments'!$C$147:$C$159, 0 ), MATCH( $P$4, 'INPUTS│Performance Commitments'!$G$3:$I$3, 0 ) ), "-" )</f>
        <v>-</v>
      </c>
      <c r="R89" s="82" t="str">
        <f t="shared" si="27"/>
        <v>Met</v>
      </c>
      <c r="S89" s="82" t="str">
        <f t="shared" ca="1" si="28"/>
        <v>-</v>
      </c>
      <c r="T89" s="282">
        <f t="shared" ca="1" si="24"/>
        <v>1</v>
      </c>
      <c r="U89" s="51"/>
      <c r="V89" s="274">
        <f xml:space="preserve"> _xlfn.IFNA( VLOOKUP( $C89, 'INPUTS│Performance Commitments'!$C$163:$L$175, MATCH( V$4, 'INPUTS│Performance Commitments'!$K$3:$L$3, 0 ) + 8, 0 ), "-" )</f>
        <v>1692</v>
      </c>
      <c r="W89" s="274" t="str">
        <f ca="1" xml:space="preserve"> IF( $D89 &gt; 1, OFFSET( 'INPUTS│Performance Commitments'!$J$163, MATCH( $C89, 'INPUTS│Performance Commitments'!$C$163:$C$175, 0 ), MATCH( $V$4, 'INPUTS│Performance Commitments'!$K$3:$L$3, 0 ) ), "-" )</f>
        <v>-</v>
      </c>
      <c r="X89" s="274">
        <f xml:space="preserve"> _xlfn.IFNA( VLOOKUP( $C89, 'INPUTS│Performance Commitments'!$C$147:$L$159, MATCH( X$4, 'INPUTS│Performance Commitments'!$K$3:$L$3, 0 ) + 8, 0 ), "-" )</f>
        <v>1919</v>
      </c>
      <c r="Y89" s="274" t="str">
        <f ca="1" xml:space="preserve"> IF( $D89 &gt; 1, OFFSET( 'INPUTS│Performance Commitments'!$J$147, MATCH( $C89, 'INPUTS│Performance Commitments'!$C$147:$C$159, 0 ), MATCH( $X$4, 'INPUTS│Performance Commitments'!$K$3:$L$3, 0 ) ), "-" )</f>
        <v>-</v>
      </c>
    </row>
    <row r="91" spans="2:26" ht="13.5" collapsed="1" x14ac:dyDescent="0.25">
      <c r="B91" s="9" t="s">
        <v>164</v>
      </c>
      <c r="C91" s="9"/>
      <c r="D91" s="10"/>
      <c r="E91" s="9"/>
      <c r="F91" s="9"/>
      <c r="G91" s="9"/>
      <c r="H91" s="9"/>
      <c r="I91" s="9"/>
      <c r="J91" s="9"/>
      <c r="K91" s="9"/>
      <c r="L91" s="9"/>
      <c r="M91" s="9"/>
      <c r="N91" s="9"/>
      <c r="O91" s="9"/>
      <c r="P91" s="9"/>
      <c r="Q91" s="9"/>
      <c r="R91" s="9"/>
      <c r="S91" s="9"/>
      <c r="T91" s="9"/>
      <c r="U91" s="9"/>
      <c r="V91" s="9"/>
      <c r="W91" s="9"/>
      <c r="X91" s="9"/>
      <c r="Y91" s="9"/>
      <c r="Z91" s="9"/>
    </row>
    <row r="92" spans="2:26" hidden="1" outlineLevel="1" x14ac:dyDescent="0.2"/>
    <row r="93" spans="2:26" hidden="1" outlineLevel="1" x14ac:dyDescent="0.2">
      <c r="C93" s="8" t="s">
        <v>79</v>
      </c>
      <c r="D93" s="202">
        <f xml:space="preserve"> COUNTIF( 'INPUTS│Performance Commitments'!$C$181:$C$197, C93 )</f>
        <v>1</v>
      </c>
      <c r="E93" s="51"/>
      <c r="F93" s="287">
        <f xml:space="preserve"> _xlfn.IFNA( VLOOKUP( $C93, 'INPUTS│Performance Commitments'!$C$201:$I$217, MATCH( F$4, 'INPUTS│Performance Commitments'!$G$3:$I$3, 0 ) + 4, 0 ), "-" )</f>
        <v>219</v>
      </c>
      <c r="G93" s="287" t="str">
        <f ca="1" xml:space="preserve"> IF( $D93 &gt; 1, OFFSET( 'INPUTS│Performance Commitments'!$F$201, MATCH( $C93, 'INPUTS│Performance Commitments'!$C$201:$C$217, 0 ), MATCH( $F$4, 'INPUTS│Performance Commitments'!$G$3:$I$3, 0 ) ), "-" )</f>
        <v>-</v>
      </c>
      <c r="H93" s="287">
        <f xml:space="preserve"> _xlfn.IFNA( VLOOKUP( $C93, 'INPUTS│Performance Commitments'!$C$181:$I$197, MATCH( H$4, 'INPUTS│Performance Commitments'!$G$3:$I$3, 0 ) + 4, 0 ), "-" )</f>
        <v>298</v>
      </c>
      <c r="I93" s="287" t="str">
        <f ca="1" xml:space="preserve"> IF( $D93 &gt; 1, OFFSET( 'INPUTS│Performance Commitments'!$F$181, MATCH( $C93, 'INPUTS│Performance Commitments'!$C$181:$C$197, 0 ), MATCH( $H$4, 'INPUTS│Performance Commitments'!$G$3:$I$3, 0 ) ), "-" )</f>
        <v>-</v>
      </c>
      <c r="J93" s="82" t="str">
        <f xml:space="preserve"> IF( H93 &lt;&gt; "-", IF( F93 &lt;= H93, "Met", "Failed" ), "-" )</f>
        <v>Met</v>
      </c>
      <c r="K93" s="82" t="str">
        <f ca="1" xml:space="preserve"> IF( I93 &lt;&gt; "-", IF( G93 &lt;= I93, "Met", "Failed" ), "-" )</f>
        <v>-</v>
      </c>
      <c r="L93" s="282">
        <f t="shared" ref="L93:L101" ca="1" si="30" xml:space="preserve"> IF( H93 = "-", "-", COUNTIF( J93:K93, "Met" ) / $D93 )</f>
        <v>1</v>
      </c>
      <c r="M93" s="51"/>
      <c r="N93" s="287">
        <f xml:space="preserve"> _xlfn.IFNA( VLOOKUP( $C93, 'INPUTS│Performance Commitments'!$C$201:$I$217, MATCH( N$4, 'INPUTS│Performance Commitments'!$G$3:$I$3, 0 ) + 4, 0 ), "-" )</f>
        <v>185</v>
      </c>
      <c r="O93" s="287" t="str">
        <f ca="1" xml:space="preserve"> IF( $D93 &gt; 1, OFFSET( 'INPUTS│Performance Commitments'!$F$201, MATCH( $C93, 'INPUTS│Performance Commitments'!$C$201:$C$217, 0 ), MATCH( $N$4, 'INPUTS│Performance Commitments'!$G$3:$I$3, 0 ) ), "-" )</f>
        <v>-</v>
      </c>
      <c r="P93" s="287">
        <f xml:space="preserve"> _xlfn.IFNA( VLOOKUP( $C93, 'INPUTS│Performance Commitments'!$C$181:$I$197, MATCH( P$4, 'INPUTS│Performance Commitments'!$G$3:$I$3, 0 ) + 4, 0 ), "-" )</f>
        <v>298</v>
      </c>
      <c r="Q93" s="287" t="str">
        <f ca="1" xml:space="preserve"> IF( $D93 &gt; 1, OFFSET( 'INPUTS│Performance Commitments'!$F$181, MATCH( $C93, 'INPUTS│Performance Commitments'!$C$181:$C$197, 0 ), MATCH( $P$4, 'INPUTS│Performance Commitments'!$G$3:$I$3, 0 ) ), "-" )</f>
        <v>-</v>
      </c>
      <c r="R93" s="82" t="str">
        <f xml:space="preserve"> IF( P93 &lt;&gt; "-", IF( N93 &lt;= P93, "Met", "Failed" ), "-" )</f>
        <v>Met</v>
      </c>
      <c r="S93" s="82" t="str">
        <f ca="1" xml:space="preserve"> IF( Q93 &lt;&gt; "-", IF( O93 &lt;= Q93, "Met", "Failed" ), "-" )</f>
        <v>-</v>
      </c>
      <c r="T93" s="282">
        <f t="shared" ref="T93:T101" ca="1" si="31" xml:space="preserve"> IF( P93 = "-", "-", COUNTIF( R93:S93, "Met" ) / $D93 )</f>
        <v>1</v>
      </c>
      <c r="U93" s="51"/>
      <c r="V93" s="284">
        <f xml:space="preserve"> _xlfn.IFNA( VLOOKUP( $C93, 'INPUTS│Performance Commitments'!$C$201:$L$217, MATCH( V$4, 'INPUTS│Performance Commitments'!$K$3:$L$3, 0 ) + 8, 0 ), "-" )</f>
        <v>185</v>
      </c>
      <c r="W93" s="284" t="str">
        <f ca="1" xml:space="preserve"> IF( $D93 &gt; 1, OFFSET( 'INPUTS│Performance Commitments'!$J$201, MATCH( $C93, 'INPUTS│Performance Commitments'!$C$201:$C$217, 0 ), MATCH( $V$4, 'INPUTS│Performance Commitments'!$K$3:$L$3, 0 ) ), "-" )</f>
        <v>-</v>
      </c>
      <c r="X93" s="284">
        <f xml:space="preserve"> _xlfn.IFNA( VLOOKUP( $C93, 'INPUTS│Performance Commitments'!$C$181:$L$197, MATCH( X$4, 'INPUTS│Performance Commitments'!$K$3:$L$3, 0 ) + 8, 0 ), "-" )</f>
        <v>298</v>
      </c>
      <c r="Y93" s="284" t="str">
        <f ca="1" xml:space="preserve"> IF( $D93 &gt; 1, OFFSET( 'INPUTS│Performance Commitments'!$J$181, MATCH( $C93, 'INPUTS│Performance Commitments'!$C$181:$C$197, 0 ), MATCH( $X$4, 'INPUTS│Performance Commitments'!$K$3:$L$3, 0 ) ), "-" )</f>
        <v>-</v>
      </c>
    </row>
    <row r="94" spans="2:26" hidden="1" outlineLevel="1" x14ac:dyDescent="0.2">
      <c r="C94" s="8" t="s">
        <v>81</v>
      </c>
      <c r="D94" s="202">
        <f xml:space="preserve"> COUNTIF( 'INPUTS│Performance Commitments'!$C$181:$C$197, C94 )</f>
        <v>1</v>
      </c>
      <c r="E94" s="51"/>
      <c r="F94" s="287">
        <f xml:space="preserve"> _xlfn.IFNA( VLOOKUP( $C94, 'INPUTS│Performance Commitments'!$C$201:$I$217, MATCH( F$4, 'INPUTS│Performance Commitments'!$G$3:$I$3, 0 ) + 4, 0 ), "-" )</f>
        <v>112</v>
      </c>
      <c r="G94" s="287" t="str">
        <f ca="1" xml:space="preserve"> IF( $D94 &gt; 1, OFFSET( 'INPUTS│Performance Commitments'!$F$201, MATCH( $C94, 'INPUTS│Performance Commitments'!$C$201:$C$217, 0 ), MATCH( $F$4, 'INPUTS│Performance Commitments'!$G$3:$I$3, 0 ) ), "-" )</f>
        <v>-</v>
      </c>
      <c r="H94" s="287">
        <f xml:space="preserve"> _xlfn.IFNA( VLOOKUP( $C94, 'INPUTS│Performance Commitments'!$C$181:$I$197, MATCH( H$4, 'INPUTS│Performance Commitments'!$G$3:$I$3, 0 ) + 4, 0 ), "-" )</f>
        <v>131</v>
      </c>
      <c r="I94" s="287" t="str">
        <f ca="1" xml:space="preserve"> IF( $D94 &gt; 1, OFFSET( 'INPUTS│Performance Commitments'!$F$181, MATCH( $C94, 'INPUTS│Performance Commitments'!$C$181:$C$197, 0 ), MATCH( $H$4, 'INPUTS│Performance Commitments'!$G$3:$I$3, 0 ) ), "-" )</f>
        <v>-</v>
      </c>
      <c r="J94" s="82" t="str">
        <f t="shared" ref="J94:J103" si="32" xml:space="preserve"> IF( H94 &lt;&gt; "-", IF( F94 &lt;= H94, "Met", "Failed" ), "-" )</f>
        <v>Met</v>
      </c>
      <c r="K94" s="82" t="str">
        <f t="shared" ref="K94:K103" ca="1" si="33" xml:space="preserve"> IF( I94 &lt;&gt; "-", IF( G94 &lt;= I94, "Met", "Failed" ), "-" )</f>
        <v>-</v>
      </c>
      <c r="L94" s="282">
        <f t="shared" ca="1" si="30"/>
        <v>1</v>
      </c>
      <c r="M94" s="51"/>
      <c r="N94" s="287">
        <f xml:space="preserve"> _xlfn.IFNA( VLOOKUP( $C94, 'INPUTS│Performance Commitments'!$C$201:$I$217, MATCH( N$4, 'INPUTS│Performance Commitments'!$G$3:$I$3, 0 ) + 4, 0 ), "-" )</f>
        <v>118</v>
      </c>
      <c r="O94" s="287" t="str">
        <f ca="1" xml:space="preserve"> IF( $D94 &gt; 1, OFFSET( 'INPUTS│Performance Commitments'!$F$201, MATCH( $C94, 'INPUTS│Performance Commitments'!$C$201:$C$217, 0 ), MATCH( $N$4, 'INPUTS│Performance Commitments'!$G$3:$I$3, 0 ) ), "-" )</f>
        <v>-</v>
      </c>
      <c r="P94" s="287">
        <f xml:space="preserve"> _xlfn.IFNA( VLOOKUP( $C94, 'INPUTS│Performance Commitments'!$C$181:$I$197, MATCH( P$4, 'INPUTS│Performance Commitments'!$G$3:$I$3, 0 ) + 4, 0 ), "-" )</f>
        <v>131</v>
      </c>
      <c r="Q94" s="287" t="str">
        <f ca="1" xml:space="preserve"> IF( $D94 &gt; 1, OFFSET( 'INPUTS│Performance Commitments'!$F$181, MATCH( $C94, 'INPUTS│Performance Commitments'!$C$181:$C$197, 0 ), MATCH( $P$4, 'INPUTS│Performance Commitments'!$G$3:$I$3, 0 ) ), "-" )</f>
        <v>-</v>
      </c>
      <c r="R94" s="82" t="str">
        <f t="shared" ref="R94:R103" si="34" xml:space="preserve"> IF( P94 &lt;&gt; "-", IF( N94 &lt;= P94, "Met", "Failed" ), "-" )</f>
        <v>Met</v>
      </c>
      <c r="S94" s="82" t="str">
        <f t="shared" ref="S94:S103" ca="1" si="35" xml:space="preserve"> IF( Q94 &lt;&gt; "-", IF( O94 &lt;= Q94, "Met", "Failed" ), "-" )</f>
        <v>-</v>
      </c>
      <c r="T94" s="282">
        <f t="shared" ca="1" si="31"/>
        <v>1</v>
      </c>
      <c r="U94" s="51"/>
      <c r="V94" s="284">
        <f xml:space="preserve"> _xlfn.IFNA( VLOOKUP( $C94, 'INPUTS│Performance Commitments'!$C$201:$L$217, MATCH( V$4, 'INPUTS│Performance Commitments'!$K$3:$L$3, 0 ) + 8, 0 ), "-" )</f>
        <v>118</v>
      </c>
      <c r="W94" s="284" t="str">
        <f ca="1" xml:space="preserve"> IF( $D94 &gt; 1, OFFSET( 'INPUTS│Performance Commitments'!$J$201, MATCH( $C94, 'INPUTS│Performance Commitments'!$C$201:$C$217, 0 ), MATCH( $V$4, 'INPUTS│Performance Commitments'!$K$3:$L$3, 0 ) ), "-" )</f>
        <v>-</v>
      </c>
      <c r="X94" s="284">
        <f xml:space="preserve"> _xlfn.IFNA( VLOOKUP( $C94, 'INPUTS│Performance Commitments'!$C$181:$L$197, MATCH( X$4, 'INPUTS│Performance Commitments'!$K$3:$L$3, 0 ) + 8, 0 ), "-" )</f>
        <v>131</v>
      </c>
      <c r="Y94" s="284" t="str">
        <f ca="1" xml:space="preserve"> IF( $D94 &gt; 1, OFFSET( 'INPUTS│Performance Commitments'!$J$181, MATCH( $C94, 'INPUTS│Performance Commitments'!$C$181:$C$197, 0 ), MATCH( $X$4, 'INPUTS│Performance Commitments'!$K$3:$L$3, 0 ) ), "-" )</f>
        <v>-</v>
      </c>
    </row>
    <row r="95" spans="2:26" hidden="1" outlineLevel="1" x14ac:dyDescent="0.2">
      <c r="C95" s="8" t="s">
        <v>84</v>
      </c>
      <c r="D95" s="202">
        <f xml:space="preserve"> COUNTIF( 'INPUTS│Performance Commitments'!$C$181:$C$197, C95 )</f>
        <v>2</v>
      </c>
      <c r="E95" s="51"/>
      <c r="F95" s="287" t="str">
        <f xml:space="preserve"> _xlfn.IFNA( VLOOKUP( $C95, 'INPUTS│Performance Commitments'!$C$201:$I$217, MATCH( F$4, 'INPUTS│Performance Commitments'!$G$3:$I$3, 0 ) + 4, 0 ), "-" )</f>
        <v>-</v>
      </c>
      <c r="G95" s="287" t="str">
        <f ca="1" xml:space="preserve"> IF( $D95 &gt; 1, OFFSET( 'INPUTS│Performance Commitments'!$F$201, MATCH( $C95, 'INPUTS│Performance Commitments'!$C$201:$C$217, 0 ), MATCH( $F$4, 'INPUTS│Performance Commitments'!$G$3:$I$3, 0 ) ), "-" )</f>
        <v>-</v>
      </c>
      <c r="H95" s="287" t="str">
        <f xml:space="preserve"> _xlfn.IFNA( VLOOKUP( $C95, 'INPUTS│Performance Commitments'!$C$181:$I$197, MATCH( H$4, 'INPUTS│Performance Commitments'!$G$3:$I$3, 0 ) + 4, 0 ), "-" )</f>
        <v>-</v>
      </c>
      <c r="I95" s="287" t="str">
        <f ca="1" xml:space="preserve"> IF( $D95 &gt; 1, OFFSET( 'INPUTS│Performance Commitments'!$F$181, MATCH( $C95, 'INPUTS│Performance Commitments'!$C$181:$C$197, 0 ), MATCH( $H$4, 'INPUTS│Performance Commitments'!$G$3:$I$3, 0 ) ), "-" )</f>
        <v>-</v>
      </c>
      <c r="J95" s="82" t="str">
        <f t="shared" si="32"/>
        <v>-</v>
      </c>
      <c r="K95" s="82" t="str">
        <f t="shared" ca="1" si="33"/>
        <v>-</v>
      </c>
      <c r="L95" s="282" t="str">
        <f t="shared" si="30"/>
        <v>-</v>
      </c>
      <c r="M95" s="51"/>
      <c r="N95" s="287">
        <f xml:space="preserve"> _xlfn.IFNA( VLOOKUP( $C95, 'INPUTS│Performance Commitments'!$C$201:$I$217, MATCH( N$4, 'INPUTS│Performance Commitments'!$G$3:$I$3, 0 ) + 4, 0 ), "-" )</f>
        <v>1</v>
      </c>
      <c r="O95" s="287">
        <f ca="1" xml:space="preserve"> IF( $D95 &gt; 1, OFFSET( 'INPUTS│Performance Commitments'!$F$201, MATCH( $C95, 'INPUTS│Performance Commitments'!$C$201:$C$217, 0 ), MATCH( $N$4, 'INPUTS│Performance Commitments'!$G$3:$I$3, 0 ) ), "-" )</f>
        <v>0</v>
      </c>
      <c r="P95" s="287">
        <f xml:space="preserve"> _xlfn.IFNA( VLOOKUP( $C95, 'INPUTS│Performance Commitments'!$C$181:$I$197, MATCH( P$4, 'INPUTS│Performance Commitments'!$G$3:$I$3, 0 ) + 4, 0 ), "-" )</f>
        <v>5</v>
      </c>
      <c r="Q95" s="287">
        <f ca="1" xml:space="preserve"> IF( $D95 &gt; 1, OFFSET( 'INPUTS│Performance Commitments'!$F$181, MATCH( $C95, 'INPUTS│Performance Commitments'!$C$181:$C$197, 0 ), MATCH( $P$4, 'INPUTS│Performance Commitments'!$G$3:$I$3, 0 ) ), "-" )</f>
        <v>0</v>
      </c>
      <c r="R95" s="82" t="str">
        <f t="shared" si="34"/>
        <v>Met</v>
      </c>
      <c r="S95" s="82" t="str">
        <f t="shared" ca="1" si="35"/>
        <v>Met</v>
      </c>
      <c r="T95" s="282">
        <f t="shared" ca="1" si="31"/>
        <v>1</v>
      </c>
      <c r="U95" s="51"/>
      <c r="V95" s="284">
        <f xml:space="preserve"> _xlfn.IFNA( VLOOKUP( $C95, 'INPUTS│Performance Commitments'!$C$201:$L$217, MATCH( V$4, 'INPUTS│Performance Commitments'!$K$3:$L$3, 0 ) + 8, 0 ), "-" )</f>
        <v>1</v>
      </c>
      <c r="W95" s="284">
        <f ca="1" xml:space="preserve"> IF( $D95 &gt; 1, OFFSET( 'INPUTS│Performance Commitments'!$J$201, MATCH( $C95, 'INPUTS│Performance Commitments'!$C$201:$C$217, 0 ), MATCH( $V$4, 'INPUTS│Performance Commitments'!$K$3:$L$3, 0 ) ), "-" )</f>
        <v>0</v>
      </c>
      <c r="X95" s="284">
        <f xml:space="preserve"> _xlfn.IFNA( VLOOKUP( $C95, 'INPUTS│Performance Commitments'!$C$181:$L$197, MATCH( X$4, 'INPUTS│Performance Commitments'!$K$3:$L$3, 0 ) + 8, 0 ), "-" )</f>
        <v>5</v>
      </c>
      <c r="Y95" s="284">
        <f ca="1" xml:space="preserve"> IF( $D95 &gt; 1, OFFSET( 'INPUTS│Performance Commitments'!$J$181, MATCH( $C95, 'INPUTS│Performance Commitments'!$C$181:$C$197, 0 ), MATCH( $X$4, 'INPUTS│Performance Commitments'!$K$3:$L$3, 0 ) ), "-" )</f>
        <v>0</v>
      </c>
    </row>
    <row r="96" spans="2:26" hidden="1" outlineLevel="1" x14ac:dyDescent="0.2">
      <c r="C96" s="8" t="s">
        <v>86</v>
      </c>
      <c r="D96" s="202">
        <f xml:space="preserve"> COUNTIF( 'INPUTS│Performance Commitments'!$C$181:$C$197, C96 )</f>
        <v>1</v>
      </c>
      <c r="E96" s="51"/>
      <c r="F96" s="287">
        <f xml:space="preserve"> _xlfn.IFNA( VLOOKUP( $C96, 'INPUTS│Performance Commitments'!$C$201:$I$217, MATCH( F$4, 'INPUTS│Performance Commitments'!$G$3:$I$3, 0 ) + 4, 0 ), "-" )</f>
        <v>105</v>
      </c>
      <c r="G96" s="287" t="str">
        <f ca="1" xml:space="preserve"> IF( $D96 &gt; 1, OFFSET( 'INPUTS│Performance Commitments'!$F$201, MATCH( $C96, 'INPUTS│Performance Commitments'!$C$201:$C$217, 0 ), MATCH( $F$4, 'INPUTS│Performance Commitments'!$G$3:$I$3, 0 ) ), "-" )</f>
        <v>-</v>
      </c>
      <c r="H96" s="287">
        <f xml:space="preserve"> _xlfn.IFNA( VLOOKUP( $C96, 'INPUTS│Performance Commitments'!$C$181:$I$197, MATCH( H$4, 'INPUTS│Performance Commitments'!$G$3:$I$3, 0 ) + 4, 0 ), "-" )</f>
        <v>115</v>
      </c>
      <c r="I96" s="287" t="str">
        <f ca="1" xml:space="preserve"> IF( $D96 &gt; 1, OFFSET( 'INPUTS│Performance Commitments'!$F$181, MATCH( $C96, 'INPUTS│Performance Commitments'!$C$181:$C$197, 0 ), MATCH( $H$4, 'INPUTS│Performance Commitments'!$G$3:$I$3, 0 ) ), "-" )</f>
        <v>-</v>
      </c>
      <c r="J96" s="82" t="str">
        <f t="shared" si="32"/>
        <v>Met</v>
      </c>
      <c r="K96" s="82" t="str">
        <f t="shared" ca="1" si="33"/>
        <v>-</v>
      </c>
      <c r="L96" s="282">
        <f t="shared" ca="1" si="30"/>
        <v>1</v>
      </c>
      <c r="M96" s="51"/>
      <c r="N96" s="287">
        <f xml:space="preserve"> _xlfn.IFNA( VLOOKUP( $C96, 'INPUTS│Performance Commitments'!$C$201:$I$217, MATCH( N$4, 'INPUTS│Performance Commitments'!$G$3:$I$3, 0 ) + 4, 0 ), "-" )</f>
        <v>73</v>
      </c>
      <c r="O96" s="287" t="str">
        <f ca="1" xml:space="preserve"> IF( $D96 &gt; 1, OFFSET( 'INPUTS│Performance Commitments'!$F$201, MATCH( $C96, 'INPUTS│Performance Commitments'!$C$201:$C$217, 0 ), MATCH( $N$4, 'INPUTS│Performance Commitments'!$G$3:$I$3, 0 ) ), "-" )</f>
        <v>-</v>
      </c>
      <c r="P96" s="287">
        <f xml:space="preserve"> _xlfn.IFNA( VLOOKUP( $C96, 'INPUTS│Performance Commitments'!$C$181:$I$197, MATCH( P$4, 'INPUTS│Performance Commitments'!$G$3:$I$3, 0 ) + 4, 0 ), "-" )</f>
        <v>115</v>
      </c>
      <c r="Q96" s="287" t="str">
        <f ca="1" xml:space="preserve"> IF( $D96 &gt; 1, OFFSET( 'INPUTS│Performance Commitments'!$F$181, MATCH( $C96, 'INPUTS│Performance Commitments'!$C$181:$C$197, 0 ), MATCH( $P$4, 'INPUTS│Performance Commitments'!$G$3:$I$3, 0 ) ), "-" )</f>
        <v>-</v>
      </c>
      <c r="R96" s="82" t="str">
        <f t="shared" si="34"/>
        <v>Met</v>
      </c>
      <c r="S96" s="82" t="str">
        <f t="shared" ca="1" si="35"/>
        <v>-</v>
      </c>
      <c r="T96" s="282">
        <f t="shared" ca="1" si="31"/>
        <v>1</v>
      </c>
      <c r="U96" s="51"/>
      <c r="V96" s="284">
        <f xml:space="preserve"> _xlfn.IFNA( VLOOKUP( $C96, 'INPUTS│Performance Commitments'!$C$201:$L$217, MATCH( V$4, 'INPUTS│Performance Commitments'!$K$3:$L$3, 0 ) + 8, 0 ), "-" )</f>
        <v>73</v>
      </c>
      <c r="W96" s="284" t="str">
        <f ca="1" xml:space="preserve"> IF( $D96 &gt; 1, OFFSET( 'INPUTS│Performance Commitments'!$J$201, MATCH( $C96, 'INPUTS│Performance Commitments'!$C$201:$C$217, 0 ), MATCH( $V$4, 'INPUTS│Performance Commitments'!$K$3:$L$3, 0 ) ), "-" )</f>
        <v>-</v>
      </c>
      <c r="X96" s="284">
        <f xml:space="preserve"> _xlfn.IFNA( VLOOKUP( $C96, 'INPUTS│Performance Commitments'!$C$181:$L$197, MATCH( X$4, 'INPUTS│Performance Commitments'!$K$3:$L$3, 0 ) + 8, 0 ), "-" )</f>
        <v>115</v>
      </c>
      <c r="Y96" s="284" t="str">
        <f ca="1" xml:space="preserve"> IF( $D96 &gt; 1, OFFSET( 'INPUTS│Performance Commitments'!$J$181, MATCH( $C96, 'INPUTS│Performance Commitments'!$C$181:$C$197, 0 ), MATCH( $X$4, 'INPUTS│Performance Commitments'!$K$3:$L$3, 0 ) ), "-" )</f>
        <v>-</v>
      </c>
    </row>
    <row r="97" spans="2:26" hidden="1" outlineLevel="1" x14ac:dyDescent="0.2">
      <c r="C97" s="8" t="s">
        <v>88</v>
      </c>
      <c r="D97" s="202">
        <f xml:space="preserve"> COUNTIF( 'INPUTS│Performance Commitments'!$C$181:$C$197, C97 )</f>
        <v>2</v>
      </c>
      <c r="E97" s="51"/>
      <c r="F97" s="287" t="str">
        <f xml:space="preserve"> _xlfn.IFNA( VLOOKUP( $C97, 'INPUTS│Performance Commitments'!$C$201:$I$217, MATCH( F$4, 'INPUTS│Performance Commitments'!$G$3:$I$3, 0 ) + 4, 0 ), "-" )</f>
        <v>-</v>
      </c>
      <c r="G97" s="287" t="str">
        <f ca="1" xml:space="preserve"> IF( $D97 &gt; 1, OFFSET( 'INPUTS│Performance Commitments'!$F$201, MATCH( $C97, 'INPUTS│Performance Commitments'!$C$201:$C$217, 0 ), MATCH( $F$4, 'INPUTS│Performance Commitments'!$G$3:$I$3, 0 ) ), "-" )</f>
        <v>-</v>
      </c>
      <c r="H97" s="287" t="str">
        <f xml:space="preserve"> _xlfn.IFNA( VLOOKUP( $C97, 'INPUTS│Performance Commitments'!$C$181:$I$197, MATCH( H$4, 'INPUTS│Performance Commitments'!$G$3:$I$3, 0 ) + 4, 0 ), "-" )</f>
        <v>-</v>
      </c>
      <c r="I97" s="287" t="str">
        <f ca="1" xml:space="preserve"> IF( $D97 &gt; 1, OFFSET( 'INPUTS│Performance Commitments'!$F$181, MATCH( $C97, 'INPUTS│Performance Commitments'!$C$181:$C$197, 0 ), MATCH( $H$4, 'INPUTS│Performance Commitments'!$G$3:$I$3, 0 ) ), "-" )</f>
        <v>-</v>
      </c>
      <c r="J97" s="82" t="str">
        <f t="shared" si="32"/>
        <v>-</v>
      </c>
      <c r="K97" s="82" t="str">
        <f t="shared" ca="1" si="33"/>
        <v>-</v>
      </c>
      <c r="L97" s="282" t="str">
        <f t="shared" si="30"/>
        <v>-</v>
      </c>
      <c r="M97" s="51"/>
      <c r="N97" s="287">
        <f xml:space="preserve"> _xlfn.IFNA( VLOOKUP( $C97, 'INPUTS│Performance Commitments'!$C$201:$I$217, MATCH( N$4, 'INPUTS│Performance Commitments'!$G$3:$I$3, 0 ) + 4, 0 ), "-" )</f>
        <v>328</v>
      </c>
      <c r="O97" s="287">
        <f ca="1" xml:space="preserve"> IF( $D97 &gt; 1, OFFSET( 'INPUTS│Performance Commitments'!$F$201, MATCH( $C97, 'INPUTS│Performance Commitments'!$C$201:$C$217, 0 ), MATCH( $N$4, 'INPUTS│Performance Commitments'!$G$3:$I$3, 0 ) ), "-" )</f>
        <v>7</v>
      </c>
      <c r="P97" s="287">
        <f xml:space="preserve"> _xlfn.IFNA( VLOOKUP( $C97, 'INPUTS│Performance Commitments'!$C$181:$I$197, MATCH( P$4, 'INPUTS│Performance Commitments'!$G$3:$I$3, 0 ) + 4, 0 ), "-" )</f>
        <v>369</v>
      </c>
      <c r="Q97" s="287">
        <f ca="1" xml:space="preserve"> IF( $D97 &gt; 1, OFFSET( 'INPUTS│Performance Commitments'!$F$181, MATCH( $C97, 'INPUTS│Performance Commitments'!$C$181:$C$197, 0 ), MATCH( $P$4, 'INPUTS│Performance Commitments'!$G$3:$I$3, 0 ) ), "-" )</f>
        <v>2</v>
      </c>
      <c r="R97" s="82" t="str">
        <f t="shared" si="34"/>
        <v>Met</v>
      </c>
      <c r="S97" s="82" t="str">
        <f t="shared" ca="1" si="35"/>
        <v>Failed</v>
      </c>
      <c r="T97" s="282">
        <f t="shared" ca="1" si="31"/>
        <v>0.5</v>
      </c>
      <c r="U97" s="51"/>
      <c r="V97" s="284">
        <f xml:space="preserve"> _xlfn.IFNA( VLOOKUP( $C97, 'INPUTS│Performance Commitments'!$C$201:$L$217, MATCH( V$4, 'INPUTS│Performance Commitments'!$K$3:$L$3, 0 ) + 8, 0 ), "-" )</f>
        <v>328</v>
      </c>
      <c r="W97" s="284">
        <f ca="1" xml:space="preserve"> IF( $D97 &gt; 1, OFFSET( 'INPUTS│Performance Commitments'!$J$201, MATCH( $C97, 'INPUTS│Performance Commitments'!$C$201:$C$217, 0 ), MATCH( $V$4, 'INPUTS│Performance Commitments'!$K$3:$L$3, 0 ) ), "-" )</f>
        <v>7</v>
      </c>
      <c r="X97" s="284">
        <f xml:space="preserve"> _xlfn.IFNA( VLOOKUP( $C97, 'INPUTS│Performance Commitments'!$C$181:$L$197, MATCH( X$4, 'INPUTS│Performance Commitments'!$K$3:$L$3, 0 ) + 8, 0 ), "-" )</f>
        <v>369</v>
      </c>
      <c r="Y97" s="284">
        <f ca="1" xml:space="preserve"> IF( $D97 &gt; 1, OFFSET( 'INPUTS│Performance Commitments'!$J$181, MATCH( $C97, 'INPUTS│Performance Commitments'!$C$181:$C$197, 0 ), MATCH( $X$4, 'INPUTS│Performance Commitments'!$K$3:$L$3, 0 ) ), "-" )</f>
        <v>2</v>
      </c>
    </row>
    <row r="98" spans="2:26" hidden="1" outlineLevel="1" x14ac:dyDescent="0.2">
      <c r="C98" s="8" t="s">
        <v>117</v>
      </c>
      <c r="D98" s="202">
        <f xml:space="preserve"> COUNTIF( 'INPUTS│Performance Commitments'!$C$181:$C$197, C98 )</f>
        <v>2</v>
      </c>
      <c r="E98" s="51"/>
      <c r="F98" s="287">
        <f xml:space="preserve"> _xlfn.IFNA( VLOOKUP( $C98, 'INPUTS│Performance Commitments'!$C$201:$I$217, MATCH( F$4, 'INPUTS│Performance Commitments'!$G$3:$I$3, 0 ) + 4, 0 ), "-" )</f>
        <v>237</v>
      </c>
      <c r="G98" s="287">
        <f ca="1" xml:space="preserve"> IF( $D98 &gt; 1, OFFSET( 'INPUTS│Performance Commitments'!$F$201, MATCH( $C98, 'INPUTS│Performance Commitments'!$C$201:$C$217, 0 ), MATCH( $F$4, 'INPUTS│Performance Commitments'!$G$3:$I$3, 0 ) ), "-" )</f>
        <v>3</v>
      </c>
      <c r="H98" s="287">
        <f xml:space="preserve"> _xlfn.IFNA( VLOOKUP( $C98, 'INPUTS│Performance Commitments'!$C$181:$I$197, MATCH( H$4, 'INPUTS│Performance Commitments'!$G$3:$I$3, 0 ) + 4, 0 ), "-" )</f>
        <v>218</v>
      </c>
      <c r="I98" s="287">
        <f ca="1" xml:space="preserve"> IF( $D98 &gt; 1, OFFSET( 'INPUTS│Performance Commitments'!$F$181, MATCH( $C98, 'INPUTS│Performance Commitments'!$C$181:$C$197, 0 ), MATCH( $H$4, 'INPUTS│Performance Commitments'!$G$3:$I$3, 0 ) ), "-" )</f>
        <v>0</v>
      </c>
      <c r="J98" s="82" t="str">
        <f t="shared" si="32"/>
        <v>Failed</v>
      </c>
      <c r="K98" s="82" t="str">
        <f t="shared" ca="1" si="33"/>
        <v>Failed</v>
      </c>
      <c r="L98" s="282">
        <f t="shared" ca="1" si="30"/>
        <v>0</v>
      </c>
      <c r="M98" s="51"/>
      <c r="N98" s="287">
        <f xml:space="preserve"> _xlfn.IFNA( VLOOKUP( $C98, 'INPUTS│Performance Commitments'!$C$201:$I$217, MATCH( N$4, 'INPUTS│Performance Commitments'!$G$3:$I$3, 0 ) + 4, 0 ), "-" )</f>
        <v>248</v>
      </c>
      <c r="O98" s="287">
        <f ca="1" xml:space="preserve"> IF( $D98 &gt; 1, OFFSET( 'INPUTS│Performance Commitments'!$F$201, MATCH( $C98, 'INPUTS│Performance Commitments'!$C$201:$C$217, 0 ), MATCH( $N$4, 'INPUTS│Performance Commitments'!$G$3:$I$3, 0 ) ), "-" )</f>
        <v>2</v>
      </c>
      <c r="P98" s="287">
        <f xml:space="preserve"> _xlfn.IFNA( VLOOKUP( $C98, 'INPUTS│Performance Commitments'!$C$181:$I$197, MATCH( P$4, 'INPUTS│Performance Commitments'!$G$3:$I$3, 0 ) + 4, 0 ), "-" )</f>
        <v>208</v>
      </c>
      <c r="Q98" s="287">
        <f ca="1" xml:space="preserve"> IF( $D98 &gt; 1, OFFSET( 'INPUTS│Performance Commitments'!$F$181, MATCH( $C98, 'INPUTS│Performance Commitments'!$C$181:$C$197, 0 ), MATCH( $P$4, 'INPUTS│Performance Commitments'!$G$3:$I$3, 0 ) ), "-" )</f>
        <v>0</v>
      </c>
      <c r="R98" s="82" t="str">
        <f t="shared" si="34"/>
        <v>Failed</v>
      </c>
      <c r="S98" s="82" t="str">
        <f t="shared" ca="1" si="35"/>
        <v>Failed</v>
      </c>
      <c r="T98" s="282">
        <f t="shared" ca="1" si="31"/>
        <v>0</v>
      </c>
      <c r="U98" s="51"/>
      <c r="V98" s="284">
        <f xml:space="preserve"> _xlfn.IFNA( VLOOKUP( $C98, 'INPUTS│Performance Commitments'!$C$201:$L$217, MATCH( V$4, 'INPUTS│Performance Commitments'!$K$3:$L$3, 0 ) + 8, 0 ), "-" )</f>
        <v>248</v>
      </c>
      <c r="W98" s="284">
        <f ca="1" xml:space="preserve"> IF( $D98 &gt; 1, OFFSET( 'INPUTS│Performance Commitments'!$J$201, MATCH( $C98, 'INPUTS│Performance Commitments'!$C$201:$C$217, 0 ), MATCH( $V$4, 'INPUTS│Performance Commitments'!$K$3:$L$3, 0 ) ), "-" )</f>
        <v>2</v>
      </c>
      <c r="X98" s="284">
        <f xml:space="preserve"> _xlfn.IFNA( VLOOKUP( $C98, 'INPUTS│Performance Commitments'!$C$181:$L$197, MATCH( X$4, 'INPUTS│Performance Commitments'!$K$3:$L$3, 0 ) + 8, 0 ), "-" )</f>
        <v>208</v>
      </c>
      <c r="Y98" s="284">
        <f ca="1" xml:space="preserve"> IF( $D98 &gt; 1, OFFSET( 'INPUTS│Performance Commitments'!$J$181, MATCH( $C98, 'INPUTS│Performance Commitments'!$C$181:$C$197, 0 ), MATCH( $X$4, 'INPUTS│Performance Commitments'!$K$3:$L$3, 0 ) ), "-" )</f>
        <v>0</v>
      </c>
    </row>
    <row r="99" spans="2:26" hidden="1" outlineLevel="1" x14ac:dyDescent="0.2">
      <c r="C99" s="8" t="s">
        <v>93</v>
      </c>
      <c r="D99" s="202">
        <f xml:space="preserve"> COUNTIF( 'INPUTS│Performance Commitments'!$C$181:$C$197, C99 )</f>
        <v>2</v>
      </c>
      <c r="E99" s="51"/>
      <c r="F99" s="287">
        <f xml:space="preserve"> _xlfn.IFNA( VLOOKUP( $C99, 'INPUTS│Performance Commitments'!$C$201:$I$217, MATCH( F$4, 'INPUTS│Performance Commitments'!$G$3:$I$3, 0 ) + 4, 0 ), "-" )</f>
        <v>131</v>
      </c>
      <c r="G99" s="287">
        <f ca="1" xml:space="preserve"> IF( $D99 &gt; 1, OFFSET( 'INPUTS│Performance Commitments'!$F$201, MATCH( $C99, 'INPUTS│Performance Commitments'!$C$201:$C$217, 0 ), MATCH( $F$4, 'INPUTS│Performance Commitments'!$G$3:$I$3, 0 ) ), "-" )</f>
        <v>4</v>
      </c>
      <c r="H99" s="287">
        <f xml:space="preserve"> _xlfn.IFNA( VLOOKUP( $C99, 'INPUTS│Performance Commitments'!$C$181:$I$197, MATCH( H$4, 'INPUTS│Performance Commitments'!$G$3:$I$3, 0 ) + 4, 0 ), "-" )</f>
        <v>158</v>
      </c>
      <c r="I99" s="287">
        <f ca="1" xml:space="preserve"> IF( $D99 &gt; 1, OFFSET( 'INPUTS│Performance Commitments'!$F$181, MATCH( $C99, 'INPUTS│Performance Commitments'!$C$181:$C$197, 0 ), MATCH( $H$4, 'INPUTS│Performance Commitments'!$G$3:$I$3, 0 ) ), "-" )</f>
        <v>4</v>
      </c>
      <c r="J99" s="82" t="str">
        <f t="shared" si="32"/>
        <v>Met</v>
      </c>
      <c r="K99" s="82" t="str">
        <f t="shared" ca="1" si="33"/>
        <v>Met</v>
      </c>
      <c r="L99" s="282">
        <f t="shared" ca="1" si="30"/>
        <v>1</v>
      </c>
      <c r="M99" s="51"/>
      <c r="N99" s="287">
        <f xml:space="preserve"> _xlfn.IFNA( VLOOKUP( $C99, 'INPUTS│Performance Commitments'!$C$201:$I$217, MATCH( N$4, 'INPUTS│Performance Commitments'!$G$3:$I$3, 0 ) + 4, 0 ), "-" )</f>
        <v>144</v>
      </c>
      <c r="O99" s="287">
        <f ca="1" xml:space="preserve"> IF( $D99 &gt; 1, OFFSET( 'INPUTS│Performance Commitments'!$F$201, MATCH( $C99, 'INPUTS│Performance Commitments'!$C$201:$C$217, 0 ), MATCH( $N$4, 'INPUTS│Performance Commitments'!$G$3:$I$3, 0 ) ), "-" )</f>
        <v>7</v>
      </c>
      <c r="P99" s="287">
        <f xml:space="preserve"> _xlfn.IFNA( VLOOKUP( $C99, 'INPUTS│Performance Commitments'!$C$181:$I$197, MATCH( P$4, 'INPUTS│Performance Commitments'!$G$3:$I$3, 0 ) + 4, 0 ), "-" )</f>
        <v>158</v>
      </c>
      <c r="Q99" s="287">
        <f ca="1" xml:space="preserve"> IF( $D99 &gt; 1, OFFSET( 'INPUTS│Performance Commitments'!$F$181, MATCH( $C99, 'INPUTS│Performance Commitments'!$C$181:$C$197, 0 ), MATCH( $P$4, 'INPUTS│Performance Commitments'!$G$3:$I$3, 0 ) ), "-" )</f>
        <v>2</v>
      </c>
      <c r="R99" s="82" t="str">
        <f t="shared" si="34"/>
        <v>Met</v>
      </c>
      <c r="S99" s="82" t="str">
        <f t="shared" ca="1" si="35"/>
        <v>Failed</v>
      </c>
      <c r="T99" s="282">
        <f t="shared" ca="1" si="31"/>
        <v>0.5</v>
      </c>
      <c r="U99" s="51"/>
      <c r="V99" s="284">
        <f xml:space="preserve"> _xlfn.IFNA( VLOOKUP( $C99, 'INPUTS│Performance Commitments'!$C$201:$L$217, MATCH( V$4, 'INPUTS│Performance Commitments'!$K$3:$L$3, 0 ) + 8, 0 ), "-" )</f>
        <v>144</v>
      </c>
      <c r="W99" s="284">
        <f ca="1" xml:space="preserve"> IF( $D99 &gt; 1, OFFSET( 'INPUTS│Performance Commitments'!$J$201, MATCH( $C99, 'INPUTS│Performance Commitments'!$C$201:$C$217, 0 ), MATCH( $V$4, 'INPUTS│Performance Commitments'!$K$3:$L$3, 0 ) ), "-" )</f>
        <v>7</v>
      </c>
      <c r="X99" s="284">
        <f xml:space="preserve"> _xlfn.IFNA( VLOOKUP( $C99, 'INPUTS│Performance Commitments'!$C$181:$L$197, MATCH( X$4, 'INPUTS│Performance Commitments'!$K$3:$L$3, 0 ) + 8, 0 ), "-" )</f>
        <v>158</v>
      </c>
      <c r="Y99" s="284">
        <f ca="1" xml:space="preserve"> IF( $D99 &gt; 1, OFFSET( 'INPUTS│Performance Commitments'!$J$181, MATCH( $C99, 'INPUTS│Performance Commitments'!$C$181:$C$197, 0 ), MATCH( $X$4, 'INPUTS│Performance Commitments'!$K$3:$L$3, 0 ) ), "-" )</f>
        <v>2</v>
      </c>
    </row>
    <row r="100" spans="2:26" hidden="1" outlineLevel="1" x14ac:dyDescent="0.2">
      <c r="C100" s="8" t="s">
        <v>95</v>
      </c>
      <c r="D100" s="202">
        <f xml:space="preserve"> COUNTIF( 'INPUTS│Performance Commitments'!$C$181:$C$197, C100 )</f>
        <v>1</v>
      </c>
      <c r="E100" s="51"/>
      <c r="F100" s="287">
        <f xml:space="preserve"> _xlfn.IFNA( VLOOKUP( $C100, 'INPUTS│Performance Commitments'!$C$201:$I$217, MATCH( F$4, 'INPUTS│Performance Commitments'!$G$3:$I$3, 0 ) + 4, 0 ), "-" )</f>
        <v>292</v>
      </c>
      <c r="G100" s="287" t="str">
        <f ca="1" xml:space="preserve"> IF( $D100 &gt; 1, OFFSET( 'INPUTS│Performance Commitments'!$F$201, MATCH( $C100, 'INPUTS│Performance Commitments'!$C$201:$C$217, 0 ), MATCH( $F$4, 'INPUTS│Performance Commitments'!$G$3:$I$3, 0 ) ), "-" )</f>
        <v>-</v>
      </c>
      <c r="H100" s="287">
        <f xml:space="preserve"> _xlfn.IFNA( VLOOKUP( $C100, 'INPUTS│Performance Commitments'!$C$181:$I$197, MATCH( H$4, 'INPUTS│Performance Commitments'!$G$3:$I$3, 0 ) + 4, 0 ), "-" )</f>
        <v>340</v>
      </c>
      <c r="I100" s="287" t="str">
        <f ca="1" xml:space="preserve"> IF( $D100 &gt; 1, OFFSET( 'INPUTS│Performance Commitments'!$F$181, MATCH( $C100, 'INPUTS│Performance Commitments'!$C$181:$C$197, 0 ), MATCH( $H$4, 'INPUTS│Performance Commitments'!$G$3:$I$3, 0 ) ), "-" )</f>
        <v>-</v>
      </c>
      <c r="J100" s="82" t="str">
        <f t="shared" si="32"/>
        <v>Met</v>
      </c>
      <c r="K100" s="82" t="str">
        <f t="shared" ca="1" si="33"/>
        <v>-</v>
      </c>
      <c r="L100" s="282">
        <f t="shared" ca="1" si="30"/>
        <v>1</v>
      </c>
      <c r="M100" s="51"/>
      <c r="N100" s="287">
        <f xml:space="preserve"> _xlfn.IFNA( VLOOKUP( $C100, 'INPUTS│Performance Commitments'!$C$201:$I$217, MATCH( N$4, 'INPUTS│Performance Commitments'!$G$3:$I$3, 0 ) + 4, 0 ), "-" )</f>
        <v>295</v>
      </c>
      <c r="O100" s="287" t="str">
        <f ca="1" xml:space="preserve"> IF( $D100 &gt; 1, OFFSET( 'INPUTS│Performance Commitments'!$F$201, MATCH( $C100, 'INPUTS│Performance Commitments'!$C$201:$C$217, 0 ), MATCH( $N$4, 'INPUTS│Performance Commitments'!$G$3:$I$3, 0 ) ), "-" )</f>
        <v>-</v>
      </c>
      <c r="P100" s="287">
        <f xml:space="preserve"> _xlfn.IFNA( VLOOKUP( $C100, 'INPUTS│Performance Commitments'!$C$181:$I$197, MATCH( P$4, 'INPUTS│Performance Commitments'!$G$3:$I$3, 0 ) + 4, 0 ), "-" )</f>
        <v>340</v>
      </c>
      <c r="Q100" s="287" t="str">
        <f ca="1" xml:space="preserve"> IF( $D100 &gt; 1, OFFSET( 'INPUTS│Performance Commitments'!$F$181, MATCH( $C100, 'INPUTS│Performance Commitments'!$C$181:$C$197, 0 ), MATCH( $P$4, 'INPUTS│Performance Commitments'!$G$3:$I$3, 0 ) ), "-" )</f>
        <v>-</v>
      </c>
      <c r="R100" s="82" t="str">
        <f t="shared" si="34"/>
        <v>Met</v>
      </c>
      <c r="S100" s="82" t="str">
        <f t="shared" ca="1" si="35"/>
        <v>-</v>
      </c>
      <c r="T100" s="282">
        <f t="shared" ca="1" si="31"/>
        <v>1</v>
      </c>
      <c r="U100" s="51"/>
      <c r="V100" s="284">
        <f xml:space="preserve"> _xlfn.IFNA( VLOOKUP( $C100, 'INPUTS│Performance Commitments'!$C$201:$L$217, MATCH( V$4, 'INPUTS│Performance Commitments'!$K$3:$L$3, 0 ) + 8, 0 ), "-" )</f>
        <v>295</v>
      </c>
      <c r="W100" s="284" t="str">
        <f ca="1" xml:space="preserve"> IF( $D100 &gt; 1, OFFSET( 'INPUTS│Performance Commitments'!$J$201, MATCH( $C100, 'INPUTS│Performance Commitments'!$C$201:$C$217, 0 ), MATCH( $V$4, 'INPUTS│Performance Commitments'!$K$3:$L$3, 0 ) ), "-" )</f>
        <v>-</v>
      </c>
      <c r="X100" s="284">
        <f xml:space="preserve"> _xlfn.IFNA( VLOOKUP( $C100, 'INPUTS│Performance Commitments'!$C$181:$L$197, MATCH( X$4, 'INPUTS│Performance Commitments'!$K$3:$L$3, 0 ) + 8, 0 ), "-" )</f>
        <v>340</v>
      </c>
      <c r="Y100" s="284" t="str">
        <f ca="1" xml:space="preserve"> IF( $D100 &gt; 1, OFFSET( 'INPUTS│Performance Commitments'!$J$181, MATCH( $C100, 'INPUTS│Performance Commitments'!$C$181:$C$197, 0 ), MATCH( $X$4, 'INPUTS│Performance Commitments'!$K$3:$L$3, 0 ) ), "-" )</f>
        <v>-</v>
      </c>
    </row>
    <row r="101" spans="2:26" hidden="1" outlineLevel="1" x14ac:dyDescent="0.2">
      <c r="C101" s="8" t="s">
        <v>97</v>
      </c>
      <c r="D101" s="202">
        <f xml:space="preserve"> COUNTIF( 'INPUTS│Performance Commitments'!$C$181:$C$197, C101 )</f>
        <v>2</v>
      </c>
      <c r="E101" s="51"/>
      <c r="F101" s="287">
        <f xml:space="preserve"> _xlfn.IFNA( VLOOKUP( $C101, 'INPUTS│Performance Commitments'!$C$201:$I$217, MATCH( F$4, 'INPUTS│Performance Commitments'!$G$3:$I$3, 0 ) + 4, 0 ), "-" )</f>
        <v>129</v>
      </c>
      <c r="G101" s="287">
        <f ca="1" xml:space="preserve"> IF( $D101 &gt; 1, OFFSET( 'INPUTS│Performance Commitments'!$F$201, MATCH( $C101, 'INPUTS│Performance Commitments'!$C$201:$C$217, 0 ), MATCH( $F$4, 'INPUTS│Performance Commitments'!$G$3:$I$3, 0 ) ), "-" )</f>
        <v>0</v>
      </c>
      <c r="H101" s="287">
        <f xml:space="preserve"> _xlfn.IFNA( VLOOKUP( $C101, 'INPUTS│Performance Commitments'!$C$181:$I$197, MATCH( H$4, 'INPUTS│Performance Commitments'!$G$3:$I$3, 0 ) + 4, 0 ), "-" )</f>
        <v>198</v>
      </c>
      <c r="I101" s="287">
        <f ca="1" xml:space="preserve"> IF( $D101 &gt; 1, OFFSET( 'INPUTS│Performance Commitments'!$F$181, MATCH( $C101, 'INPUTS│Performance Commitments'!$C$181:$C$197, 0 ), MATCH( $H$4, 'INPUTS│Performance Commitments'!$G$3:$I$3, 0 ) ), "-" )</f>
        <v>3</v>
      </c>
      <c r="J101" s="82" t="str">
        <f t="shared" si="32"/>
        <v>Met</v>
      </c>
      <c r="K101" s="82" t="str">
        <f t="shared" ca="1" si="33"/>
        <v>Met</v>
      </c>
      <c r="L101" s="282">
        <f t="shared" ca="1" si="30"/>
        <v>1</v>
      </c>
      <c r="M101" s="51"/>
      <c r="N101" s="287">
        <f xml:space="preserve"> _xlfn.IFNA( VLOOKUP( $C101, 'INPUTS│Performance Commitments'!$C$201:$I$217, MATCH( N$4, 'INPUTS│Performance Commitments'!$G$3:$I$3, 0 ) + 4, 0 ), "-" )</f>
        <v>143</v>
      </c>
      <c r="O101" s="287">
        <f ca="1" xml:space="preserve"> IF( $D101 &gt; 1, OFFSET( 'INPUTS│Performance Commitments'!$F$201, MATCH( $C101, 'INPUTS│Performance Commitments'!$C$201:$C$217, 0 ), MATCH( $N$4, 'INPUTS│Performance Commitments'!$G$3:$I$3, 0 ) ), "-" )</f>
        <v>1</v>
      </c>
      <c r="P101" s="287">
        <f xml:space="preserve"> _xlfn.IFNA( VLOOKUP( $C101, 'INPUTS│Performance Commitments'!$C$181:$I$197, MATCH( P$4, 'INPUTS│Performance Commitments'!$G$3:$I$3, 0 ) + 4, 0 ), "-" )</f>
        <v>195</v>
      </c>
      <c r="Q101" s="287">
        <f ca="1" xml:space="preserve"> IF( $D101 &gt; 1, OFFSET( 'INPUTS│Performance Commitments'!$F$181, MATCH( $C101, 'INPUTS│Performance Commitments'!$C$181:$C$197, 0 ), MATCH( $P$4, 'INPUTS│Performance Commitments'!$G$3:$I$3, 0 ) ), "-" )</f>
        <v>3</v>
      </c>
      <c r="R101" s="82" t="str">
        <f t="shared" si="34"/>
        <v>Met</v>
      </c>
      <c r="S101" s="82" t="str">
        <f t="shared" ca="1" si="35"/>
        <v>Met</v>
      </c>
      <c r="T101" s="282">
        <f t="shared" ca="1" si="31"/>
        <v>1</v>
      </c>
      <c r="U101" s="51"/>
      <c r="V101" s="284">
        <f xml:space="preserve"> _xlfn.IFNA( VLOOKUP( $C101, 'INPUTS│Performance Commitments'!$C$201:$L$217, MATCH( V$4, 'INPUTS│Performance Commitments'!$K$3:$L$3, 0 ) + 8, 0 ), "-" )</f>
        <v>143</v>
      </c>
      <c r="W101" s="284">
        <f ca="1" xml:space="preserve"> IF( $D101 &gt; 1, OFFSET( 'INPUTS│Performance Commitments'!$J$201, MATCH( $C101, 'INPUTS│Performance Commitments'!$C$201:$C$217, 0 ), MATCH( $V$4, 'INPUTS│Performance Commitments'!$K$3:$L$3, 0 ) ), "-" )</f>
        <v>1</v>
      </c>
      <c r="X101" s="284">
        <f xml:space="preserve"> _xlfn.IFNA( VLOOKUP( $C101, 'INPUTS│Performance Commitments'!$C$181:$L$197, MATCH( X$4, 'INPUTS│Performance Commitments'!$K$3:$L$3, 0 ) + 8, 0 ), "-" )</f>
        <v>195</v>
      </c>
      <c r="Y101" s="284">
        <f ca="1" xml:space="preserve"> IF( $D101 &gt; 1, OFFSET( 'INPUTS│Performance Commitments'!$J$181, MATCH( $C101, 'INPUTS│Performance Commitments'!$C$181:$C$197, 0 ), MATCH( $X$4, 'INPUTS│Performance Commitments'!$K$3:$L$3, 0 ) ), "-" )</f>
        <v>3</v>
      </c>
    </row>
    <row r="102" spans="2:26" hidden="1" outlineLevel="1" x14ac:dyDescent="0.2">
      <c r="C102" s="8" t="s">
        <v>99</v>
      </c>
      <c r="D102" s="202">
        <f xml:space="preserve"> COUNTIF( 'INPUTS│Performance Commitments'!$C$181:$C$197, C102 )</f>
        <v>0</v>
      </c>
      <c r="E102" s="51"/>
      <c r="F102" s="287" t="str">
        <f xml:space="preserve"> _xlfn.IFNA( VLOOKUP( $C102, 'INPUTS│Performance Commitments'!$C$201:$I$217, MATCH( F$4, 'INPUTS│Performance Commitments'!$G$3:$I$3, 0 ) + 4, 0 ), "-" )</f>
        <v>-</v>
      </c>
      <c r="G102" s="287" t="str">
        <f ca="1" xml:space="preserve"> IF( $D102 &gt; 1, OFFSET( 'INPUTS│Performance Commitments'!$F$201, MATCH( $C102, 'INPUTS│Performance Commitments'!$C$201:$C$217, 0 ), MATCH( $F$4, 'INPUTS│Performance Commitments'!$G$3:$I$3, 0 ) ), "-" )</f>
        <v>-</v>
      </c>
      <c r="H102" s="287" t="str">
        <f xml:space="preserve"> _xlfn.IFNA( VLOOKUP( $C102, 'INPUTS│Performance Commitments'!$C$181:$I$197, MATCH( H$4, 'INPUTS│Performance Commitments'!$G$3:$I$3, 0 ) + 4, 0 ), "-" )</f>
        <v>-</v>
      </c>
      <c r="I102" s="287" t="str">
        <f ca="1" xml:space="preserve"> IF( $D102 &gt; 1, OFFSET( 'INPUTS│Performance Commitments'!$F$181, MATCH( $C102, 'INPUTS│Performance Commitments'!$C$181:$C$197, 0 ), MATCH( $H$4, 'INPUTS│Performance Commitments'!$G$3:$I$3, 0 ) ), "-" )</f>
        <v>-</v>
      </c>
      <c r="J102" s="82" t="str">
        <f t="shared" si="32"/>
        <v>-</v>
      </c>
      <c r="K102" s="82" t="str">
        <f t="shared" ca="1" si="33"/>
        <v>-</v>
      </c>
      <c r="L102" s="282" t="str">
        <f xml:space="preserve"> IF( H102 = "-", "-", COUNTIF( J102:K102, "Met" ) / $D102 )</f>
        <v>-</v>
      </c>
      <c r="M102" s="51"/>
      <c r="N102" s="287" t="str">
        <f xml:space="preserve"> _xlfn.IFNA( VLOOKUP( $C102, 'INPUTS│Performance Commitments'!$C$201:$I$217, MATCH( N$4, 'INPUTS│Performance Commitments'!$G$3:$I$3, 0 ) + 4, 0 ), "-" )</f>
        <v>-</v>
      </c>
      <c r="O102" s="287" t="str">
        <f ca="1" xml:space="preserve"> IF( $D102 &gt; 1, OFFSET( 'INPUTS│Performance Commitments'!$F$201, MATCH( $C102, 'INPUTS│Performance Commitments'!$C$201:$C$217, 0 ), MATCH( $N$4, 'INPUTS│Performance Commitments'!$G$3:$I$3, 0 ) ), "-" )</f>
        <v>-</v>
      </c>
      <c r="P102" s="287" t="str">
        <f xml:space="preserve"> _xlfn.IFNA( VLOOKUP( $C102, 'INPUTS│Performance Commitments'!$C$181:$I$197, MATCH( P$4, 'INPUTS│Performance Commitments'!$G$3:$I$3, 0 ) + 4, 0 ), "-" )</f>
        <v>-</v>
      </c>
      <c r="Q102" s="287" t="str">
        <f ca="1" xml:space="preserve"> IF( $D102 &gt; 1, OFFSET( 'INPUTS│Performance Commitments'!$F$181, MATCH( $C102, 'INPUTS│Performance Commitments'!$C$181:$C$197, 0 ), MATCH( $P$4, 'INPUTS│Performance Commitments'!$G$3:$I$3, 0 ) ), "-" )</f>
        <v>-</v>
      </c>
      <c r="R102" s="82" t="str">
        <f t="shared" si="34"/>
        <v>-</v>
      </c>
      <c r="S102" s="82" t="str">
        <f t="shared" ca="1" si="35"/>
        <v>-</v>
      </c>
      <c r="T102" s="282" t="str">
        <f xml:space="preserve"> IF( P102 = "-", "-", COUNTIF( R102:S102, "Met" ) / $D102 )</f>
        <v>-</v>
      </c>
      <c r="U102" s="51"/>
      <c r="V102" s="284" t="str">
        <f xml:space="preserve"> _xlfn.IFNA( VLOOKUP( $C102, 'INPUTS│Performance Commitments'!$C$201:$L$217, MATCH( V$4, 'INPUTS│Performance Commitments'!$K$3:$L$3, 0 ) + 8, 0 ), "-" )</f>
        <v>-</v>
      </c>
      <c r="W102" s="284" t="str">
        <f ca="1" xml:space="preserve"> IF( $D102 &gt; 1, OFFSET( 'INPUTS│Performance Commitments'!$J$201, MATCH( $C102, 'INPUTS│Performance Commitments'!$C$201:$C$217, 0 ), MATCH( $V$4, 'INPUTS│Performance Commitments'!$K$3:$L$3, 0 ) ), "-" )</f>
        <v>-</v>
      </c>
      <c r="X102" s="284" t="str">
        <f xml:space="preserve"> _xlfn.IFNA( VLOOKUP( $C102, 'INPUTS│Performance Commitments'!$C$181:$L$197, MATCH( X$4, 'INPUTS│Performance Commitments'!$K$3:$L$3, 0 ) + 8, 0 ), "-" )</f>
        <v>-</v>
      </c>
      <c r="Y102" s="284" t="str">
        <f ca="1" xml:space="preserve"> IF( $D102 &gt; 1, OFFSET( 'INPUTS│Performance Commitments'!$J$181, MATCH( $C102, 'INPUTS│Performance Commitments'!$C$181:$C$197, 0 ), MATCH( $X$4, 'INPUTS│Performance Commitments'!$K$3:$L$3, 0 ) ), "-" )</f>
        <v>-</v>
      </c>
    </row>
    <row r="103" spans="2:26" hidden="1" outlineLevel="1" x14ac:dyDescent="0.2">
      <c r="C103" s="8" t="s">
        <v>101</v>
      </c>
      <c r="D103" s="202">
        <f xml:space="preserve"> COUNTIF( 'INPUTS│Performance Commitments'!$C$181:$C$197, C103 )</f>
        <v>2</v>
      </c>
      <c r="E103" s="51"/>
      <c r="F103" s="287">
        <f xml:space="preserve"> _xlfn.IFNA( VLOOKUP( $C103, 'INPUTS│Performance Commitments'!$C$201:$I$217, MATCH( F$4, 'INPUTS│Performance Commitments'!$G$3:$I$3, 0 ) + 4, 0 ), "-" )</f>
        <v>202</v>
      </c>
      <c r="G103" s="287">
        <f ca="1" xml:space="preserve"> IF( $D103 &gt; 1, OFFSET( 'INPUTS│Performance Commitments'!$F$201, MATCH( $C103, 'INPUTS│Performance Commitments'!$C$201:$C$217, 0 ), MATCH( $F$4, 'INPUTS│Performance Commitments'!$G$3:$I$3, 0 ) ), "-" )</f>
        <v>3</v>
      </c>
      <c r="H103" s="287">
        <f xml:space="preserve"> _xlfn.IFNA( VLOOKUP( $C103, 'INPUTS│Performance Commitments'!$C$181:$I$197, MATCH( H$4, 'INPUTS│Performance Commitments'!$G$3:$I$3, 0 ) + 4, 0 ), "-" )</f>
        <v>211</v>
      </c>
      <c r="I103" s="287">
        <f ca="1" xml:space="preserve"> IF( $D103 &gt; 1, OFFSET( 'INPUTS│Performance Commitments'!$F$181, MATCH( $C103, 'INPUTS│Performance Commitments'!$C$181:$C$197, 0 ), MATCH( $H$4, 'INPUTS│Performance Commitments'!$G$3:$I$3, 0 ) ), "-" )</f>
        <v>4</v>
      </c>
      <c r="J103" s="82" t="str">
        <f t="shared" si="32"/>
        <v>Met</v>
      </c>
      <c r="K103" s="82" t="str">
        <f t="shared" ca="1" si="33"/>
        <v>Met</v>
      </c>
      <c r="L103" s="282">
        <f ca="1" xml:space="preserve"> IF( H103 = "-", "-", COUNTIF( J103:K103, "Met" ) / $D103 )</f>
        <v>1</v>
      </c>
      <c r="M103" s="51"/>
      <c r="N103" s="287">
        <f xml:space="preserve"> _xlfn.IFNA( VLOOKUP( $C103, 'INPUTS│Performance Commitments'!$C$201:$I$217, MATCH( N$4, 'INPUTS│Performance Commitments'!$G$3:$I$3, 0 ) + 4, 0 ), "-" )</f>
        <v>188</v>
      </c>
      <c r="O103" s="287">
        <f ca="1" xml:space="preserve"> IF( $D103 &gt; 1, OFFSET( 'INPUTS│Performance Commitments'!$F$201, MATCH( $C103, 'INPUTS│Performance Commitments'!$C$201:$C$217, 0 ), MATCH( $N$4, 'INPUTS│Performance Commitments'!$G$3:$I$3, 0 ) ), "-" )</f>
        <v>11</v>
      </c>
      <c r="P103" s="287">
        <f xml:space="preserve"> _xlfn.IFNA( VLOOKUP( $C103, 'INPUTS│Performance Commitments'!$C$181:$I$197, MATCH( P$4, 'INPUTS│Performance Commitments'!$G$3:$I$3, 0 ) + 4, 0 ), "-" )</f>
        <v>211</v>
      </c>
      <c r="Q103" s="287">
        <f ca="1" xml:space="preserve"> IF( $D103 &gt; 1, OFFSET( 'INPUTS│Performance Commitments'!$F$181, MATCH( $C103, 'INPUTS│Performance Commitments'!$C$181:$C$197, 0 ), MATCH( $P$4, 'INPUTS│Performance Commitments'!$G$3:$I$3, 0 ) ), "-" )</f>
        <v>2</v>
      </c>
      <c r="R103" s="82" t="str">
        <f t="shared" si="34"/>
        <v>Met</v>
      </c>
      <c r="S103" s="82" t="str">
        <f t="shared" ca="1" si="35"/>
        <v>Failed</v>
      </c>
      <c r="T103" s="282">
        <f ca="1" xml:space="preserve"> IF( P103 = "-", "-", COUNTIF( R103:S103, "Met" ) / $D103 )</f>
        <v>0.5</v>
      </c>
      <c r="U103" s="51"/>
      <c r="V103" s="284">
        <f xml:space="preserve"> _xlfn.IFNA( VLOOKUP( $C103, 'INPUTS│Performance Commitments'!$C$201:$L$217, MATCH( V$4, 'INPUTS│Performance Commitments'!$K$3:$L$3, 0 ) + 8, 0 ), "-" )</f>
        <v>188</v>
      </c>
      <c r="W103" s="284">
        <f ca="1" xml:space="preserve"> IF( $D103 &gt; 1, OFFSET( 'INPUTS│Performance Commitments'!$J$201, MATCH( $C103, 'INPUTS│Performance Commitments'!$C$201:$C$217, 0 ), MATCH( $V$4, 'INPUTS│Performance Commitments'!$K$3:$L$3, 0 ) ), "-" )</f>
        <v>11</v>
      </c>
      <c r="X103" s="284">
        <f xml:space="preserve"> _xlfn.IFNA( VLOOKUP( $C103, 'INPUTS│Performance Commitments'!$C$181:$L$197, MATCH( X$4, 'INPUTS│Performance Commitments'!$K$3:$L$3, 0 ) + 8, 0 ), "-" )</f>
        <v>211</v>
      </c>
      <c r="Y103" s="284">
        <f ca="1" xml:space="preserve"> IF( $D103 &gt; 1, OFFSET( 'INPUTS│Performance Commitments'!$J$181, MATCH( $C103, 'INPUTS│Performance Commitments'!$C$181:$C$197, 0 ), MATCH( $X$4, 'INPUTS│Performance Commitments'!$K$3:$L$3, 0 ) ), "-" )</f>
        <v>2</v>
      </c>
    </row>
    <row r="105" spans="2:26" x14ac:dyDescent="0.2">
      <c r="B105" s="20" t="s">
        <v>26</v>
      </c>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sheetData>
  <mergeCells count="21">
    <mergeCell ref="V2:Y2"/>
    <mergeCell ref="V4:W4"/>
    <mergeCell ref="X4:Y4"/>
    <mergeCell ref="V5:W5"/>
    <mergeCell ref="X5:Y5"/>
    <mergeCell ref="D2:T2"/>
    <mergeCell ref="R5:S5"/>
    <mergeCell ref="N5:O5"/>
    <mergeCell ref="N4:O4"/>
    <mergeCell ref="P4:Q4"/>
    <mergeCell ref="P5:Q5"/>
    <mergeCell ref="D4:D6"/>
    <mergeCell ref="L5:L6"/>
    <mergeCell ref="T5:T6"/>
    <mergeCell ref="F4:G4"/>
    <mergeCell ref="H4:I4"/>
    <mergeCell ref="F5:G5"/>
    <mergeCell ref="H5:I5"/>
    <mergeCell ref="J4:K4"/>
    <mergeCell ref="R4:S4"/>
    <mergeCell ref="J5:K5"/>
  </mergeCells>
  <pageMargins left="0.7" right="0.7" top="0.75" bottom="0.75" header="0.3" footer="0.3"/>
  <pageSetup paperSize="9" orientation="portrait" r:id="rId1"/>
  <ignoredErrors>
    <ignoredError sqref="F15:K15 D15 M15:S15 U15:Y15"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B2:AC147"/>
  <sheetViews>
    <sheetView showGridLines="0" workbookViewId="0"/>
  </sheetViews>
  <sheetFormatPr defaultRowHeight="12.75" outlineLevelRow="1" x14ac:dyDescent="0.2"/>
  <cols>
    <col min="1" max="2" width="2.625" style="8" customWidth="1"/>
    <col min="3" max="3" width="11.25" style="8" bestFit="1" customWidth="1"/>
    <col min="4" max="4" width="2.625" style="8" customWidth="1"/>
    <col min="5" max="8" width="8.625" style="8" customWidth="1"/>
    <col min="9" max="9" width="2.625" style="8" customWidth="1"/>
    <col min="10" max="13" width="8.625" style="8" customWidth="1"/>
    <col min="14" max="14" width="2.625" style="8" customWidth="1"/>
    <col min="15" max="18" width="8.625" style="8" customWidth="1"/>
    <col min="19" max="19" width="2.625" style="8" customWidth="1"/>
    <col min="20" max="23" width="8.625" style="8" customWidth="1"/>
    <col min="24" max="24" width="2.625" style="8" customWidth="1"/>
    <col min="25" max="28" width="8.625" style="8" customWidth="1"/>
    <col min="29" max="29" width="2.625" style="8" customWidth="1"/>
    <col min="30" max="16384" width="9" style="8"/>
  </cols>
  <sheetData>
    <row r="2" spans="2:29" ht="13.5" collapsed="1" x14ac:dyDescent="0.25">
      <c r="B2" s="9" t="s">
        <v>153</v>
      </c>
      <c r="C2" s="9"/>
      <c r="D2" s="9"/>
      <c r="E2" s="9"/>
      <c r="F2" s="9"/>
      <c r="G2" s="9"/>
      <c r="H2" s="9"/>
      <c r="I2" s="9"/>
      <c r="J2" s="9"/>
      <c r="K2" s="9"/>
      <c r="L2" s="9"/>
      <c r="M2" s="9"/>
      <c r="N2" s="9"/>
      <c r="O2" s="9"/>
      <c r="P2" s="9"/>
      <c r="Q2" s="9"/>
      <c r="R2" s="9"/>
      <c r="S2" s="9"/>
      <c r="T2" s="9"/>
      <c r="U2" s="9"/>
      <c r="V2" s="9"/>
      <c r="W2" s="9"/>
      <c r="X2" s="9"/>
      <c r="Y2" s="9"/>
      <c r="Z2" s="9"/>
      <c r="AA2" s="9"/>
      <c r="AB2" s="9"/>
      <c r="AC2" s="9"/>
    </row>
    <row r="3" spans="2:29" hidden="1" outlineLevel="1" x14ac:dyDescent="0.2"/>
    <row r="4" spans="2:29" s="84" customFormat="1" ht="30" hidden="1" customHeight="1" outlineLevel="1" x14ac:dyDescent="0.2">
      <c r="B4" s="266"/>
      <c r="C4" s="266"/>
      <c r="D4" s="266"/>
      <c r="E4" s="360" t="s">
        <v>511</v>
      </c>
      <c r="F4" s="360"/>
      <c r="G4" s="266"/>
      <c r="H4" s="266"/>
      <c r="I4" s="266"/>
      <c r="J4" s="360" t="s">
        <v>512</v>
      </c>
      <c r="K4" s="360"/>
      <c r="L4" s="266"/>
      <c r="M4" s="266"/>
      <c r="N4" s="266"/>
      <c r="O4" s="266"/>
      <c r="P4" s="266"/>
      <c r="Q4" s="266"/>
      <c r="R4" s="266"/>
      <c r="S4" s="266"/>
      <c r="T4" s="266"/>
      <c r="U4" s="266"/>
      <c r="V4" s="266"/>
      <c r="W4" s="266"/>
      <c r="X4" s="266"/>
      <c r="Y4" s="266"/>
      <c r="Z4" s="266"/>
      <c r="AA4" s="266"/>
      <c r="AB4" s="266"/>
      <c r="AC4" s="266"/>
    </row>
    <row r="5" spans="2:29" hidden="1" outlineLevel="1" x14ac:dyDescent="0.2">
      <c r="E5" s="361" t="str">
        <f>Year</f>
        <v>2018-19</v>
      </c>
      <c r="F5" s="361" t="s">
        <v>513</v>
      </c>
      <c r="J5" s="361" t="str">
        <f>Year</f>
        <v>2018-19</v>
      </c>
      <c r="K5" s="361" t="s">
        <v>513</v>
      </c>
    </row>
    <row r="6" spans="2:29" hidden="1" outlineLevel="1" x14ac:dyDescent="0.2">
      <c r="K6" s="285"/>
    </row>
    <row r="7" spans="2:29" hidden="1" outlineLevel="1" x14ac:dyDescent="0.2">
      <c r="C7" s="88" t="s">
        <v>79</v>
      </c>
      <c r="E7" s="164">
        <f xml:space="preserve"> VLOOKUP( $C7, 'CALCS│Wholesale Totex'!$C$165:$I$181, MATCH( E$5, 'CALCS│Wholesale Totex'!$C$2:$I$2, 0 ), 0 )</f>
        <v>-9.6219081319757385E-2</v>
      </c>
      <c r="F7" s="272">
        <f>IF( E7 &lt;= E$28, 3, IF( E7 &gt;= E$29, 1, 2 ) )</f>
        <v>3</v>
      </c>
      <c r="J7" s="164">
        <f xml:space="preserve"> VLOOKUP( $C7, 'CALCS│Residential Retail'!$C$329:$I$345, MATCH( J$5, 'CALCS│Residential Retail'!$C$2:$I$2, 0 ), 0 )</f>
        <v>-8.9765873370247862E-4</v>
      </c>
      <c r="K7" s="272">
        <f>IF( J7 &lt;= J$28, 3, IF( J7 &gt;= J$29, 1, 2 ) )</f>
        <v>2</v>
      </c>
    </row>
    <row r="8" spans="2:29" hidden="1" outlineLevel="1" x14ac:dyDescent="0.2">
      <c r="C8" s="8" t="s">
        <v>99</v>
      </c>
      <c r="E8" s="164">
        <f xml:space="preserve"> VLOOKUP( $C8, 'CALCS│Wholesale Totex'!$C$165:$I$181, MATCH( E$5, 'CALCS│Wholesale Totex'!$C$2:$I$2, 0 ), 0 )</f>
        <v>-9.9820690770586362E-2</v>
      </c>
      <c r="F8" s="272">
        <f t="shared" ref="F8:F9" si="0">IF( E8 &lt;= E$28, 3, IF( E8 &gt;= E$29, 1, 2 ) )</f>
        <v>3</v>
      </c>
      <c r="J8" s="164">
        <f xml:space="preserve"> VLOOKUP( $C8, 'CALCS│Residential Retail'!$C$329:$I$345, MATCH( J$5, 'CALCS│Residential Retail'!$C$2:$I$2, 0 ), 0 )</f>
        <v>-7.2009389607536542E-2</v>
      </c>
      <c r="K8" s="272">
        <f t="shared" ref="K8:K9" si="1">IF( J8 &lt;= J$28, 3, IF( J8 &gt;= J$29, 1, 2 ) )</f>
        <v>2</v>
      </c>
    </row>
    <row r="9" spans="2:29" hidden="1" outlineLevel="1" x14ac:dyDescent="0.2">
      <c r="C9" s="8" t="s">
        <v>107</v>
      </c>
      <c r="E9" s="164">
        <f xml:space="preserve"> VLOOKUP( $C9, 'CALCS│Wholesale Totex'!$C$165:$I$181, MATCH( E$5, 'CALCS│Wholesale Totex'!$C$2:$I$2, 0 ), 0 )</f>
        <v>-3.8438449201215037E-2</v>
      </c>
      <c r="F9" s="272">
        <f t="shared" si="0"/>
        <v>2</v>
      </c>
      <c r="J9" s="164">
        <f xml:space="preserve"> VLOOKUP( $C9, 'CALCS│Residential Retail'!$C$329:$I$345, MATCH( J$5, 'CALCS│Residential Retail'!$C$2:$I$2, 0 ), 0 )</f>
        <v>3.3776013434514883E-2</v>
      </c>
      <c r="K9" s="272">
        <f t="shared" si="1"/>
        <v>2</v>
      </c>
    </row>
    <row r="10" spans="2:29" hidden="1" outlineLevel="1" x14ac:dyDescent="0.2"/>
    <row r="11" spans="2:29" hidden="1" outlineLevel="1" x14ac:dyDescent="0.2">
      <c r="C11" s="8" t="s">
        <v>90</v>
      </c>
      <c r="E11" s="164">
        <f xml:space="preserve"> VLOOKUP( $C11, 'CALCS│Wholesale Totex'!$C$165:$I$181, MATCH( E$5, 'CALCS│Wholesale Totex'!$C$2:$I$2, 0 ), 0 )</f>
        <v>-0.16352858253058875</v>
      </c>
      <c r="F11" s="272">
        <f>IF( E11 &lt;= E$28, 3, IF( E11 &gt;= E$29, 1, 2 ) )</f>
        <v>3</v>
      </c>
      <c r="J11" s="164">
        <f xml:space="preserve"> VLOOKUP( $C11, 'CALCS│Residential Retail'!$C$329:$I$345, MATCH( J$5, 'CALCS│Residential Retail'!$C$2:$I$2, 0 ), 0 )</f>
        <v>-7.2907411727842875E-2</v>
      </c>
      <c r="K11" s="272">
        <f>IF( J11 &lt;= J$28, 3, IF( J11 &gt;= J$29, 1, 2 ) )</f>
        <v>2</v>
      </c>
    </row>
    <row r="12" spans="2:29" hidden="1" outlineLevel="1" x14ac:dyDescent="0.2"/>
    <row r="13" spans="2:29" hidden="1" outlineLevel="1" x14ac:dyDescent="0.2">
      <c r="C13" s="8" t="s">
        <v>81</v>
      </c>
      <c r="E13" s="164">
        <f xml:space="preserve"> VLOOKUP( $C13, 'CALCS│Wholesale Totex'!$C$165:$I$181, MATCH( E$5, 'CALCS│Wholesale Totex'!$C$2:$I$2, 0 ), 0 )</f>
        <v>4.2841076603991959E-2</v>
      </c>
      <c r="F13" s="272">
        <f t="shared" ref="F13:F23" si="2">IF( E13 &lt;= E$28, 3, IF( E13 &gt;= E$29, 1, 2 ) )</f>
        <v>1</v>
      </c>
      <c r="J13" s="164">
        <f xml:space="preserve"> VLOOKUP( $C13, 'CALCS│Residential Retail'!$C$329:$I$345, MATCH( J$5, 'CALCS│Residential Retail'!$C$2:$I$2, 0 ), 0 )</f>
        <v>0.12453595019916663</v>
      </c>
      <c r="K13" s="272">
        <f t="shared" ref="K13:K23" si="3">IF( J13 &lt;= J$28, 3, IF( J13 &gt;= J$29, 1, 2 ) )</f>
        <v>1</v>
      </c>
    </row>
    <row r="14" spans="2:29" hidden="1" outlineLevel="1" x14ac:dyDescent="0.2">
      <c r="C14" s="8" t="s">
        <v>86</v>
      </c>
      <c r="E14" s="164">
        <f xml:space="preserve"> VLOOKUP( $C14, 'CALCS│Wholesale Totex'!$C$165:$I$181, MATCH( E$5, 'CALCS│Wholesale Totex'!$C$2:$I$2, 0 ), 0 )</f>
        <v>-9.0438646902882142E-2</v>
      </c>
      <c r="F14" s="272">
        <f t="shared" si="2"/>
        <v>3</v>
      </c>
      <c r="J14" s="164">
        <f xml:space="preserve"> VLOOKUP( $C14, 'CALCS│Residential Retail'!$C$329:$I$345, MATCH( J$5, 'CALCS│Residential Retail'!$C$2:$I$2, 0 ), 0 )</f>
        <v>-7.6832239178960079E-2</v>
      </c>
      <c r="K14" s="272">
        <f t="shared" si="3"/>
        <v>3</v>
      </c>
    </row>
    <row r="15" spans="2:29" hidden="1" outlineLevel="1" x14ac:dyDescent="0.2">
      <c r="C15" s="8" t="s">
        <v>88</v>
      </c>
      <c r="E15" s="164">
        <f xml:space="preserve"> VLOOKUP( $C15, 'CALCS│Wholesale Totex'!$C$165:$I$181, MATCH( E$5, 'CALCS│Wholesale Totex'!$C$2:$I$2, 0 ), 0 )</f>
        <v>-4.8201963435789572E-2</v>
      </c>
      <c r="F15" s="272">
        <f t="shared" si="2"/>
        <v>2</v>
      </c>
      <c r="J15" s="164">
        <f xml:space="preserve"> VLOOKUP( $C15, 'CALCS│Residential Retail'!$C$329:$I$345, MATCH( J$5, 'CALCS│Residential Retail'!$C$2:$I$2, 0 ), 0 )</f>
        <v>-0.18256717219736798</v>
      </c>
      <c r="K15" s="272">
        <f t="shared" si="3"/>
        <v>3</v>
      </c>
    </row>
    <row r="16" spans="2:29" hidden="1" outlineLevel="1" x14ac:dyDescent="0.2">
      <c r="C16" s="8" t="s">
        <v>93</v>
      </c>
      <c r="E16" s="164">
        <f xml:space="preserve"> VLOOKUP( $C16, 'CALCS│Wholesale Totex'!$C$165:$I$181, MATCH( E$5, 'CALCS│Wholesale Totex'!$C$2:$I$2, 0 ), 0 )</f>
        <v>-7.6862866431460994E-2</v>
      </c>
      <c r="F16" s="272">
        <f t="shared" si="2"/>
        <v>3</v>
      </c>
      <c r="J16" s="164">
        <f xml:space="preserve"> VLOOKUP( $C16, 'CALCS│Residential Retail'!$C$329:$I$345, MATCH( J$5, 'CALCS│Residential Retail'!$C$2:$I$2, 0 ), 0 )</f>
        <v>0.31338629974271082</v>
      </c>
      <c r="K16" s="272">
        <f t="shared" si="3"/>
        <v>1</v>
      </c>
    </row>
    <row r="17" spans="2:29" hidden="1" outlineLevel="1" x14ac:dyDescent="0.2">
      <c r="C17" s="8" t="s">
        <v>97</v>
      </c>
      <c r="E17" s="164">
        <f xml:space="preserve"> VLOOKUP( $C17, 'CALCS│Wholesale Totex'!$C$165:$I$181, MATCH( E$5, 'CALCS│Wholesale Totex'!$C$2:$I$2, 0 ), 0 )</f>
        <v>7.3268047251425536E-2</v>
      </c>
      <c r="F17" s="272">
        <f t="shared" si="2"/>
        <v>1</v>
      </c>
      <c r="J17" s="164">
        <f xml:space="preserve"> VLOOKUP( $C17, 'CALCS│Residential Retail'!$C$329:$I$345, MATCH( J$5, 'CALCS│Residential Retail'!$C$2:$I$2, 0 ), 0 )</f>
        <v>-1.5631249980451224E-2</v>
      </c>
      <c r="K17" s="272">
        <f t="shared" si="3"/>
        <v>2</v>
      </c>
    </row>
    <row r="18" spans="2:29" hidden="1" outlineLevel="1" x14ac:dyDescent="0.2">
      <c r="C18" s="8" t="s">
        <v>101</v>
      </c>
      <c r="E18" s="164">
        <f xml:space="preserve"> VLOOKUP( $C18, 'CALCS│Wholesale Totex'!$C$165:$I$181, MATCH( E$5, 'CALCS│Wholesale Totex'!$C$2:$I$2, 0 ), 0 )</f>
        <v>-2.5636009393322103E-4</v>
      </c>
      <c r="F18" s="272">
        <f t="shared" si="2"/>
        <v>1</v>
      </c>
      <c r="J18" s="164">
        <f xml:space="preserve"> VLOOKUP( $C18, 'CALCS│Residential Retail'!$C$329:$I$345, MATCH( J$5, 'CALCS│Residential Retail'!$C$2:$I$2, 0 ), 0 )</f>
        <v>3.790303677311611E-3</v>
      </c>
      <c r="K18" s="272">
        <f t="shared" si="3"/>
        <v>2</v>
      </c>
    </row>
    <row r="19" spans="2:29" hidden="1" outlineLevel="1" x14ac:dyDescent="0.2">
      <c r="C19" s="8" t="s">
        <v>103</v>
      </c>
      <c r="E19" s="164">
        <f xml:space="preserve"> VLOOKUP( $C19, 'CALCS│Wholesale Totex'!$C$165:$I$181, MATCH( E$5, 'CALCS│Wholesale Totex'!$C$2:$I$2, 0 ), 0 )</f>
        <v>-2.6393146865164286E-3</v>
      </c>
      <c r="F19" s="272">
        <f t="shared" si="2"/>
        <v>2</v>
      </c>
      <c r="J19" s="164">
        <f xml:space="preserve"> VLOOKUP( $C19, 'CALCS│Residential Retail'!$C$329:$I$345, MATCH( J$5, 'CALCS│Residential Retail'!$C$2:$I$2, 0 ), 0 )</f>
        <v>0.13228822367862264</v>
      </c>
      <c r="K19" s="272">
        <f t="shared" si="3"/>
        <v>1</v>
      </c>
    </row>
    <row r="20" spans="2:29" hidden="1" outlineLevel="1" x14ac:dyDescent="0.2">
      <c r="C20" s="8" t="s">
        <v>105</v>
      </c>
      <c r="E20" s="164">
        <f xml:space="preserve"> VLOOKUP( $C20, 'CALCS│Wholesale Totex'!$C$165:$I$181, MATCH( E$5, 'CALCS│Wholesale Totex'!$C$2:$I$2, 0 ), 0 )</f>
        <v>-4.2103017896448824E-2</v>
      </c>
      <c r="F20" s="272">
        <f t="shared" si="2"/>
        <v>2</v>
      </c>
      <c r="J20" s="164">
        <f xml:space="preserve"> VLOOKUP( $C20, 'CALCS│Residential Retail'!$C$329:$I$345, MATCH( J$5, 'CALCS│Residential Retail'!$C$2:$I$2, 0 ), 0 )</f>
        <v>-9.5207776024237079E-2</v>
      </c>
      <c r="K20" s="272">
        <f t="shared" si="3"/>
        <v>3</v>
      </c>
    </row>
    <row r="21" spans="2:29" hidden="1" outlineLevel="1" x14ac:dyDescent="0.2">
      <c r="C21" s="8" t="s">
        <v>111</v>
      </c>
      <c r="E21" s="164">
        <f xml:space="preserve"> VLOOKUP( $C21, 'CALCS│Wholesale Totex'!$C$165:$I$181, MATCH( E$5, 'CALCS│Wholesale Totex'!$C$2:$I$2, 0 ), 0 )</f>
        <v>-6.2521088651917758E-2</v>
      </c>
      <c r="F21" s="272">
        <f t="shared" si="2"/>
        <v>2</v>
      </c>
      <c r="J21" s="164">
        <f xml:space="preserve"> VLOOKUP( $C21, 'CALCS│Residential Retail'!$C$329:$I$345, MATCH( J$5, 'CALCS│Residential Retail'!$C$2:$I$2, 0 ), 0 )</f>
        <v>-0.19921386313978784</v>
      </c>
      <c r="K21" s="272">
        <f t="shared" si="3"/>
        <v>3</v>
      </c>
    </row>
    <row r="22" spans="2:29" hidden="1" outlineLevel="1" x14ac:dyDescent="0.2">
      <c r="C22" s="8" t="s">
        <v>113</v>
      </c>
      <c r="E22" s="164">
        <f xml:space="preserve"> VLOOKUP( $C22, 'CALCS│Wholesale Totex'!$C$165:$I$181, MATCH( E$5, 'CALCS│Wholesale Totex'!$C$2:$I$2, 0 ), 0 )</f>
        <v>4.2542211614441773E-3</v>
      </c>
      <c r="F22" s="272">
        <f t="shared" si="2"/>
        <v>1</v>
      </c>
      <c r="J22" s="164">
        <f xml:space="preserve"> VLOOKUP( $C22, 'CALCS│Residential Retail'!$C$329:$I$345, MATCH( J$5, 'CALCS│Residential Retail'!$C$2:$I$2, 0 ), 0 )</f>
        <v>-0.16411554278048079</v>
      </c>
      <c r="K22" s="272">
        <f t="shared" si="3"/>
        <v>3</v>
      </c>
    </row>
    <row r="23" spans="2:29" hidden="1" outlineLevel="1" x14ac:dyDescent="0.2">
      <c r="C23" s="88" t="s">
        <v>109</v>
      </c>
      <c r="E23" s="164">
        <f xml:space="preserve"> VLOOKUP( $C23, 'CALCS│Wholesale Totex'!$C$165:$I$181, MATCH( E$5, 'CALCS│Wholesale Totex'!$C$2:$I$2, 0 ), 0 )</f>
        <v>-3.862754892991252E-2</v>
      </c>
      <c r="F23" s="272">
        <f t="shared" si="2"/>
        <v>2</v>
      </c>
      <c r="J23" s="164">
        <f xml:space="preserve"> VLOOKUP( $C23, 'CALCS│Residential Retail'!$C$329:$I$345, MATCH( J$5, 'CALCS│Residential Retail'!$C$2:$I$2, 0 ), 0 )</f>
        <v>0.27934179077793708</v>
      </c>
      <c r="K23" s="272">
        <f t="shared" si="3"/>
        <v>1</v>
      </c>
    </row>
    <row r="24" spans="2:29" hidden="1" outlineLevel="1" x14ac:dyDescent="0.2"/>
    <row r="25" spans="2:29" hidden="1" outlineLevel="1" x14ac:dyDescent="0.2">
      <c r="C25" s="8" t="s">
        <v>84</v>
      </c>
      <c r="E25" s="164">
        <f xml:space="preserve"> VLOOKUP( $C25, 'CALCS│Wholesale Totex'!$C$165:$I$181, MATCH( E$5, 'CALCS│Wholesale Totex'!$C$2:$I$2, 0 ), 0 )</f>
        <v>-3.0323244428867028E-2</v>
      </c>
      <c r="F25" s="272">
        <f t="shared" ref="F25:F26" si="4">IF( E25 &lt;= E$28, 3, IF( E25 &gt;= E$29, 1, 2 ) )</f>
        <v>2</v>
      </c>
      <c r="J25" s="164">
        <f xml:space="preserve"> VLOOKUP( $C25, 'CALCS│Residential Retail'!$C$329:$I$345, MATCH( J$5, 'CALCS│Residential Retail'!$C$2:$I$2, 0 ), 0 )</f>
        <v>-3.2632905459238595E-2</v>
      </c>
      <c r="K25" s="272">
        <f t="shared" ref="K25:K26" si="5">IF( J25 &lt;= J$28, 3, IF( J25 &gt;= J$29, 1, 2 ) )</f>
        <v>2</v>
      </c>
    </row>
    <row r="26" spans="2:29" hidden="1" outlineLevel="1" x14ac:dyDescent="0.2">
      <c r="C26" s="8" t="s">
        <v>95</v>
      </c>
      <c r="E26" s="164">
        <f xml:space="preserve"> VLOOKUP( $C26, 'CALCS│Wholesale Totex'!$C$165:$I$181, MATCH( E$5, 'CALCS│Wholesale Totex'!$C$2:$I$2, 0 ), 0 )</f>
        <v>6.3487531339175687E-2</v>
      </c>
      <c r="F26" s="272">
        <f t="shared" si="4"/>
        <v>1</v>
      </c>
      <c r="J26" s="164">
        <f xml:space="preserve"> VLOOKUP( $C26, 'CALCS│Residential Retail'!$C$329:$I$345, MATCH( J$5, 'CALCS│Residential Retail'!$C$2:$I$2, 0 ), 0 )</f>
        <v>0.10502253588439407</v>
      </c>
      <c r="K26" s="272">
        <f t="shared" si="5"/>
        <v>1</v>
      </c>
    </row>
    <row r="27" spans="2:29" hidden="1" outlineLevel="1" x14ac:dyDescent="0.2"/>
    <row r="28" spans="2:29" hidden="1" outlineLevel="1" x14ac:dyDescent="0.2">
      <c r="C28" s="21" t="s">
        <v>514</v>
      </c>
      <c r="E28" s="165">
        <f>_xlfn.PERCENTILE.INC(E7:E26, 0.25)</f>
        <v>-7.6862866431460994E-2</v>
      </c>
      <c r="F28" s="117"/>
      <c r="J28" s="165">
        <f>_xlfn.PERCENTILE.INC(J7:J26, 0.25)</f>
        <v>-7.6832239178960079E-2</v>
      </c>
      <c r="K28" s="117"/>
    </row>
    <row r="29" spans="2:29" hidden="1" outlineLevel="1" x14ac:dyDescent="0.2">
      <c r="C29" s="21" t="s">
        <v>515</v>
      </c>
      <c r="E29" s="165">
        <f>_xlfn.PERCENTILE.INC(E7:E26, 0.75)</f>
        <v>-2.5636009393322103E-4</v>
      </c>
      <c r="F29" s="117"/>
      <c r="J29" s="165">
        <f>_xlfn.PERCENTILE.INC(J7:J26, 0.75)</f>
        <v>0.10502253588439407</v>
      </c>
      <c r="K29" s="117"/>
    </row>
    <row r="31" spans="2:29" ht="13.5" collapsed="1" x14ac:dyDescent="0.25">
      <c r="B31" s="9" t="s">
        <v>157</v>
      </c>
      <c r="C31" s="9"/>
      <c r="D31" s="9"/>
      <c r="E31" s="9"/>
      <c r="F31" s="9"/>
      <c r="G31" s="9"/>
      <c r="H31" s="9"/>
      <c r="I31" s="9"/>
      <c r="J31" s="9"/>
      <c r="K31" s="9"/>
      <c r="L31" s="9"/>
      <c r="M31" s="9"/>
      <c r="N31" s="9"/>
      <c r="O31" s="9"/>
      <c r="P31" s="9"/>
      <c r="Q31" s="9"/>
      <c r="R31" s="9"/>
      <c r="S31" s="9"/>
      <c r="T31" s="9"/>
      <c r="U31" s="9"/>
      <c r="V31" s="9"/>
      <c r="W31" s="9"/>
      <c r="X31" s="9"/>
      <c r="Y31" s="9"/>
      <c r="Z31" s="9"/>
      <c r="AA31" s="9"/>
      <c r="AB31" s="9"/>
      <c r="AC31" s="9"/>
    </row>
    <row r="32" spans="2:29" hidden="1" outlineLevel="1" x14ac:dyDescent="0.2"/>
    <row r="33" spans="3:8" ht="30" hidden="1" customHeight="1" outlineLevel="1" x14ac:dyDescent="0.2">
      <c r="E33" s="360" t="s">
        <v>516</v>
      </c>
      <c r="F33" s="360"/>
      <c r="G33" s="360"/>
      <c r="H33" s="360"/>
    </row>
    <row r="34" spans="3:8" hidden="1" outlineLevel="1" x14ac:dyDescent="0.2">
      <c r="E34" s="361" t="str">
        <f>Last_year</f>
        <v>2017-18</v>
      </c>
      <c r="F34" s="361" t="str">
        <f>Year</f>
        <v>2018-19</v>
      </c>
      <c r="G34" s="361" t="s">
        <v>513</v>
      </c>
      <c r="H34" s="361" t="s">
        <v>517</v>
      </c>
    </row>
    <row r="35" spans="3:8" hidden="1" outlineLevel="1" x14ac:dyDescent="0.2"/>
    <row r="36" spans="3:8" hidden="1" outlineLevel="1" x14ac:dyDescent="0.2">
      <c r="C36" s="8" t="s">
        <v>79</v>
      </c>
      <c r="E36" s="193">
        <f xml:space="preserve"> VLOOKUP( $C36, INPUTS│Outcomes!$C$213:$L$232, MATCH( E$34, INPUTS│Outcomes!$C$2:$L$2, 0 ), 0 )</f>
        <v>88.37</v>
      </c>
      <c r="F36" s="193">
        <f xml:space="preserve"> VLOOKUP( $C36, INPUTS│Outcomes!$C$213:$L$232, MATCH( F$34, INPUTS│Outcomes!$C$2:$L$2, 0 ), 0 )</f>
        <v>90.036500000000004</v>
      </c>
      <c r="G36" s="272">
        <f>IF( F36 &gt;= F$57, 3, IF( F36 &lt;= F$58, 1, 2 ) )</f>
        <v>3</v>
      </c>
      <c r="H36" s="276">
        <f xml:space="preserve"> F36 / E36 - 1</f>
        <v>1.8858209799705872E-2</v>
      </c>
    </row>
    <row r="37" spans="3:8" hidden="1" outlineLevel="1" x14ac:dyDescent="0.2">
      <c r="C37" s="8" t="s">
        <v>99</v>
      </c>
      <c r="E37" s="193">
        <f xml:space="preserve"> VLOOKUP( $C37, INPUTS│Outcomes!$C$213:$L$232, MATCH( E$34, INPUTS│Outcomes!$C$2:$L$2, 0 ), 0 )</f>
        <v>86.89</v>
      </c>
      <c r="F37" s="193">
        <f xml:space="preserve"> VLOOKUP( $C37, INPUTS│Outcomes!$C$213:$L$232, MATCH( F$34, INPUTS│Outcomes!$C$2:$L$2, 0 ), 0 )</f>
        <v>87.202624999999998</v>
      </c>
      <c r="G37" s="272">
        <f>IF( F37 &gt;= F$57, 3, IF( F37 &lt;= F$58, 1, 2 ) )</f>
        <v>3</v>
      </c>
      <c r="H37" s="276">
        <f xml:space="preserve"> F37 / E37 - 1</f>
        <v>3.597939924041782E-3</v>
      </c>
    </row>
    <row r="38" spans="3:8" hidden="1" outlineLevel="1" x14ac:dyDescent="0.2">
      <c r="C38" s="8" t="s">
        <v>107</v>
      </c>
      <c r="E38" s="193">
        <f xml:space="preserve"> VLOOKUP( $C38, INPUTS│Outcomes!$C$213:$L$232, MATCH( E$34, INPUTS│Outcomes!$C$2:$L$2, 0 ), 0 )</f>
        <v>87.9</v>
      </c>
      <c r="F38" s="193">
        <f xml:space="preserve"> VLOOKUP( $C38, INPUTS│Outcomes!$C$213:$L$232, MATCH( F$34, INPUTS│Outcomes!$C$2:$L$2, 0 ), 0 )</f>
        <v>89.069000000000003</v>
      </c>
      <c r="G38" s="272">
        <f>IF( F38 &gt;= F$57, 3, IF( F38 &lt;= F$58, 1, 2 ) )</f>
        <v>3</v>
      </c>
      <c r="H38" s="276">
        <f xml:space="preserve"> F38 / E38 - 1</f>
        <v>1.3299203640500634E-2</v>
      </c>
    </row>
    <row r="39" spans="3:8" hidden="1" outlineLevel="1" x14ac:dyDescent="0.2">
      <c r="E39" s="194"/>
      <c r="F39" s="194"/>
    </row>
    <row r="40" spans="3:8" hidden="1" outlineLevel="1" x14ac:dyDescent="0.2">
      <c r="C40" s="8" t="s">
        <v>117</v>
      </c>
      <c r="E40" s="193">
        <f xml:space="preserve"> VLOOKUP( $C40, INPUTS│Outcomes!$C$213:$L$232, MATCH( E$34, INPUTS│Outcomes!$C$2:$L$2, 0 ), 0 )</f>
        <v>84.54849999999999</v>
      </c>
      <c r="F40" s="193">
        <f xml:space="preserve"> VLOOKUP( $C40, INPUTS│Outcomes!$C$213:$L$232, MATCH( F$34, INPUTS│Outcomes!$C$2:$L$2, 0 ), 0 )</f>
        <v>87.617000000000004</v>
      </c>
      <c r="G40" s="272">
        <f>IF( F40 &gt;= F$57, 3, IF( F40 &lt;= F$58, 1, 2 ) )</f>
        <v>3</v>
      </c>
      <c r="H40" s="276">
        <f xml:space="preserve"> F40 / E40 - 1</f>
        <v>3.6292778700982353E-2</v>
      </c>
    </row>
    <row r="41" spans="3:8" hidden="1" outlineLevel="1" x14ac:dyDescent="0.2">
      <c r="E41" s="194"/>
      <c r="F41" s="194"/>
    </row>
    <row r="42" spans="3:8" hidden="1" outlineLevel="1" x14ac:dyDescent="0.2">
      <c r="C42" s="8" t="s">
        <v>81</v>
      </c>
      <c r="E42" s="193">
        <f xml:space="preserve"> VLOOKUP( $C42, INPUTS│Outcomes!$C$213:$L$232, MATCH( E$34, INPUTS│Outcomes!$C$2:$L$2, 0 ), 0 )</f>
        <v>84.64</v>
      </c>
      <c r="F42" s="193">
        <f xml:space="preserve"> VLOOKUP( $C42, INPUTS│Outcomes!$C$213:$L$232, MATCH( F$34, INPUTS│Outcomes!$C$2:$L$2, 0 ), 0 )</f>
        <v>86.884</v>
      </c>
      <c r="G42" s="272">
        <f t="shared" ref="G42:G52" si="6">IF( F42 &gt;= F$57, 3, IF( F42 &lt;= F$58, 1, 2 ) )</f>
        <v>2</v>
      </c>
      <c r="H42" s="276">
        <f t="shared" ref="H42:H51" si="7" xml:space="preserve"> F42 / E42 - 1</f>
        <v>2.6512287334593543E-2</v>
      </c>
    </row>
    <row r="43" spans="3:8" hidden="1" outlineLevel="1" x14ac:dyDescent="0.2">
      <c r="C43" s="8" t="s">
        <v>86</v>
      </c>
      <c r="E43" s="193">
        <f xml:space="preserve"> VLOOKUP( $C43, INPUTS│Outcomes!$C$213:$L$232, MATCH( E$34, INPUTS│Outcomes!$C$2:$L$2, 0 ), 0 )</f>
        <v>86.39</v>
      </c>
      <c r="F43" s="193">
        <f xml:space="preserve"> VLOOKUP( $C43, INPUTS│Outcomes!$C$213:$L$232, MATCH( F$34, INPUTS│Outcomes!$C$2:$L$2, 0 ), 0 )</f>
        <v>85.868625000000009</v>
      </c>
      <c r="G43" s="272">
        <f t="shared" si="6"/>
        <v>2</v>
      </c>
      <c r="H43" s="276">
        <f t="shared" si="7"/>
        <v>-6.035131380946801E-3</v>
      </c>
    </row>
    <row r="44" spans="3:8" hidden="1" outlineLevel="1" x14ac:dyDescent="0.2">
      <c r="C44" s="8" t="s">
        <v>88</v>
      </c>
      <c r="E44" s="270"/>
      <c r="F44" s="193">
        <f xml:space="preserve"> VLOOKUP( $C44, INPUTS│Outcomes!$C$213:$L$232, MATCH( F$34, INPUTS│Outcomes!$C$2:$L$2, 0 ), 0 )</f>
        <v>81.447664175787068</v>
      </c>
      <c r="G44" s="272">
        <f t="shared" si="6"/>
        <v>2</v>
      </c>
      <c r="H44" s="276" t="e">
        <f t="shared" si="7"/>
        <v>#DIV/0!</v>
      </c>
    </row>
    <row r="45" spans="3:8" hidden="1" outlineLevel="1" x14ac:dyDescent="0.2">
      <c r="C45" s="8" t="s">
        <v>93</v>
      </c>
      <c r="E45" s="193">
        <f xml:space="preserve"> VLOOKUP( $C45, INPUTS│Outcomes!$C$213:$L$232, MATCH( E$34, INPUTS│Outcomes!$C$2:$L$2, 0 ), 0 )</f>
        <v>79.33</v>
      </c>
      <c r="F45" s="193">
        <f xml:space="preserve"> VLOOKUP( $C45, INPUTS│Outcomes!$C$213:$L$232, MATCH( F$34, INPUTS│Outcomes!$C$2:$L$2, 0 ), 0 )</f>
        <v>80.137</v>
      </c>
      <c r="G45" s="272">
        <f t="shared" si="6"/>
        <v>1</v>
      </c>
      <c r="H45" s="276">
        <f t="shared" si="7"/>
        <v>1.0172696331778752E-2</v>
      </c>
    </row>
    <row r="46" spans="3:8" hidden="1" outlineLevel="1" x14ac:dyDescent="0.2">
      <c r="C46" s="8" t="s">
        <v>97</v>
      </c>
      <c r="E46" s="193">
        <f xml:space="preserve"> VLOOKUP( $C46, INPUTS│Outcomes!$C$213:$L$232, MATCH( E$34, INPUTS│Outcomes!$C$2:$L$2, 0 ), 0 )</f>
        <v>86.873881667676727</v>
      </c>
      <c r="F46" s="193">
        <f xml:space="preserve"> VLOOKUP( $C46, INPUTS│Outcomes!$C$213:$L$232, MATCH( F$34, INPUTS│Outcomes!$C$2:$L$2, 0 ), 0 )</f>
        <v>87.639669640685241</v>
      </c>
      <c r="G46" s="272">
        <f t="shared" si="6"/>
        <v>3</v>
      </c>
      <c r="H46" s="276">
        <f t="shared" si="7"/>
        <v>8.8149390623286639E-3</v>
      </c>
    </row>
    <row r="47" spans="3:8" hidden="1" outlineLevel="1" x14ac:dyDescent="0.2">
      <c r="C47" s="8" t="s">
        <v>101</v>
      </c>
      <c r="E47" s="193">
        <f xml:space="preserve"> VLOOKUP( $C47, INPUTS│Outcomes!$C$213:$L$232, MATCH( E$34, INPUTS│Outcomes!$C$2:$L$2, 0 ), 0 )</f>
        <v>84.27</v>
      </c>
      <c r="F47" s="193">
        <f xml:space="preserve"> VLOOKUP( $C47, INPUTS│Outcomes!$C$213:$L$232, MATCH( F$34, INPUTS│Outcomes!$C$2:$L$2, 0 ), 0 )</f>
        <v>84.000500000000002</v>
      </c>
      <c r="G47" s="272">
        <f t="shared" si="6"/>
        <v>2</v>
      </c>
      <c r="H47" s="276">
        <f t="shared" si="7"/>
        <v>-3.1980538744510456E-3</v>
      </c>
    </row>
    <row r="48" spans="3:8" hidden="1" outlineLevel="1" x14ac:dyDescent="0.2">
      <c r="C48" s="8" t="s">
        <v>103</v>
      </c>
      <c r="E48" s="193">
        <f xml:space="preserve"> VLOOKUP( $C48, INPUTS│Outcomes!$C$213:$L$232, MATCH( E$34, INPUTS│Outcomes!$C$2:$L$2, 0 ), 0 )</f>
        <v>80.909102903993897</v>
      </c>
      <c r="F48" s="193">
        <f xml:space="preserve"> VLOOKUP( $C48, INPUTS│Outcomes!$C$213:$L$232, MATCH( F$34, INPUTS│Outcomes!$C$2:$L$2, 0 ), 0 )</f>
        <v>81.200500000000005</v>
      </c>
      <c r="G48" s="272">
        <f t="shared" si="6"/>
        <v>1</v>
      </c>
      <c r="H48" s="276">
        <f t="shared" si="7"/>
        <v>3.6015366077148947E-3</v>
      </c>
    </row>
    <row r="49" spans="2:29" hidden="1" outlineLevel="1" x14ac:dyDescent="0.2">
      <c r="C49" s="8" t="s">
        <v>105</v>
      </c>
      <c r="E49" s="193">
        <f xml:space="preserve"> VLOOKUP( $C49, INPUTS│Outcomes!$C$213:$L$232, MATCH( E$34, INPUTS│Outcomes!$C$2:$L$2, 0 ), 0 )</f>
        <v>83.38</v>
      </c>
      <c r="F49" s="193">
        <f xml:space="preserve"> VLOOKUP( $C49, INPUTS│Outcomes!$C$213:$L$232, MATCH( F$34, INPUTS│Outcomes!$C$2:$L$2, 0 ), 0 )</f>
        <v>84.711500000000001</v>
      </c>
      <c r="G49" s="272">
        <f t="shared" si="6"/>
        <v>2</v>
      </c>
      <c r="H49" s="276">
        <f t="shared" si="7"/>
        <v>1.5969057327896552E-2</v>
      </c>
    </row>
    <row r="50" spans="2:29" hidden="1" outlineLevel="1" x14ac:dyDescent="0.2">
      <c r="C50" s="8" t="s">
        <v>111</v>
      </c>
      <c r="E50" s="193">
        <f xml:space="preserve"> VLOOKUP( $C50, INPUTS│Outcomes!$C$213:$L$232, MATCH( E$34, INPUTS│Outcomes!$C$2:$L$2, 0 ), 0 )</f>
        <v>85.6</v>
      </c>
      <c r="F50" s="193">
        <f xml:space="preserve"> VLOOKUP( $C50, INPUTS│Outcomes!$C$213:$L$232, MATCH( F$34, INPUTS│Outcomes!$C$2:$L$2, 0 ), 0 )</f>
        <v>85.358499999999992</v>
      </c>
      <c r="G50" s="272">
        <f t="shared" si="6"/>
        <v>2</v>
      </c>
      <c r="H50" s="276">
        <f t="shared" si="7"/>
        <v>-2.8212616822430592E-3</v>
      </c>
    </row>
    <row r="51" spans="2:29" hidden="1" outlineLevel="1" x14ac:dyDescent="0.2">
      <c r="C51" s="8" t="s">
        <v>113</v>
      </c>
      <c r="E51" s="193">
        <f xml:space="preserve"> VLOOKUP( $C51, INPUTS│Outcomes!$C$213:$L$232, MATCH( E$34, INPUTS│Outcomes!$C$2:$L$2, 0 ), 0 )</f>
        <v>87.03</v>
      </c>
      <c r="F51" s="193">
        <f xml:space="preserve"> VLOOKUP( $C51, INPUTS│Outcomes!$C$213:$L$232, MATCH( F$34, INPUTS│Outcomes!$C$2:$L$2, 0 ), 0 )</f>
        <v>86.404774303995708</v>
      </c>
      <c r="G51" s="272">
        <f t="shared" si="6"/>
        <v>2</v>
      </c>
      <c r="H51" s="276">
        <f t="shared" si="7"/>
        <v>-7.1840250029219233E-3</v>
      </c>
    </row>
    <row r="52" spans="2:29" hidden="1" outlineLevel="1" x14ac:dyDescent="0.2">
      <c r="C52" s="8" t="s">
        <v>109</v>
      </c>
      <c r="E52" s="193">
        <f xml:space="preserve"> VLOOKUP( $C52, INPUTS│Outcomes!$C$213:$L$232, MATCH( E$34, INPUTS│Outcomes!$C$2:$L$2, 0 ), 0 )</f>
        <v>78.7</v>
      </c>
      <c r="F52" s="193">
        <f xml:space="preserve"> VLOOKUP( $C52, INPUTS│Outcomes!$C$213:$L$232, MATCH( F$34, INPUTS│Outcomes!$C$2:$L$2, 0 ), 0 )</f>
        <v>80.503999999999991</v>
      </c>
      <c r="G52" s="272">
        <f t="shared" si="6"/>
        <v>1</v>
      </c>
      <c r="H52" s="276">
        <f xml:space="preserve"> F52 / E52 - 1</f>
        <v>2.2922490470139723E-2</v>
      </c>
    </row>
    <row r="53" spans="2:29" hidden="1" outlineLevel="1" x14ac:dyDescent="0.2">
      <c r="E53" s="194"/>
      <c r="F53" s="194"/>
    </row>
    <row r="54" spans="2:29" hidden="1" outlineLevel="1" x14ac:dyDescent="0.2">
      <c r="C54" s="8" t="s">
        <v>84</v>
      </c>
      <c r="E54" s="270"/>
      <c r="F54" s="193">
        <f xml:space="preserve"> VLOOKUP( $C54, INPUTS│Outcomes!$C$213:$L$232, MATCH( F$34, INPUTS│Outcomes!$C$2:$L$2, 0 ), 0 )</f>
        <v>78.414339197459626</v>
      </c>
      <c r="G54" s="272">
        <f>IF( F54 &gt;= F$57, 3, IF( F54 &lt;= F$58, 1, 2 ) )</f>
        <v>1</v>
      </c>
      <c r="H54" s="276" t="e">
        <f xml:space="preserve"> F54 / E54 - 1</f>
        <v>#DIV/0!</v>
      </c>
    </row>
    <row r="55" spans="2:29" hidden="1" outlineLevel="1" x14ac:dyDescent="0.2">
      <c r="C55" s="8" t="s">
        <v>95</v>
      </c>
      <c r="E55" s="193">
        <f xml:space="preserve"> VLOOKUP( $C55, INPUTS│Outcomes!$C$213:$L$232, MATCH( E$34, INPUTS│Outcomes!$C$2:$L$2, 0 ), 0 )</f>
        <v>78.428740527351835</v>
      </c>
      <c r="F55" s="193">
        <f xml:space="preserve"> VLOOKUP( $C55, INPUTS│Outcomes!$C$213:$L$232, MATCH( F$34, INPUTS│Outcomes!$C$2:$L$2, 0 ), 0 )</f>
        <v>75.026663774526256</v>
      </c>
      <c r="G55" s="272">
        <f>IF( F55 &gt;= F$57, 3, IF( F55 &lt;= F$58, 1, 2 ) )</f>
        <v>1</v>
      </c>
      <c r="H55" s="276">
        <f xml:space="preserve"> F55 / E55 - 1</f>
        <v>-4.3377934287228692E-2</v>
      </c>
    </row>
    <row r="56" spans="2:29" hidden="1" outlineLevel="1" x14ac:dyDescent="0.2">
      <c r="E56" s="194"/>
      <c r="F56" s="194"/>
    </row>
    <row r="57" spans="2:29" hidden="1" outlineLevel="1" x14ac:dyDescent="0.2">
      <c r="C57" s="21" t="s">
        <v>514</v>
      </c>
      <c r="E57" s="194"/>
      <c r="F57" s="195">
        <f>_xlfn.PERCENTILE.INC(F36:F55, 0.75)</f>
        <v>87.202624999999998</v>
      </c>
      <c r="G57" s="117"/>
      <c r="H57" s="117"/>
    </row>
    <row r="58" spans="2:29" hidden="1" outlineLevel="1" x14ac:dyDescent="0.2">
      <c r="C58" s="21" t="s">
        <v>515</v>
      </c>
      <c r="E58" s="194"/>
      <c r="F58" s="195">
        <f>_xlfn.PERCENTILE.INC(F36:F55, 0.25)</f>
        <v>81.200500000000005</v>
      </c>
      <c r="G58" s="117"/>
      <c r="H58" s="117"/>
    </row>
    <row r="60" spans="2:29" ht="13.5" collapsed="1" x14ac:dyDescent="0.25">
      <c r="B60" s="9" t="s">
        <v>158</v>
      </c>
      <c r="C60" s="9"/>
      <c r="D60" s="9"/>
      <c r="E60" s="9"/>
      <c r="F60" s="9"/>
      <c r="G60" s="9"/>
      <c r="H60" s="9"/>
      <c r="I60" s="9"/>
      <c r="J60" s="9"/>
      <c r="K60" s="9"/>
      <c r="L60" s="9"/>
      <c r="M60" s="9"/>
      <c r="N60" s="9"/>
      <c r="O60" s="9"/>
      <c r="P60" s="9"/>
      <c r="Q60" s="9"/>
      <c r="R60" s="9"/>
      <c r="S60" s="9"/>
      <c r="T60" s="9"/>
      <c r="U60" s="9"/>
      <c r="V60" s="9"/>
      <c r="W60" s="9"/>
      <c r="X60" s="9"/>
      <c r="Y60" s="9"/>
      <c r="Z60" s="9"/>
      <c r="AA60" s="9"/>
      <c r="AB60" s="9"/>
      <c r="AC60" s="9"/>
    </row>
    <row r="61" spans="2:29" hidden="1" outlineLevel="1" x14ac:dyDescent="0.2"/>
    <row r="62" spans="2:29" ht="30" hidden="1" customHeight="1" outlineLevel="1" x14ac:dyDescent="0.2">
      <c r="E62" s="360" t="s">
        <v>328</v>
      </c>
      <c r="F62" s="360"/>
      <c r="G62" s="360"/>
      <c r="H62" s="360"/>
    </row>
    <row r="63" spans="2:29" hidden="1" outlineLevel="1" x14ac:dyDescent="0.2">
      <c r="E63" s="361" t="str">
        <f>Last_year</f>
        <v>2017-18</v>
      </c>
      <c r="F63" s="361" t="str">
        <f>Year</f>
        <v>2018-19</v>
      </c>
      <c r="G63" s="361" t="s">
        <v>513</v>
      </c>
      <c r="H63" s="361" t="s">
        <v>517</v>
      </c>
    </row>
    <row r="64" spans="2:29" hidden="1" outlineLevel="1" x14ac:dyDescent="0.2"/>
    <row r="65" spans="3:8" hidden="1" outlineLevel="1" x14ac:dyDescent="0.2">
      <c r="C65" s="8" t="s">
        <v>79</v>
      </c>
      <c r="E65" s="121">
        <f xml:space="preserve"> VLOOKUP( $C65, CALCS│Outcomes!$C$305:$L$321, MATCH( E$63, CALCS│Outcomes!$C$2:$L$2, 0 ), 0 )</f>
        <v>0.93333333333333335</v>
      </c>
      <c r="F65" s="121">
        <f xml:space="preserve"> VLOOKUP( $C65, CALCS│Outcomes!$C$305:$L$321, MATCH( F$63, CALCS│Outcomes!$C$2:$L$2, 0 ), 0 )</f>
        <v>0.9285714285714286</v>
      </c>
      <c r="G65" s="272">
        <f>IF( F65 &gt;= F$86, 3, IF( F65 &lt;= F$87, 1, 2 ) )</f>
        <v>3</v>
      </c>
      <c r="H65" s="286">
        <f xml:space="preserve"> IFERROR( F65 / E65 - 1, "-" )</f>
        <v>-5.1020408163264808E-3</v>
      </c>
    </row>
    <row r="66" spans="3:8" hidden="1" outlineLevel="1" x14ac:dyDescent="0.2">
      <c r="C66" s="8" t="s">
        <v>99</v>
      </c>
      <c r="E66" s="121">
        <f xml:space="preserve"> VLOOKUP( $C66, CALCS│Outcomes!$C$305:$L$321, MATCH( E$63, CALCS│Outcomes!$C$2:$L$2, 0 ), 0 )</f>
        <v>0.77419354838709675</v>
      </c>
      <c r="F66" s="121">
        <f xml:space="preserve"> VLOOKUP( $C66, CALCS│Outcomes!$C$305:$L$321, MATCH( F$63, CALCS│Outcomes!$C$2:$L$2, 0 ), 0 )</f>
        <v>0.77419354838709675</v>
      </c>
      <c r="G66" s="272">
        <f>IF( F66 &gt;= F$86, 3, IF( F66 &lt;= F$87, 1, 2 ) )</f>
        <v>3</v>
      </c>
      <c r="H66" s="286">
        <f xml:space="preserve"> IFERROR( F66 / E66 - 1, "-" )</f>
        <v>0</v>
      </c>
    </row>
    <row r="67" spans="3:8" hidden="1" outlineLevel="1" x14ac:dyDescent="0.2">
      <c r="C67" s="8" t="s">
        <v>107</v>
      </c>
      <c r="E67" s="121">
        <f xml:space="preserve"> VLOOKUP( $C67, CALCS│Outcomes!$C$305:$L$321, MATCH( E$63, CALCS│Outcomes!$C$2:$L$2, 0 ), 0 )</f>
        <v>0.7</v>
      </c>
      <c r="F67" s="121">
        <f xml:space="preserve"> VLOOKUP( $C67, CALCS│Outcomes!$C$305:$L$321, MATCH( F$63, CALCS│Outcomes!$C$2:$L$2, 0 ), 0 )</f>
        <v>0.8</v>
      </c>
      <c r="G67" s="272">
        <f>IF( F67 &gt;= F$86, 3, IF( F67 &lt;= F$87, 1, 2 ) )</f>
        <v>3</v>
      </c>
      <c r="H67" s="286">
        <f xml:space="preserve"> IFERROR( F67 / E67 - 1, "-" )</f>
        <v>0.14285714285714302</v>
      </c>
    </row>
    <row r="68" spans="3:8" hidden="1" outlineLevel="1" x14ac:dyDescent="0.2">
      <c r="G68" s="285"/>
      <c r="H68" s="285"/>
    </row>
    <row r="69" spans="3:8" hidden="1" outlineLevel="1" x14ac:dyDescent="0.2">
      <c r="C69" s="8" t="s">
        <v>90</v>
      </c>
      <c r="E69" s="121">
        <f xml:space="preserve"> VLOOKUP( $C69, CALCS│Outcomes!$C$305:$L$321, MATCH( E$63, CALCS│Outcomes!$C$2:$L$2, 0 ), 0 )</f>
        <v>0.7142857142857143</v>
      </c>
      <c r="F69" s="121">
        <f xml:space="preserve"> VLOOKUP( $C69, CALCS│Outcomes!$C$305:$L$321, MATCH( F$63, CALCS│Outcomes!$C$2:$L$2, 0 ), 0 )</f>
        <v>0.7142857142857143</v>
      </c>
      <c r="G69" s="272">
        <f>IF( F69 &gt;= F$86, 3, IF( F69 &lt;= F$87, 1, 2 ) )</f>
        <v>2</v>
      </c>
      <c r="H69" s="286">
        <f xml:space="preserve"> IFERROR( F69 / E69 - 1, "-" )</f>
        <v>0</v>
      </c>
    </row>
    <row r="70" spans="3:8" hidden="1" outlineLevel="1" x14ac:dyDescent="0.2">
      <c r="G70" s="285"/>
      <c r="H70" s="285"/>
    </row>
    <row r="71" spans="3:8" hidden="1" outlineLevel="1" x14ac:dyDescent="0.2">
      <c r="C71" s="8" t="s">
        <v>81</v>
      </c>
      <c r="E71" s="121">
        <f xml:space="preserve"> VLOOKUP( $C71, CALCS│Outcomes!$C$305:$L$321, MATCH( E$63, CALCS│Outcomes!$C$2:$L$2, 0 ), 0 )</f>
        <v>0.77777777777777779</v>
      </c>
      <c r="F71" s="121">
        <f xml:space="preserve"> VLOOKUP( $C71, CALCS│Outcomes!$C$305:$L$321, MATCH( F$63, CALCS│Outcomes!$C$2:$L$2, 0 ), 0 )</f>
        <v>0.62962962962962965</v>
      </c>
      <c r="G71" s="272">
        <f t="shared" ref="G71:G81" si="8">IF( F71 &gt;= F$86, 3, IF( F71 &lt;= F$87, 1, 2 ) )</f>
        <v>2</v>
      </c>
      <c r="H71" s="286">
        <f t="shared" ref="H71:H80" si="9" xml:space="preserve"> IFERROR( F71 / E71 - 1, "-" )</f>
        <v>-0.19047619047619047</v>
      </c>
    </row>
    <row r="72" spans="3:8" hidden="1" outlineLevel="1" x14ac:dyDescent="0.2">
      <c r="C72" s="8" t="s">
        <v>86</v>
      </c>
      <c r="E72" s="121">
        <f xml:space="preserve"> VLOOKUP( $C72, CALCS│Outcomes!$C$305:$L$321, MATCH( E$63, CALCS│Outcomes!$C$2:$L$2, 0 ), 0 )</f>
        <v>0.75609756097560976</v>
      </c>
      <c r="F72" s="121">
        <f xml:space="preserve"> VLOOKUP( $C72, CALCS│Outcomes!$C$305:$L$321, MATCH( F$63, CALCS│Outcomes!$C$2:$L$2, 0 ), 0 )</f>
        <v>0.58536585365853655</v>
      </c>
      <c r="G72" s="272">
        <f t="shared" si="8"/>
        <v>1</v>
      </c>
      <c r="H72" s="286">
        <f t="shared" si="9"/>
        <v>-0.22580645161290325</v>
      </c>
    </row>
    <row r="73" spans="3:8" hidden="1" outlineLevel="1" x14ac:dyDescent="0.2">
      <c r="C73" s="8" t="s">
        <v>88</v>
      </c>
      <c r="E73" s="270"/>
      <c r="F73" s="121">
        <f xml:space="preserve"> VLOOKUP( $C73, CALCS│Outcomes!$C$305:$L$321, MATCH( F$63, CALCS│Outcomes!$C$2:$L$2, 0 ), 0 )</f>
        <v>0.62222222222222223</v>
      </c>
      <c r="G73" s="272">
        <f t="shared" si="8"/>
        <v>2</v>
      </c>
      <c r="H73" s="286" t="str">
        <f t="shared" si="9"/>
        <v>-</v>
      </c>
    </row>
    <row r="74" spans="3:8" hidden="1" outlineLevel="1" x14ac:dyDescent="0.2">
      <c r="C74" s="8" t="s">
        <v>93</v>
      </c>
      <c r="E74" s="121">
        <f xml:space="preserve"> VLOOKUP( $C74, CALCS│Outcomes!$C$305:$L$321, MATCH( E$63, CALCS│Outcomes!$C$2:$L$2, 0 ), 0 )</f>
        <v>0.56000000000000005</v>
      </c>
      <c r="F74" s="121">
        <f xml:space="preserve"> VLOOKUP( $C74, CALCS│Outcomes!$C$305:$L$321, MATCH( F$63, CALCS│Outcomes!$C$2:$L$2, 0 ), 0 )</f>
        <v>0.64</v>
      </c>
      <c r="G74" s="272">
        <f t="shared" si="8"/>
        <v>2</v>
      </c>
      <c r="H74" s="286">
        <f t="shared" si="9"/>
        <v>0.14285714285714279</v>
      </c>
    </row>
    <row r="75" spans="3:8" hidden="1" outlineLevel="1" x14ac:dyDescent="0.2">
      <c r="C75" s="8" t="s">
        <v>97</v>
      </c>
      <c r="E75" s="121">
        <f xml:space="preserve"> VLOOKUP( $C75, CALCS│Outcomes!$C$305:$L$321, MATCH( E$63, CALCS│Outcomes!$C$2:$L$2, 0 ), 0 )</f>
        <v>0.69230769230769229</v>
      </c>
      <c r="F75" s="121">
        <f xml:space="preserve"> VLOOKUP( $C75, CALCS│Outcomes!$C$305:$L$321, MATCH( F$63, CALCS│Outcomes!$C$2:$L$2, 0 ), 0 )</f>
        <v>0.7407407407407407</v>
      </c>
      <c r="G75" s="272">
        <f t="shared" si="8"/>
        <v>2</v>
      </c>
      <c r="H75" s="286">
        <f t="shared" si="9"/>
        <v>6.9958847736625529E-2</v>
      </c>
    </row>
    <row r="76" spans="3:8" hidden="1" outlineLevel="1" x14ac:dyDescent="0.2">
      <c r="C76" s="8" t="s">
        <v>101</v>
      </c>
      <c r="E76" s="121">
        <f xml:space="preserve"> VLOOKUP( $C76, CALCS│Outcomes!$C$305:$L$321, MATCH( E$63, CALCS│Outcomes!$C$2:$L$2, 0 ), 0 )</f>
        <v>0.72727272727272729</v>
      </c>
      <c r="F76" s="121">
        <f xml:space="preserve"> VLOOKUP( $C76, CALCS│Outcomes!$C$305:$L$321, MATCH( F$63, CALCS│Outcomes!$C$2:$L$2, 0 ), 0 )</f>
        <v>0.76666666666666672</v>
      </c>
      <c r="G76" s="272">
        <f t="shared" si="8"/>
        <v>3</v>
      </c>
      <c r="H76" s="286">
        <f t="shared" si="9"/>
        <v>5.4166666666666696E-2</v>
      </c>
    </row>
    <row r="77" spans="3:8" hidden="1" outlineLevel="1" x14ac:dyDescent="0.2">
      <c r="C77" s="8" t="s">
        <v>103</v>
      </c>
      <c r="E77" s="121">
        <f xml:space="preserve"> VLOOKUP( $C77, CALCS│Outcomes!$C$305:$L$321, MATCH( E$63, CALCS│Outcomes!$C$2:$L$2, 0 ), 0 )</f>
        <v>0.7</v>
      </c>
      <c r="F77" s="121">
        <f xml:space="preserve"> VLOOKUP( $C77, CALCS│Outcomes!$C$305:$L$321, MATCH( F$63, CALCS│Outcomes!$C$2:$L$2, 0 ), 0 )</f>
        <v>0.9</v>
      </c>
      <c r="G77" s="272">
        <f t="shared" si="8"/>
        <v>3</v>
      </c>
      <c r="H77" s="286">
        <f t="shared" si="9"/>
        <v>0.28571428571428581</v>
      </c>
    </row>
    <row r="78" spans="3:8" hidden="1" outlineLevel="1" x14ac:dyDescent="0.2">
      <c r="C78" s="8" t="s">
        <v>105</v>
      </c>
      <c r="E78" s="121">
        <f xml:space="preserve"> VLOOKUP( $C78, CALCS│Outcomes!$C$305:$L$321, MATCH( E$63, CALCS│Outcomes!$C$2:$L$2, 0 ), 0 )</f>
        <v>0.42857142857142855</v>
      </c>
      <c r="F78" s="121">
        <f xml:space="preserve"> VLOOKUP( $C78, CALCS│Outcomes!$C$305:$L$321, MATCH( F$63, CALCS│Outcomes!$C$2:$L$2, 0 ), 0 )</f>
        <v>0.42857142857142855</v>
      </c>
      <c r="G78" s="272">
        <f t="shared" si="8"/>
        <v>1</v>
      </c>
      <c r="H78" s="286">
        <f t="shared" si="9"/>
        <v>0</v>
      </c>
    </row>
    <row r="79" spans="3:8" hidden="1" outlineLevel="1" x14ac:dyDescent="0.2">
      <c r="C79" s="8" t="s">
        <v>111</v>
      </c>
      <c r="E79" s="121">
        <f xml:space="preserve"> VLOOKUP( $C79, CALCS│Outcomes!$C$305:$L$321, MATCH( E$63, CALCS│Outcomes!$C$2:$L$2, 0 ), 0 )</f>
        <v>0.35714285714285715</v>
      </c>
      <c r="F79" s="121">
        <f xml:space="preserve"> VLOOKUP( $C79, CALCS│Outcomes!$C$305:$L$321, MATCH( F$63, CALCS│Outcomes!$C$2:$L$2, 0 ), 0 )</f>
        <v>0.32142857142857145</v>
      </c>
      <c r="G79" s="272">
        <f t="shared" si="8"/>
        <v>1</v>
      </c>
      <c r="H79" s="286">
        <f t="shared" si="9"/>
        <v>-9.9999999999999978E-2</v>
      </c>
    </row>
    <row r="80" spans="3:8" hidden="1" outlineLevel="1" x14ac:dyDescent="0.2">
      <c r="C80" s="8" t="s">
        <v>113</v>
      </c>
      <c r="E80" s="121">
        <f xml:space="preserve"> VLOOKUP( $C80, CALCS│Outcomes!$C$305:$L$321, MATCH( E$63, CALCS│Outcomes!$C$2:$L$2, 0 ), 0 )</f>
        <v>0.46666666666666667</v>
      </c>
      <c r="F80" s="121">
        <f xml:space="preserve"> VLOOKUP( $C80, CALCS│Outcomes!$C$305:$L$321, MATCH( F$63, CALCS│Outcomes!$C$2:$L$2, 0 ), 0 )</f>
        <v>0.66666666666666663</v>
      </c>
      <c r="G80" s="272">
        <f t="shared" si="8"/>
        <v>2</v>
      </c>
      <c r="H80" s="286">
        <f t="shared" si="9"/>
        <v>0.42857142857142838</v>
      </c>
    </row>
    <row r="81" spans="2:29" hidden="1" outlineLevel="1" x14ac:dyDescent="0.2">
      <c r="C81" s="8" t="s">
        <v>109</v>
      </c>
      <c r="E81" s="121">
        <f xml:space="preserve"> VLOOKUP( $C81, CALCS│Outcomes!$C$305:$L$321, MATCH( E$63, CALCS│Outcomes!$C$2:$L$2, 0 ), 0 )</f>
        <v>0.76190476190476186</v>
      </c>
      <c r="F81" s="121">
        <f xml:space="preserve"> VLOOKUP( $C81, CALCS│Outcomes!$C$305:$L$321, MATCH( F$63, CALCS│Outcomes!$C$2:$L$2, 0 ), 0 )</f>
        <v>0.7142857142857143</v>
      </c>
      <c r="G81" s="272">
        <f t="shared" si="8"/>
        <v>2</v>
      </c>
      <c r="H81" s="286">
        <f xml:space="preserve"> IFERROR( F81 / E81 - 1, "-" )</f>
        <v>-6.2499999999999889E-2</v>
      </c>
    </row>
    <row r="82" spans="2:29" hidden="1" outlineLevel="1" x14ac:dyDescent="0.2">
      <c r="G82" s="285"/>
      <c r="H82" s="285"/>
    </row>
    <row r="83" spans="2:29" hidden="1" outlineLevel="1" x14ac:dyDescent="0.2">
      <c r="C83" s="8" t="s">
        <v>84</v>
      </c>
      <c r="E83" s="270"/>
      <c r="F83" s="121">
        <f xml:space="preserve"> VLOOKUP( $C83, CALCS│Outcomes!$C$305:$L$321, MATCH( F$63, CALCS│Outcomes!$C$2:$L$2, 0 ), 0 )</f>
        <v>0.51282051282051277</v>
      </c>
      <c r="G83" s="272">
        <f>IF( F83 &gt;= F$86, 3, IF( F83 &lt;= F$87, 1, 2 ) )</f>
        <v>1</v>
      </c>
      <c r="H83" s="286" t="str">
        <f xml:space="preserve"> IFERROR( F83 / E83 - 1, "-" )</f>
        <v>-</v>
      </c>
    </row>
    <row r="84" spans="2:29" hidden="1" outlineLevel="1" x14ac:dyDescent="0.2">
      <c r="C84" s="8" t="s">
        <v>95</v>
      </c>
      <c r="E84" s="121">
        <f xml:space="preserve"> VLOOKUP( $C84, CALCS│Outcomes!$C$305:$L$321, MATCH( E$63, CALCS│Outcomes!$C$2:$L$2, 0 ), 0 )</f>
        <v>0.65116279069767447</v>
      </c>
      <c r="F84" s="121">
        <f xml:space="preserve"> VLOOKUP( $C84, CALCS│Outcomes!$C$305:$L$321, MATCH( F$63, CALCS│Outcomes!$C$2:$L$2, 0 ), 0 )</f>
        <v>0.55000000000000004</v>
      </c>
      <c r="G84" s="272">
        <f>IF( F84 &gt;= F$86, 3, IF( F84 &lt;= F$87, 1, 2 ) )</f>
        <v>1</v>
      </c>
      <c r="H84" s="286">
        <f xml:space="preserve"> IFERROR( F84 / E84 - 1, "-" )</f>
        <v>-0.15535714285714286</v>
      </c>
    </row>
    <row r="85" spans="2:29" hidden="1" outlineLevel="1" x14ac:dyDescent="0.2"/>
    <row r="86" spans="2:29" hidden="1" outlineLevel="1" x14ac:dyDescent="0.2">
      <c r="C86" s="21" t="s">
        <v>514</v>
      </c>
      <c r="F86" s="166">
        <f>_xlfn.PERCENTILE.INC(F65:F84, 0.75)</f>
        <v>0.76666666666666672</v>
      </c>
      <c r="G86" s="117"/>
      <c r="H86" s="117"/>
    </row>
    <row r="87" spans="2:29" hidden="1" outlineLevel="1" x14ac:dyDescent="0.2">
      <c r="C87" s="21" t="s">
        <v>515</v>
      </c>
      <c r="F87" s="166">
        <f>_xlfn.PERCENTILE.INC(F65:F84, 0.25)</f>
        <v>0.58536585365853655</v>
      </c>
      <c r="G87" s="117"/>
      <c r="H87" s="117"/>
    </row>
    <row r="89" spans="2:29" ht="13.5" collapsed="1" x14ac:dyDescent="0.25">
      <c r="B89" s="9" t="s">
        <v>159</v>
      </c>
      <c r="C89" s="9"/>
      <c r="D89" s="9"/>
      <c r="E89" s="9"/>
      <c r="F89" s="9"/>
      <c r="G89" s="9"/>
      <c r="H89" s="9"/>
      <c r="I89" s="9"/>
      <c r="J89" s="9"/>
      <c r="K89" s="9"/>
      <c r="L89" s="9"/>
      <c r="M89" s="9"/>
      <c r="N89" s="9"/>
      <c r="O89" s="9"/>
      <c r="P89" s="9"/>
      <c r="Q89" s="9"/>
      <c r="R89" s="9"/>
      <c r="S89" s="9"/>
      <c r="T89" s="9"/>
      <c r="U89" s="9"/>
      <c r="V89" s="9"/>
      <c r="W89" s="9"/>
      <c r="X89" s="9"/>
      <c r="Y89" s="9"/>
      <c r="Z89" s="9"/>
      <c r="AA89" s="9"/>
      <c r="AB89" s="9"/>
      <c r="AC89" s="9"/>
    </row>
    <row r="90" spans="2:29" hidden="1" outlineLevel="1" x14ac:dyDescent="0.2"/>
    <row r="91" spans="2:29" ht="30" hidden="1" customHeight="1" outlineLevel="1" x14ac:dyDescent="0.2">
      <c r="E91" s="360" t="s">
        <v>518</v>
      </c>
      <c r="F91" s="360"/>
      <c r="G91" s="360"/>
      <c r="H91" s="360"/>
    </row>
    <row r="92" spans="2:29" hidden="1" outlineLevel="1" x14ac:dyDescent="0.2">
      <c r="E92" s="361" t="str">
        <f>Last_year</f>
        <v>2017-18</v>
      </c>
      <c r="F92" s="361" t="str">
        <f>Year</f>
        <v>2018-19</v>
      </c>
      <c r="G92" s="361" t="s">
        <v>513</v>
      </c>
      <c r="H92" s="361" t="s">
        <v>517</v>
      </c>
    </row>
    <row r="93" spans="2:29" hidden="1" outlineLevel="1" x14ac:dyDescent="0.2"/>
    <row r="94" spans="2:29" hidden="1" outlineLevel="1" x14ac:dyDescent="0.2">
      <c r="C94" s="8" t="s">
        <v>79</v>
      </c>
      <c r="E94" s="120">
        <f xml:space="preserve"> VLOOKUP( $C94, CALCS│Outcomes!$C$373:$L$389, MATCH( E$92, CALCS│Outcomes!$C$2:$L$2, 0 ), 0 )</f>
        <v>5.2806212859576431E-3</v>
      </c>
      <c r="F94" s="120">
        <f xml:space="preserve"> VLOOKUP( $C94, CALCS│Outcomes!$C$373:$L$389, MATCH( F$92, CALCS│Outcomes!$C$2:$L$2, 0 ), 0 )</f>
        <v>4.7759262420559593E-3</v>
      </c>
      <c r="G94" s="272">
        <f>IF( F94 &gt;= F$115, 3, IF( F94 &lt;= F$116, 1, 2 ) )</f>
        <v>3</v>
      </c>
      <c r="H94" s="286">
        <f xml:space="preserve"> IFERROR( ( F94 - E94 ) / ABS( E94 ), "-" )</f>
        <v>-9.557493646510519E-2</v>
      </c>
    </row>
    <row r="95" spans="2:29" hidden="1" outlineLevel="1" x14ac:dyDescent="0.2">
      <c r="C95" s="8" t="s">
        <v>99</v>
      </c>
      <c r="E95" s="120">
        <f xml:space="preserve"> VLOOKUP( $C95, CALCS│Outcomes!$C$373:$L$389, MATCH( E$92, CALCS│Outcomes!$C$2:$L$2, 0 ), 0 )</f>
        <v>6.5083626542294251E-3</v>
      </c>
      <c r="F95" s="120">
        <f xml:space="preserve"> VLOOKUP( $C95, CALCS│Outcomes!$C$373:$L$389, MATCH( F$92, CALCS│Outcomes!$C$2:$L$2, 0 ), 0 )</f>
        <v>2.4219465102399674E-3</v>
      </c>
      <c r="G95" s="272">
        <f>IF( F95 &gt;= F$115, 3, IF( F95 &lt;= F$116, 1, 2 ) )</f>
        <v>3</v>
      </c>
      <c r="H95" s="286">
        <f xml:space="preserve"> IFERROR( ( F95 - E95 ) / ABS( E95 ), "-" )</f>
        <v>-0.6278716108933976</v>
      </c>
    </row>
    <row r="96" spans="2:29" hidden="1" outlineLevel="1" x14ac:dyDescent="0.2">
      <c r="C96" s="8" t="s">
        <v>107</v>
      </c>
      <c r="E96" s="120">
        <f xml:space="preserve"> VLOOKUP( $C96, CALCS│Outcomes!$C$373:$L$389, MATCH( E$92, CALCS│Outcomes!$C$2:$L$2, 0 ), 0 )</f>
        <v>-6.8106987495565969E-3</v>
      </c>
      <c r="F96" s="120">
        <f xml:space="preserve"> VLOOKUP( $C96, CALCS│Outcomes!$C$373:$L$389, MATCH( F$92, CALCS│Outcomes!$C$2:$L$2, 0 ), 0 )</f>
        <v>-7.6884090228284165E-3</v>
      </c>
      <c r="G96" s="272">
        <f>IF( F96 &gt;= F$115, 3, IF( F96 &lt;= F$116, 1, 2 ) )</f>
        <v>1</v>
      </c>
      <c r="H96" s="286">
        <f xml:space="preserve"> IFERROR( ( F96 - E96 ) / ABS( E96 ), "-" )</f>
        <v>-0.1288722795629394</v>
      </c>
    </row>
    <row r="97" spans="3:8" hidden="1" outlineLevel="1" x14ac:dyDescent="0.2">
      <c r="G97" s="285"/>
      <c r="H97" s="285"/>
    </row>
    <row r="98" spans="3:8" hidden="1" outlineLevel="1" x14ac:dyDescent="0.2">
      <c r="C98" s="8" t="s">
        <v>90</v>
      </c>
      <c r="E98" s="120">
        <f xml:space="preserve"> VLOOKUP( $C98, CALCS│Outcomes!$C$373:$L$389, MATCH( E$92, CALCS│Outcomes!$C$2:$L$2, 0 ), 0 )</f>
        <v>5.4787166951721893E-5</v>
      </c>
      <c r="F98" s="120">
        <f xml:space="preserve"> VLOOKUP( $C98, CALCS│Outcomes!$C$373:$L$389, MATCH( F$92, CALCS│Outcomes!$C$2:$L$2, 0 ), 0 )</f>
        <v>3.6573300562620817E-3</v>
      </c>
      <c r="G98" s="272">
        <f>IF( F98 &gt;= F$115, 3, IF( F98 &lt;= F$116, 1, 2 ) )</f>
        <v>3</v>
      </c>
      <c r="H98" s="286">
        <f xml:space="preserve"> IFERROR( ( F98 - E98 ) / ABS( E98 ), "-" )</f>
        <v>65.755232287971708</v>
      </c>
    </row>
    <row r="99" spans="3:8" hidden="1" outlineLevel="1" x14ac:dyDescent="0.2">
      <c r="G99" s="285"/>
      <c r="H99" s="285"/>
    </row>
    <row r="100" spans="3:8" hidden="1" outlineLevel="1" x14ac:dyDescent="0.2">
      <c r="C100" s="8" t="s">
        <v>81</v>
      </c>
      <c r="E100" s="120">
        <f xml:space="preserve"> VLOOKUP( $C100, CALCS│Outcomes!$C$373:$L$389, MATCH( E$92, CALCS│Outcomes!$C$2:$L$2, 0 ), 0 )</f>
        <v>-1.8872799732474561E-3</v>
      </c>
      <c r="F100" s="120">
        <f xml:space="preserve"> VLOOKUP( $C100, CALCS│Outcomes!$C$373:$L$389, MATCH( F$92, CALCS│Outcomes!$C$2:$L$2, 0 ), 0 )</f>
        <v>-1.9566461759691617E-4</v>
      </c>
      <c r="G100" s="272">
        <f t="shared" ref="G100:G110" si="10">IF( F100 &gt;= F$115, 3, IF( F100 &lt;= F$116, 1, 2 ) )</f>
        <v>2</v>
      </c>
      <c r="H100" s="286">
        <f t="shared" ref="H100:H109" si="11" xml:space="preserve"> IFERROR( ( F100 - E100 ) / ABS( E100 ), "-" )</f>
        <v>0.89632454094225633</v>
      </c>
    </row>
    <row r="101" spans="3:8" hidden="1" outlineLevel="1" x14ac:dyDescent="0.2">
      <c r="C101" s="8" t="s">
        <v>86</v>
      </c>
      <c r="E101" s="120">
        <f xml:space="preserve"> VLOOKUP( $C101, CALCS│Outcomes!$C$373:$L$389, MATCH( E$92, CALCS│Outcomes!$C$2:$L$2, 0 ), 0 )</f>
        <v>2.7501875335065214E-3</v>
      </c>
      <c r="F101" s="120">
        <f xml:space="preserve"> VLOOKUP( $C101, CALCS│Outcomes!$C$373:$L$389, MATCH( F$92, CALCS│Outcomes!$C$2:$L$2, 0 ), 0 )</f>
        <v>-2.315892953681791E-3</v>
      </c>
      <c r="G101" s="272">
        <f t="shared" si="10"/>
        <v>2</v>
      </c>
      <c r="H101" s="286">
        <f t="shared" si="11"/>
        <v>-1.8420854670695859</v>
      </c>
    </row>
    <row r="102" spans="3:8" hidden="1" outlineLevel="1" x14ac:dyDescent="0.2">
      <c r="C102" s="8" t="s">
        <v>88</v>
      </c>
      <c r="E102" s="270"/>
      <c r="F102" s="120">
        <f xml:space="preserve"> VLOOKUP( $C102, CALCS│Outcomes!$C$373:$L$389, MATCH( F$92, CALCS│Outcomes!$C$2:$L$2, 0 ), 0 )</f>
        <v>-1.1292198680321771E-3</v>
      </c>
      <c r="G102" s="272">
        <f t="shared" si="10"/>
        <v>2</v>
      </c>
      <c r="H102" s="286" t="str">
        <f t="shared" si="11"/>
        <v>-</v>
      </c>
    </row>
    <row r="103" spans="3:8" hidden="1" outlineLevel="1" x14ac:dyDescent="0.2">
      <c r="C103" s="8" t="s">
        <v>93</v>
      </c>
      <c r="E103" s="120">
        <f xml:space="preserve"> VLOOKUP( $C103, CALCS│Outcomes!$C$373:$L$389, MATCH( E$92, CALCS│Outcomes!$C$2:$L$2, 0 ), 0 )</f>
        <v>-1.8063239381394525E-4</v>
      </c>
      <c r="F103" s="120">
        <f xml:space="preserve"> VLOOKUP( $C103, CALCS│Outcomes!$C$373:$L$389, MATCH( F$92, CALCS│Outcomes!$C$2:$L$2, 0 ), 0 )</f>
        <v>-2.1463492990944147E-4</v>
      </c>
      <c r="G103" s="272">
        <f t="shared" si="10"/>
        <v>2</v>
      </c>
      <c r="H103" s="286">
        <f t="shared" si="11"/>
        <v>-0.18824162918706303</v>
      </c>
    </row>
    <row r="104" spans="3:8" hidden="1" outlineLevel="1" x14ac:dyDescent="0.2">
      <c r="C104" s="8" t="s">
        <v>97</v>
      </c>
      <c r="E104" s="120">
        <f xml:space="preserve"> VLOOKUP( $C104, CALCS│Outcomes!$C$373:$L$389, MATCH( E$92, CALCS│Outcomes!$C$2:$L$2, 0 ), 0 )</f>
        <v>-1.9447227929787344E-3</v>
      </c>
      <c r="F104" s="120">
        <f xml:space="preserve"> VLOOKUP( $C104, CALCS│Outcomes!$C$373:$L$389, MATCH( F$92, CALCS│Outcomes!$C$2:$L$2, 0 ), 0 )</f>
        <v>5.2723202724486917E-3</v>
      </c>
      <c r="G104" s="272">
        <f t="shared" si="10"/>
        <v>3</v>
      </c>
      <c r="H104" s="286">
        <f t="shared" si="11"/>
        <v>3.7110909027672121</v>
      </c>
    </row>
    <row r="105" spans="3:8" hidden="1" outlineLevel="1" x14ac:dyDescent="0.2">
      <c r="C105" s="8" t="s">
        <v>101</v>
      </c>
      <c r="E105" s="120">
        <f xml:space="preserve"> VLOOKUP( $C105, CALCS│Outcomes!$C$373:$L$389, MATCH( E$92, CALCS│Outcomes!$C$2:$L$2, 0 ), 0 )</f>
        <v>5.9992990928232912E-3</v>
      </c>
      <c r="F105" s="120">
        <f xml:space="preserve"> VLOOKUP( $C105, CALCS│Outcomes!$C$373:$L$389, MATCH( F$92, CALCS│Outcomes!$C$2:$L$2, 0 ), 0 )</f>
        <v>4.1311488369656204E-3</v>
      </c>
      <c r="G105" s="272">
        <f t="shared" si="10"/>
        <v>3</v>
      </c>
      <c r="H105" s="286">
        <f t="shared" si="11"/>
        <v>-0.31139475244574161</v>
      </c>
    </row>
    <row r="106" spans="3:8" hidden="1" outlineLevel="1" x14ac:dyDescent="0.2">
      <c r="C106" s="8" t="s">
        <v>103</v>
      </c>
      <c r="E106" s="120">
        <f xml:space="preserve"> VLOOKUP( $C106, CALCS│Outcomes!$C$373:$L$389, MATCH( E$92, CALCS│Outcomes!$C$2:$L$2, 0 ), 0 )</f>
        <v>-3.5195482100201588E-3</v>
      </c>
      <c r="F106" s="120">
        <f xml:space="preserve"> VLOOKUP( $C106, CALCS│Outcomes!$C$373:$L$389, MATCH( F$92, CALCS│Outcomes!$C$2:$L$2, 0 ), 0 )</f>
        <v>-1.7591487072770858E-2</v>
      </c>
      <c r="G106" s="272">
        <f t="shared" si="10"/>
        <v>1</v>
      </c>
      <c r="H106" s="286">
        <f t="shared" si="11"/>
        <v>-3.9982230738274502</v>
      </c>
    </row>
    <row r="107" spans="3:8" hidden="1" outlineLevel="1" x14ac:dyDescent="0.2">
      <c r="C107" s="8" t="s">
        <v>105</v>
      </c>
      <c r="E107" s="120">
        <f xml:space="preserve"> VLOOKUP( $C107, CALCS│Outcomes!$C$373:$L$389, MATCH( E$92, CALCS│Outcomes!$C$2:$L$2, 0 ), 0 )</f>
        <v>-1.3848919482363985E-2</v>
      </c>
      <c r="F107" s="120">
        <f xml:space="preserve"> VLOOKUP( $C107, CALCS│Outcomes!$C$373:$L$389, MATCH( F$92, CALCS│Outcomes!$C$2:$L$2, 0 ), 0 )</f>
        <v>-2.0100924693402255E-2</v>
      </c>
      <c r="G107" s="272">
        <f t="shared" si="10"/>
        <v>1</v>
      </c>
      <c r="H107" s="286">
        <f t="shared" si="11"/>
        <v>-0.45144353817638516</v>
      </c>
    </row>
    <row r="108" spans="3:8" hidden="1" outlineLevel="1" x14ac:dyDescent="0.2">
      <c r="C108" s="8" t="s">
        <v>111</v>
      </c>
      <c r="E108" s="120">
        <f xml:space="preserve"> VLOOKUP( $C108, CALCS│Outcomes!$C$373:$L$389, MATCH( E$92, CALCS│Outcomes!$C$2:$L$2, 0 ), 0 )</f>
        <v>-3.5578551199056717E-3</v>
      </c>
      <c r="F108" s="120">
        <f xml:space="preserve"> VLOOKUP( $C108, CALCS│Outcomes!$C$373:$L$389, MATCH( F$92, CALCS│Outcomes!$C$2:$L$2, 0 ), 0 )</f>
        <v>-1.0684773003286329E-4</v>
      </c>
      <c r="G108" s="272">
        <f t="shared" si="10"/>
        <v>2</v>
      </c>
      <c r="H108" s="286">
        <f t="shared" si="11"/>
        <v>0.96996849887589121</v>
      </c>
    </row>
    <row r="109" spans="3:8" hidden="1" outlineLevel="1" x14ac:dyDescent="0.2">
      <c r="C109" s="8" t="s">
        <v>113</v>
      </c>
      <c r="E109" s="120">
        <f xml:space="preserve"> VLOOKUP( $C109, CALCS│Outcomes!$C$373:$L$389, MATCH( E$92, CALCS│Outcomes!$C$2:$L$2, 0 ), 0 )</f>
        <v>-2.0202433382524778E-3</v>
      </c>
      <c r="F109" s="120">
        <f xml:space="preserve"> VLOOKUP( $C109, CALCS│Outcomes!$C$373:$L$389, MATCH( F$92, CALCS│Outcomes!$C$2:$L$2, 0 ), 0 )</f>
        <v>1.9045609742082456E-3</v>
      </c>
      <c r="G109" s="272">
        <f t="shared" si="10"/>
        <v>2</v>
      </c>
      <c r="H109" s="286">
        <f t="shared" si="11"/>
        <v>1.9427384009372366</v>
      </c>
    </row>
    <row r="110" spans="3:8" hidden="1" outlineLevel="1" x14ac:dyDescent="0.2">
      <c r="C110" s="8" t="s">
        <v>109</v>
      </c>
      <c r="E110" s="120">
        <f xml:space="preserve"> VLOOKUP( $C110, CALCS│Outcomes!$C$373:$L$389, MATCH( E$92, CALCS│Outcomes!$C$2:$L$2, 0 ), 0 )</f>
        <v>3.6054614231974267E-3</v>
      </c>
      <c r="F110" s="120">
        <f xml:space="preserve"> VLOOKUP( $C110, CALCS│Outcomes!$C$373:$L$389, MATCH( F$92, CALCS│Outcomes!$C$2:$L$2, 0 ), 0 )</f>
        <v>-1.8055519789227303E-3</v>
      </c>
      <c r="G110" s="272">
        <f t="shared" si="10"/>
        <v>2</v>
      </c>
      <c r="H110" s="286">
        <f xml:space="preserve"> IFERROR( ( F110 - E110 ) / ABS( E110 ), "-" )</f>
        <v>-1.5007824982693934</v>
      </c>
    </row>
    <row r="111" spans="3:8" hidden="1" outlineLevel="1" x14ac:dyDescent="0.2">
      <c r="G111" s="285"/>
      <c r="H111" s="285"/>
    </row>
    <row r="112" spans="3:8" hidden="1" outlineLevel="1" x14ac:dyDescent="0.2">
      <c r="C112" s="8" t="s">
        <v>84</v>
      </c>
      <c r="E112" s="270"/>
      <c r="F112" s="120">
        <f xml:space="preserve"> VLOOKUP( $C112, CALCS│Outcomes!$C$373:$L$389, MATCH( F$92, CALCS│Outcomes!$C$2:$L$2, 0 ), 0 )</f>
        <v>-1.8157406265086117E-2</v>
      </c>
      <c r="G112" s="272">
        <f>IF( F112 &gt;= F$115, 3, IF( F112 &lt;= F$116, 1, 2 ) )</f>
        <v>1</v>
      </c>
      <c r="H112" s="286" t="str">
        <f xml:space="preserve"> IFERROR( ( F112 - E112 ) / ABS( E112 ), "-" )</f>
        <v>-</v>
      </c>
    </row>
    <row r="113" spans="2:29" hidden="1" outlineLevel="1" x14ac:dyDescent="0.2">
      <c r="C113" s="8" t="s">
        <v>95</v>
      </c>
      <c r="E113" s="120">
        <f xml:space="preserve"> VLOOKUP( $C113, CALCS│Outcomes!$C$373:$L$389, MATCH( E$92, CALCS│Outcomes!$C$2:$L$2, 0 ), 0 )</f>
        <v>-7.5880085928923067E-3</v>
      </c>
      <c r="F113" s="120">
        <f xml:space="preserve"> VLOOKUP( $C113, CALCS│Outcomes!$C$373:$L$389, MATCH( F$92, CALCS│Outcomes!$C$2:$L$2, 0 ), 0 )</f>
        <v>-1.1337650166482504E-2</v>
      </c>
      <c r="G113" s="272">
        <f>IF( F113 &gt;= F$115, 3, IF( F113 &lt;= F$116, 1, 2 ) )</f>
        <v>1</v>
      </c>
      <c r="H113" s="286">
        <f xml:space="preserve"> IFERROR( ( F113 - E113 ) / ABS( E113 ), "-" )</f>
        <v>-0.49415357503713025</v>
      </c>
    </row>
    <row r="114" spans="2:29" hidden="1" outlineLevel="1" x14ac:dyDescent="0.2"/>
    <row r="115" spans="2:29" hidden="1" outlineLevel="1" x14ac:dyDescent="0.2">
      <c r="C115" s="21" t="s">
        <v>514</v>
      </c>
      <c r="F115" s="118">
        <f>_xlfn.PERCENTILE.INC(F94:F113, 0.75)</f>
        <v>2.4219465102399674E-3</v>
      </c>
      <c r="G115" s="117"/>
      <c r="H115" s="117"/>
    </row>
    <row r="116" spans="2:29" hidden="1" outlineLevel="1" x14ac:dyDescent="0.2">
      <c r="C116" s="21" t="s">
        <v>515</v>
      </c>
      <c r="F116" s="118">
        <f>_xlfn.PERCENTILE.INC(F94:F113, 0.25)</f>
        <v>-7.6884090228284165E-3</v>
      </c>
      <c r="G116" s="117"/>
      <c r="H116" s="117"/>
    </row>
    <row r="118" spans="2:29" ht="13.5" collapsed="1" x14ac:dyDescent="0.25">
      <c r="B118" s="9" t="s">
        <v>154</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row>
    <row r="119" spans="2:29" hidden="1" outlineLevel="1" x14ac:dyDescent="0.2"/>
    <row r="120" spans="2:29" ht="30" hidden="1" customHeight="1" outlineLevel="1" x14ac:dyDescent="0.2">
      <c r="E120" s="360" t="s">
        <v>494</v>
      </c>
      <c r="F120" s="360"/>
      <c r="G120" s="360"/>
      <c r="H120" s="360"/>
      <c r="I120" s="266"/>
      <c r="J120" s="360" t="s">
        <v>262</v>
      </c>
      <c r="K120" s="360"/>
      <c r="L120" s="360"/>
      <c r="M120" s="360"/>
      <c r="N120" s="266"/>
      <c r="O120" s="360" t="s">
        <v>286</v>
      </c>
      <c r="P120" s="360"/>
      <c r="Q120" s="360"/>
      <c r="R120" s="360"/>
      <c r="S120" s="266"/>
      <c r="T120" s="360" t="s">
        <v>498</v>
      </c>
      <c r="U120" s="360"/>
      <c r="V120" s="360"/>
      <c r="W120" s="360"/>
      <c r="X120" s="266"/>
      <c r="Y120" s="360" t="s">
        <v>319</v>
      </c>
      <c r="Z120" s="360"/>
      <c r="AA120" s="360"/>
      <c r="AB120" s="360"/>
    </row>
    <row r="121" spans="2:29" hidden="1" outlineLevel="1" x14ac:dyDescent="0.2">
      <c r="E121" s="361" t="str">
        <f>Last_year</f>
        <v>2017-18</v>
      </c>
      <c r="F121" s="361" t="str">
        <f>Year</f>
        <v>2018-19</v>
      </c>
      <c r="G121" s="361" t="s">
        <v>513</v>
      </c>
      <c r="H121" s="361" t="s">
        <v>517</v>
      </c>
      <c r="J121" s="361" t="str">
        <f>Last_year</f>
        <v>2017-18</v>
      </c>
      <c r="K121" s="361" t="str">
        <f>Year</f>
        <v>2018-19</v>
      </c>
      <c r="L121" s="361" t="s">
        <v>513</v>
      </c>
      <c r="M121" s="361" t="s">
        <v>517</v>
      </c>
      <c r="O121" s="361" t="str">
        <f>Last_year</f>
        <v>2017-18</v>
      </c>
      <c r="P121" s="361" t="str">
        <f>Year</f>
        <v>2018-19</v>
      </c>
      <c r="Q121" s="361" t="s">
        <v>513</v>
      </c>
      <c r="R121" s="361" t="s">
        <v>517</v>
      </c>
      <c r="T121" s="361" t="str">
        <f>Last_year</f>
        <v>2017-18</v>
      </c>
      <c r="U121" s="361" t="str">
        <f>Year</f>
        <v>2018-19</v>
      </c>
      <c r="V121" s="361" t="s">
        <v>513</v>
      </c>
      <c r="W121" s="361" t="s">
        <v>517</v>
      </c>
      <c r="Y121" s="361" t="str">
        <f>Last_year</f>
        <v>2017-18</v>
      </c>
      <c r="Z121" s="361" t="str">
        <f>Year</f>
        <v>2018-19</v>
      </c>
      <c r="AA121" s="361" t="s">
        <v>513</v>
      </c>
      <c r="AB121" s="361" t="s">
        <v>517</v>
      </c>
    </row>
    <row r="122" spans="2:29" hidden="1" outlineLevel="1" x14ac:dyDescent="0.2"/>
    <row r="123" spans="2:29" hidden="1" outlineLevel="1" x14ac:dyDescent="0.2">
      <c r="C123" s="8" t="s">
        <v>79</v>
      </c>
      <c r="E123" s="50">
        <f xml:space="preserve"> VLOOKUP( $C123, CALCS│Outcomes!$C$55:$L$71, MATCH( E$121, CALCS│Outcomes!$C$2:$L$2, 0 ), 0 )</f>
        <v>4.7543379494607576</v>
      </c>
      <c r="F123" s="50">
        <f xml:space="preserve"> VLOOKUP( $C123, CALCS│Outcomes!$C$55:$L$71, MATCH( F$121, CALCS│Outcomes!$C$2:$L$2, 0 ), 0 )</f>
        <v>4.9564129941698409</v>
      </c>
      <c r="G123" s="272">
        <f>IF( F123 &lt;= F$144, 3, IF( F123 &gt;= F$145, 1, 2 ) )</f>
        <v>3</v>
      </c>
      <c r="H123" s="276">
        <f xml:space="preserve"> F123 / E123 - 1</f>
        <v>4.2503298431278536E-2</v>
      </c>
      <c r="J123" s="50">
        <f xml:space="preserve"> VLOOKUP( $C123, CALCS│Outcomes!$C$80:$L$96, MATCH( J$121, CALCS│Outcomes!$C$2:$L$2, 0 ), 0 )</f>
        <v>7.4</v>
      </c>
      <c r="K123" s="50">
        <f xml:space="preserve"> VLOOKUP( $C123, CALCS│Outcomes!$C$80:$L$96, MATCH( K$121, CALCS│Outcomes!$C$2:$L$2, 0 ), 0 )</f>
        <v>8.73</v>
      </c>
      <c r="L123" s="272">
        <f>IF( K123 &lt;= K$144, 3, IF( K123 &gt;= K$145, 1, 2 ) )</f>
        <v>2</v>
      </c>
      <c r="M123" s="276">
        <f xml:space="preserve"> K123 / J123 - 1</f>
        <v>0.17972972972972978</v>
      </c>
      <c r="O123" s="50">
        <f xml:space="preserve"> VLOOKUP( $C123, CALCS│Outcomes!$C$150:$L$166, MATCH( O$121, CALCS│Outcomes!$C$2:$L$2, 0 ), 0 )</f>
        <v>1.23</v>
      </c>
      <c r="P123" s="50">
        <f xml:space="preserve"> VLOOKUP( $C123, CALCS│Outcomes!$C$150:$L$166, MATCH( P$121, CALCS│Outcomes!$C$2:$L$2, 0 ), 0 )</f>
        <v>1.18</v>
      </c>
      <c r="Q123" s="272">
        <f>IF( P123 &lt;= P$144, 3, IF( P123 &gt;= P$145, 1, 2 ) )</f>
        <v>3</v>
      </c>
      <c r="R123" s="276">
        <f xml:space="preserve"> P123 / O123 - 1</f>
        <v>-4.065040650406504E-2</v>
      </c>
      <c r="T123" s="114">
        <f xml:space="preserve"> _xlfn.IFNA( VLOOKUP( $C123, CALCS│Outcomes!$C$231:$L$241, MATCH( T$121, CALCS│Outcomes!$C$2:$L$2, 0 ), 0 ), "-" )</f>
        <v>1.4367232261547482</v>
      </c>
      <c r="U123" s="114">
        <f xml:space="preserve"> _xlfn.IFNA( VLOOKUP( $C123, CALCS│Outcomes!$C$231:$L$241, MATCH( U$121, CALCS│Outcomes!$C$2:$L$2, 0 ), 0 ), "-" )</f>
        <v>1.2251569866726564</v>
      </c>
      <c r="V123" s="272">
        <f xml:space="preserve"> IF( U123 = "-", "-", IF( U123 &lt;= U$144, 3, IF( U123 &gt;= U$145, 1, 2 ) ) )</f>
        <v>3</v>
      </c>
      <c r="W123" s="286">
        <f xml:space="preserve"> IFERROR( U123 / T123 - 1, "-" )</f>
        <v>-0.14725608637115761</v>
      </c>
      <c r="Y123" s="115">
        <f xml:space="preserve"> _xlfn.IFNA( VLOOKUP( $C123, CALCS│Outcomes!$C$250:$L$260, MATCH( Y$121, CALCS│Outcomes!$C$2:$L$2, 0 ), 0 ), "-" )</f>
        <v>30</v>
      </c>
      <c r="Z123" s="115">
        <f xml:space="preserve"> _xlfn.IFNA( VLOOKUP( $C123, CALCS│Outcomes!$C$250:$L$260, MATCH( Z$121, CALCS│Outcomes!$C$2:$L$2, 0 ), 0 ), "-" )</f>
        <v>25</v>
      </c>
      <c r="AA123" s="272">
        <f xml:space="preserve"> IF( Z123 = "-", "-", IF( Z123 &lt;= Z$144, 3, IF( Z123 &gt;= Z$145, 1, 2 ) ) )</f>
        <v>2</v>
      </c>
      <c r="AB123" s="286">
        <f xml:space="preserve"> IFERROR( Z123 / Y123 - 1, "-" )</f>
        <v>-0.16666666666666663</v>
      </c>
    </row>
    <row r="124" spans="2:29" hidden="1" outlineLevel="1" x14ac:dyDescent="0.2">
      <c r="C124" s="8" t="s">
        <v>99</v>
      </c>
      <c r="E124" s="50">
        <f xml:space="preserve"> VLOOKUP( $C124, CALCS│Outcomes!$C$55:$L$71, MATCH( E$121, CALCS│Outcomes!$C$2:$L$2, 0 ), 0 )</f>
        <v>5.673220488947651</v>
      </c>
      <c r="F124" s="50">
        <f xml:space="preserve"> VLOOKUP( $C124, CALCS│Outcomes!$C$55:$L$71, MATCH( F$121, CALCS│Outcomes!$C$2:$L$2, 0 ), 0 )</f>
        <v>5.543296030961633</v>
      </c>
      <c r="G124" s="272">
        <f>IF( F124 &lt;= F$144, 3, IF( F124 &gt;= F$145, 1, 2 ) )</f>
        <v>3</v>
      </c>
      <c r="H124" s="276">
        <f t="shared" ref="H124:H142" si="12" xml:space="preserve"> F124 / E124 - 1</f>
        <v>-2.2901358803017025E-2</v>
      </c>
      <c r="J124" s="50">
        <f xml:space="preserve"> VLOOKUP( $C124, CALCS│Outcomes!$C$80:$L$96, MATCH( J$121, CALCS│Outcomes!$C$2:$L$2, 0 ), 0 )</f>
        <v>12.3</v>
      </c>
      <c r="K124" s="50">
        <f xml:space="preserve"> VLOOKUP( $C124, CALCS│Outcomes!$C$80:$L$96, MATCH( K$121, CALCS│Outcomes!$C$2:$L$2, 0 ), 0 )</f>
        <v>5.85</v>
      </c>
      <c r="L124" s="272">
        <f>IF( K124 &lt;= K$144, 3, IF( K124 &gt;= K$145, 1, 2 ) )</f>
        <v>3</v>
      </c>
      <c r="M124" s="276">
        <f xml:space="preserve"> K124 / J124 - 1</f>
        <v>-0.52439024390243905</v>
      </c>
      <c r="O124" s="50">
        <f xml:space="preserve"> VLOOKUP( $C124, CALCS│Outcomes!$C$150:$L$166, MATCH( O$121, CALCS│Outcomes!$C$2:$L$2, 0 ), 0 )</f>
        <v>1.56</v>
      </c>
      <c r="P124" s="50">
        <f xml:space="preserve"> VLOOKUP( $C124, CALCS│Outcomes!$C$150:$L$166, MATCH( P$121, CALCS│Outcomes!$C$2:$L$2, 0 ), 0 )</f>
        <v>1.54</v>
      </c>
      <c r="Q124" s="272">
        <f>IF( P124 &lt;= P$144, 3, IF( P124 &gt;= P$145, 1, 2 ) )</f>
        <v>2</v>
      </c>
      <c r="R124" s="276">
        <f xml:space="preserve"> P124 / O124 - 1</f>
        <v>-1.2820512820512886E-2</v>
      </c>
      <c r="T124" s="114">
        <f xml:space="preserve"> _xlfn.IFNA( VLOOKUP( $C124, CALCS│Outcomes!$C$231:$L$241, MATCH( T$121, CALCS│Outcomes!$C$2:$L$2, 0 ), 0 ), "-" )</f>
        <v>1.2195190895118937</v>
      </c>
      <c r="U124" s="114">
        <f xml:space="preserve"> _xlfn.IFNA( VLOOKUP( $C124, CALCS│Outcomes!$C$231:$L$241, MATCH( U$121, CALCS│Outcomes!$C$2:$L$2, 0 ), 0 ), "-" )</f>
        <v>1.4326337971918779</v>
      </c>
      <c r="V124" s="274">
        <f xml:space="preserve"> IF( U124 = "-", "-", IF( U124 &lt;= U$144, 3, IF( U124 &gt;= U$145, 1, 2 ) ) )</f>
        <v>3</v>
      </c>
      <c r="W124" s="286">
        <f xml:space="preserve"> IFERROR( U124 / T124 - 1, "-" )</f>
        <v>0.17475307234861104</v>
      </c>
      <c r="Y124" s="115">
        <f xml:space="preserve"> _xlfn.IFNA( VLOOKUP( $C124, CALCS│Outcomes!$C$250:$L$260, MATCH( Y$121, CALCS│Outcomes!$C$2:$L$2, 0 ), 0 ), "-" )</f>
        <v>23</v>
      </c>
      <c r="Z124" s="115">
        <f xml:space="preserve"> _xlfn.IFNA( VLOOKUP( $C124, CALCS│Outcomes!$C$250:$L$260, MATCH( Z$121, CALCS│Outcomes!$C$2:$L$2, 0 ), 0 ), "-" )</f>
        <v>24</v>
      </c>
      <c r="AA124" s="274">
        <f t="shared" ref="AA124:AA125" si="13" xml:space="preserve"> IF( Z124 = "-", "-", IF( Z124 &lt;= Z$144, 3, IF( Z124 &gt;= Z$145, 1, 2 ) ) )</f>
        <v>3</v>
      </c>
      <c r="AB124" s="286">
        <f xml:space="preserve"> IFERROR( Z124 / Y124 - 1, "-" )</f>
        <v>4.3478260869565188E-2</v>
      </c>
    </row>
    <row r="125" spans="2:29" hidden="1" outlineLevel="1" x14ac:dyDescent="0.2">
      <c r="C125" s="8" t="s">
        <v>107</v>
      </c>
      <c r="E125" s="50">
        <f xml:space="preserve"> VLOOKUP( $C125, CALCS│Outcomes!$C$55:$L$71, MATCH( E$121, CALCS│Outcomes!$C$2:$L$2, 0 ), 0 )</f>
        <v>9.8513456812323934</v>
      </c>
      <c r="F125" s="50">
        <f xml:space="preserve"> VLOOKUP( $C125, CALCS│Outcomes!$C$55:$L$71, MATCH( F$121, CALCS│Outcomes!$C$2:$L$2, 0 ), 0 )</f>
        <v>8.3975392701427456</v>
      </c>
      <c r="G125" s="272">
        <f>IF( F125 &lt;= F$144, 3, IF( F125 &gt;= F$145, 1, 2 ) )</f>
        <v>2</v>
      </c>
      <c r="H125" s="276">
        <f t="shared" si="12"/>
        <v>-0.1475743982732497</v>
      </c>
      <c r="J125" s="50">
        <f xml:space="preserve"> VLOOKUP( $C125, CALCS│Outcomes!$C$80:$L$96, MATCH( J$121, CALCS│Outcomes!$C$2:$L$2, 0 ), 0 )</f>
        <v>4.2833333333333332</v>
      </c>
      <c r="K125" s="50">
        <f xml:space="preserve"> VLOOKUP( $C125, CALCS│Outcomes!$C$80:$L$96, MATCH( K$121, CALCS│Outcomes!$C$2:$L$2, 0 ), 0 )</f>
        <v>3.9</v>
      </c>
      <c r="L125" s="272">
        <f>IF( K125 &lt;= K$144, 3, IF( K125 &gt;= K$145, 1, 2 ) )</f>
        <v>3</v>
      </c>
      <c r="M125" s="276">
        <f xml:space="preserve"> K125 / J125 - 1</f>
        <v>-8.9494163424124529E-2</v>
      </c>
      <c r="O125" s="50">
        <f xml:space="preserve"> VLOOKUP( $C125, CALCS│Outcomes!$C$150:$L$166, MATCH( O$121, CALCS│Outcomes!$C$2:$L$2, 0 ), 0 )</f>
        <v>0.55000000000000004</v>
      </c>
      <c r="P125" s="50">
        <f xml:space="preserve"> VLOOKUP( $C125, CALCS│Outcomes!$C$150:$L$166, MATCH( P$121, CALCS│Outcomes!$C$2:$L$2, 0 ), 0 )</f>
        <v>0.44</v>
      </c>
      <c r="Q125" s="272">
        <f>IF( P125 &lt;= P$144, 3, IF( P125 &gt;= P$145, 1, 2 ) )</f>
        <v>3</v>
      </c>
      <c r="R125" s="276">
        <f xml:space="preserve"> P125 / O125 - 1</f>
        <v>-0.20000000000000007</v>
      </c>
      <c r="T125" s="114" t="str">
        <f xml:space="preserve"> _xlfn.IFNA( VLOOKUP( $C125, CALCS│Outcomes!$C$231:$L$241, MATCH( T$121, CALCS│Outcomes!$C$2:$L$2, 0 ), 0 ), "-" )</f>
        <v>-</v>
      </c>
      <c r="U125" s="114" t="str">
        <f xml:space="preserve"> _xlfn.IFNA( VLOOKUP( $C125, CALCS│Outcomes!$C$231:$L$241, MATCH( U$121, CALCS│Outcomes!$C$2:$L$2, 0 ), 0 ), "-" )</f>
        <v>-</v>
      </c>
      <c r="V125" s="274" t="str">
        <f xml:space="preserve"> IF( U125 = "-", "-", IF( U125 &lt;= U$144, 3, IF( U125 &gt;= U$145, 1, 2 ) ) )</f>
        <v>-</v>
      </c>
      <c r="W125" s="286" t="str">
        <f xml:space="preserve"> IFERROR( U125 / T125 - 1, "-" )</f>
        <v>-</v>
      </c>
      <c r="Y125" s="115" t="str">
        <f xml:space="preserve"> _xlfn.IFNA( VLOOKUP( $C125, CALCS│Outcomes!$C$250:$L$260, MATCH( Y$121, CALCS│Outcomes!$C$2:$L$2, 0 ), 0 ), "-" )</f>
        <v>-</v>
      </c>
      <c r="Z125" s="115" t="str">
        <f xml:space="preserve"> _xlfn.IFNA( VLOOKUP( $C125, CALCS│Outcomes!$C$250:$L$260, MATCH( Z$121, CALCS│Outcomes!$C$2:$L$2, 0 ), 0 ), "-" )</f>
        <v>-</v>
      </c>
      <c r="AA125" s="274" t="str">
        <f t="shared" si="13"/>
        <v>-</v>
      </c>
      <c r="AB125" s="286" t="str">
        <f xml:space="preserve"> IFERROR( Z125 / Y125 - 1, "-" )</f>
        <v>-</v>
      </c>
    </row>
    <row r="126" spans="2:29" hidden="1" outlineLevel="1" x14ac:dyDescent="0.2">
      <c r="G126" s="285"/>
      <c r="H126" s="285"/>
      <c r="L126" s="285"/>
      <c r="M126" s="285"/>
      <c r="Q126" s="285"/>
      <c r="R126" s="285"/>
      <c r="V126" s="285"/>
      <c r="W126" s="285"/>
      <c r="AA126" s="285"/>
      <c r="AB126" s="285"/>
    </row>
    <row r="127" spans="2:29" hidden="1" outlineLevel="1" x14ac:dyDescent="0.2">
      <c r="C127" s="8" t="s">
        <v>90</v>
      </c>
      <c r="E127" s="50">
        <f xml:space="preserve"> VLOOKUP( $C127, CALCS│Outcomes!$C$55:$L$71, MATCH( E$121, CALCS│Outcomes!$C$2:$L$2, 0 ), 0 )</f>
        <v>5.6194811605330992</v>
      </c>
      <c r="F127" s="50">
        <f xml:space="preserve"> VLOOKUP( $C127, CALCS│Outcomes!$C$55:$L$71, MATCH( F$121, CALCS│Outcomes!$C$2:$L$2, 0 ), 0 )</f>
        <v>5.6632236631823778</v>
      </c>
      <c r="G127" s="272">
        <f>IF( F127 &lt;= F$144, 3, IF( F127 &gt;= F$145, 1, 2 ) )</f>
        <v>3</v>
      </c>
      <c r="H127" s="276">
        <f t="shared" si="12"/>
        <v>7.7840820886618811E-3</v>
      </c>
      <c r="J127" s="50">
        <f xml:space="preserve"> VLOOKUP( $C127, CALCS│Outcomes!$C$80:$L$96, MATCH( J$121, CALCS│Outcomes!$C$2:$L$2, 0 ), 0 )</f>
        <v>26.272618654349042</v>
      </c>
      <c r="K127" s="50">
        <f xml:space="preserve"> VLOOKUP( $C127, CALCS│Outcomes!$C$80:$L$96, MATCH( K$121, CALCS│Outcomes!$C$2:$L$2, 0 ), 0 )</f>
        <v>7.8795756149407836</v>
      </c>
      <c r="L127" s="272">
        <f>IF( K127 &lt;= K$144, 3, IF( K127 &gt;= K$145, 1, 2 ) )</f>
        <v>3</v>
      </c>
      <c r="M127" s="276">
        <f xml:space="preserve"> K127 / J127 - 1</f>
        <v>-0.70008411728549036</v>
      </c>
      <c r="O127" s="50">
        <f xml:space="preserve"> VLOOKUP( $C127, CALCS│Outcomes!$C$150:$L$166, MATCH( O$121, CALCS│Outcomes!$C$2:$L$2, 0 ), 0 )</f>
        <v>2.4300000000000002</v>
      </c>
      <c r="P127" s="50">
        <f xml:space="preserve"> VLOOKUP( $C127, CALCS│Outcomes!$C$150:$L$166, MATCH( P$121, CALCS│Outcomes!$C$2:$L$2, 0 ), 0 )</f>
        <v>2.4178379147778002</v>
      </c>
      <c r="Q127" s="272">
        <f>IF( P127 &lt;= P$144, 3, IF( P127 &gt;= P$145, 1, 2 ) )</f>
        <v>1</v>
      </c>
      <c r="R127" s="276">
        <f xml:space="preserve"> P127 / O127 - 1</f>
        <v>-5.0049733424690768E-3</v>
      </c>
      <c r="T127" s="114">
        <f xml:space="preserve"> _xlfn.IFNA( VLOOKUP( $C127, CALCS│Outcomes!$C$231:$L$241, MATCH( T$121, CALCS│Outcomes!$C$2:$L$2, 0 ), 0 ), "-" )</f>
        <v>1.8891156125356889</v>
      </c>
      <c r="U127" s="114">
        <f xml:space="preserve"> _xlfn.IFNA( VLOOKUP( $C127, CALCS│Outcomes!$C$231:$L$241, MATCH( U$121, CALCS│Outcomes!$C$2:$L$2, 0 ), 0 ), "-" )</f>
        <v>1.2267715856836201</v>
      </c>
      <c r="V127" s="274">
        <f xml:space="preserve"> IF( U127 = "-", "-", IF( U127 &lt;= U$144, 3, IF( U127 &gt;= U$145, 1, 2 ) ) )</f>
        <v>3</v>
      </c>
      <c r="W127" s="286">
        <f xml:space="preserve"> IFERROR( U127 / T127 - 1, "-" )</f>
        <v>-0.35061063624530064</v>
      </c>
      <c r="Y127" s="115">
        <f xml:space="preserve"> _xlfn.IFNA( VLOOKUP( $C127, CALCS│Outcomes!$C$250:$L$260, MATCH( Y$121, CALCS│Outcomes!$C$2:$L$2, 0 ), 0 ), "-" )</f>
        <v>109</v>
      </c>
      <c r="Z127" s="115">
        <f xml:space="preserve"> _xlfn.IFNA( VLOOKUP( $C127, CALCS│Outcomes!$C$250:$L$260, MATCH( Z$121, CALCS│Outcomes!$C$2:$L$2, 0 ), 0 ), "-" )</f>
        <v>98</v>
      </c>
      <c r="AA127" s="274">
        <f xml:space="preserve"> IF( Z127 = "-", "-", IF( Z127 &lt;= Z$144, 3, IF( Z127 &gt;= Z$145, 1, 2 ) ) )</f>
        <v>1</v>
      </c>
      <c r="AB127" s="286">
        <f xml:space="preserve"> IFERROR( Z127 / Y127 - 1, "-" )</f>
        <v>-0.1009174311926605</v>
      </c>
    </row>
    <row r="128" spans="2:29" hidden="1" outlineLevel="1" x14ac:dyDescent="0.2">
      <c r="G128" s="285"/>
      <c r="H128" s="285"/>
      <c r="L128" s="285"/>
      <c r="M128" s="285"/>
      <c r="Q128" s="285"/>
      <c r="R128" s="285"/>
      <c r="V128" s="285"/>
      <c r="W128" s="285"/>
      <c r="AA128" s="285"/>
      <c r="AB128" s="285"/>
    </row>
    <row r="129" spans="3:28" hidden="1" outlineLevel="1" x14ac:dyDescent="0.2">
      <c r="C129" s="8" t="s">
        <v>81</v>
      </c>
      <c r="E129" s="50">
        <f xml:space="preserve"> VLOOKUP( $C129, CALCS│Outcomes!$C$55:$L$71, MATCH( E$121, CALCS│Outcomes!$C$2:$L$2, 0 ), 0 )</f>
        <v>6.2633257238105591</v>
      </c>
      <c r="F129" s="50">
        <f xml:space="preserve"> VLOOKUP( $C129, CALCS│Outcomes!$C$55:$L$71, MATCH( F$121, CALCS│Outcomes!$C$2:$L$2, 0 ), 0 )</f>
        <v>6.132887673452851</v>
      </c>
      <c r="G129" s="272">
        <f t="shared" ref="G129:G139" si="14">IF( F129 &lt;= F$144, 3, IF( F129 &gt;= F$145, 1, 2 ) )</f>
        <v>2</v>
      </c>
      <c r="H129" s="276">
        <f t="shared" si="12"/>
        <v>-2.0825685284390771E-2</v>
      </c>
      <c r="J129" s="50">
        <f xml:space="preserve"> VLOOKUP( $C129, CALCS│Outcomes!$C$80:$L$96, MATCH( J$121, CALCS│Outcomes!$C$2:$L$2, 0 ), 0 )</f>
        <v>43.3</v>
      </c>
      <c r="K129" s="50">
        <f xml:space="preserve"> VLOOKUP( $C129, CALCS│Outcomes!$C$80:$L$96, MATCH( K$121, CALCS│Outcomes!$C$2:$L$2, 0 ), 0 )</f>
        <v>16</v>
      </c>
      <c r="L129" s="272">
        <f t="shared" ref="L129:L139" si="15">IF( K129 &lt;= K$144, 3, IF( K129 &gt;= K$145, 1, 2 ) )</f>
        <v>1</v>
      </c>
      <c r="M129" s="276">
        <f t="shared" ref="M129:M138" si="16" xml:space="preserve"> K129 / J129 - 1</f>
        <v>-0.63048498845265588</v>
      </c>
      <c r="O129" s="50">
        <f xml:space="preserve"> VLOOKUP( $C129, CALCS│Outcomes!$C$150:$L$166, MATCH( O$121, CALCS│Outcomes!$C$2:$L$2, 0 ), 0 )</f>
        <v>3.27</v>
      </c>
      <c r="P129" s="50">
        <f xml:space="preserve"> VLOOKUP( $C129, CALCS│Outcomes!$C$150:$L$166, MATCH( P$121, CALCS│Outcomes!$C$2:$L$2, 0 ), 0 )</f>
        <v>3.42</v>
      </c>
      <c r="Q129" s="272">
        <f t="shared" ref="Q129:Q139" si="17">IF( P129 &lt;= P$144, 3, IF( P129 &gt;= P$145, 1, 2 ) )</f>
        <v>1</v>
      </c>
      <c r="R129" s="276">
        <f t="shared" ref="R129:R138" si="18" xml:space="preserve"> P129 / O129 - 1</f>
        <v>4.587155963302747E-2</v>
      </c>
      <c r="T129" s="114">
        <f xml:space="preserve"> _xlfn.IFNA( VLOOKUP( $C129, CALCS│Outcomes!$C$231:$L$241, MATCH( T$121, CALCS│Outcomes!$C$2:$L$2, 0 ), 0 ), "-" )</f>
        <v>1.5242335898321893</v>
      </c>
      <c r="U129" s="114">
        <f xml:space="preserve"> _xlfn.IFNA( VLOOKUP( $C129, CALCS│Outcomes!$C$231:$L$241, MATCH( U$121, CALCS│Outcomes!$C$2:$L$2, 0 ), 0 ), "-" )</f>
        <v>1.5156170275801151</v>
      </c>
      <c r="V129" s="274">
        <f t="shared" ref="V129:V139" si="19" xml:space="preserve"> IF( U129 = "-", "-", IF( U129 &lt;= U$144, 3, IF( U129 &gt;= U$145, 1, 2 ) ) )</f>
        <v>2</v>
      </c>
      <c r="W129" s="286">
        <f t="shared" ref="W129:W138" si="20" xml:space="preserve"> IFERROR( U129 / T129 - 1, "-" )</f>
        <v>-5.6530457730057382E-3</v>
      </c>
      <c r="Y129" s="115">
        <f xml:space="preserve"> _xlfn.IFNA( VLOOKUP( $C129, CALCS│Outcomes!$C$250:$L$260, MATCH( Y$121, CALCS│Outcomes!$C$2:$L$2, 0 ), 0 ), "-" )</f>
        <v>28.2</v>
      </c>
      <c r="Z129" s="115">
        <f xml:space="preserve"> _xlfn.IFNA( VLOOKUP( $C129, CALCS│Outcomes!$C$250:$L$260, MATCH( Z$121, CALCS│Outcomes!$C$2:$L$2, 0 ), 0 ), "-" )</f>
        <v>28</v>
      </c>
      <c r="AA129" s="274">
        <f t="shared" ref="AA129:AA139" si="21" xml:space="preserve"> IF( Z129 = "-", "-", IF( Z129 &lt;= Z$144, 3, IF( Z129 &gt;= Z$145, 1, 2 ) ) )</f>
        <v>2</v>
      </c>
      <c r="AB129" s="286">
        <f t="shared" ref="AB129:AB138" si="22" xml:space="preserve"> IFERROR( Z129 / Y129 - 1, "-" )</f>
        <v>-7.0921985815602939E-3</v>
      </c>
    </row>
    <row r="130" spans="3:28" hidden="1" outlineLevel="1" x14ac:dyDescent="0.2">
      <c r="C130" s="8" t="s">
        <v>86</v>
      </c>
      <c r="E130" s="50">
        <f xml:space="preserve"> VLOOKUP( $C130, CALCS│Outcomes!$C$55:$L$71, MATCH( E$121, CALCS│Outcomes!$C$2:$L$2, 0 ), 0 )</f>
        <v>7.8422821770524198</v>
      </c>
      <c r="F130" s="50">
        <f xml:space="preserve"> VLOOKUP( $C130, CALCS│Outcomes!$C$55:$L$71, MATCH( F$121, CALCS│Outcomes!$C$2:$L$2, 0 ), 0 )</f>
        <v>7.6996654156567033</v>
      </c>
      <c r="G130" s="272">
        <f t="shared" si="14"/>
        <v>2</v>
      </c>
      <c r="H130" s="276">
        <f t="shared" si="12"/>
        <v>-1.8185619718330548E-2</v>
      </c>
      <c r="J130" s="50">
        <f xml:space="preserve"> VLOOKUP( $C130, CALCS│Outcomes!$C$80:$L$96, MATCH( J$121, CALCS│Outcomes!$C$2:$L$2, 0 ), 0 )</f>
        <v>5.38</v>
      </c>
      <c r="K130" s="50">
        <f xml:space="preserve"> VLOOKUP( $C130, CALCS│Outcomes!$C$80:$L$96, MATCH( K$121, CALCS│Outcomes!$C$2:$L$2, 0 ), 0 )</f>
        <v>9.1999999999999993</v>
      </c>
      <c r="L130" s="272">
        <f t="shared" si="15"/>
        <v>2</v>
      </c>
      <c r="M130" s="276">
        <f t="shared" si="16"/>
        <v>0.71003717472118955</v>
      </c>
      <c r="O130" s="50">
        <f xml:space="preserve"> VLOOKUP( $C130, CALCS│Outcomes!$C$150:$L$166, MATCH( O$121, CALCS│Outcomes!$C$2:$L$2, 0 ), 0 )</f>
        <v>1.3444443672008064</v>
      </c>
      <c r="P130" s="50">
        <f xml:space="preserve"> VLOOKUP( $C130, CALCS│Outcomes!$C$150:$L$166, MATCH( P$121, CALCS│Outcomes!$C$2:$L$2, 0 ), 0 )</f>
        <v>1.3425628323507699</v>
      </c>
      <c r="Q130" s="272">
        <f t="shared" si="17"/>
        <v>2</v>
      </c>
      <c r="R130" s="276">
        <f t="shared" si="18"/>
        <v>-1.3994888118382676E-3</v>
      </c>
      <c r="T130" s="114">
        <f xml:space="preserve"> _xlfn.IFNA( VLOOKUP( $C130, CALCS│Outcomes!$C$231:$L$241, MATCH( T$121, CALCS│Outcomes!$C$2:$L$2, 0 ), 0 ), "-" )</f>
        <v>2.3338404491733065</v>
      </c>
      <c r="U130" s="114">
        <f xml:space="preserve"> _xlfn.IFNA( VLOOKUP( $C130, CALCS│Outcomes!$C$231:$L$241, MATCH( U$121, CALCS│Outcomes!$C$2:$L$2, 0 ), 0 ), "-" )</f>
        <v>2.9135142966933976</v>
      </c>
      <c r="V130" s="274">
        <f t="shared" si="19"/>
        <v>1</v>
      </c>
      <c r="W130" s="286">
        <f t="shared" si="20"/>
        <v>0.24837766768736191</v>
      </c>
      <c r="Y130" s="115">
        <f xml:space="preserve"> _xlfn.IFNA( VLOOKUP( $C130, CALCS│Outcomes!$C$250:$L$260, MATCH( Y$121, CALCS│Outcomes!$C$2:$L$2, 0 ), 0 ), "-" )</f>
        <v>17</v>
      </c>
      <c r="Z130" s="115">
        <f xml:space="preserve"> _xlfn.IFNA( VLOOKUP( $C130, CALCS│Outcomes!$C$250:$L$260, MATCH( Z$121, CALCS│Outcomes!$C$2:$L$2, 0 ), 0 ), "-" )</f>
        <v>12</v>
      </c>
      <c r="AA130" s="274">
        <f t="shared" si="21"/>
        <v>3</v>
      </c>
      <c r="AB130" s="286">
        <f t="shared" si="22"/>
        <v>-0.29411764705882348</v>
      </c>
    </row>
    <row r="131" spans="3:28" hidden="1" outlineLevel="1" x14ac:dyDescent="0.2">
      <c r="C131" s="8" t="s">
        <v>88</v>
      </c>
      <c r="E131" s="50">
        <f xml:space="preserve"> VLOOKUP( $C131, CALCS│Outcomes!$C$55:$L$71, MATCH( E$121, CALCS│Outcomes!$C$2:$L$2, 0 ), 0 )</f>
        <v>9.4375039600856478</v>
      </c>
      <c r="F131" s="50">
        <f xml:space="preserve"> VLOOKUP( $C131, CALCS│Outcomes!$C$55:$L$71, MATCH( F$121, CALCS│Outcomes!$C$2:$L$2, 0 ), 0 )</f>
        <v>9.0647717467195612</v>
      </c>
      <c r="G131" s="272">
        <f t="shared" si="14"/>
        <v>2</v>
      </c>
      <c r="H131" s="276">
        <f t="shared" si="12"/>
        <v>-3.9494787492804773E-2</v>
      </c>
      <c r="J131" s="270"/>
      <c r="K131" s="50">
        <f xml:space="preserve"> VLOOKUP( $C131, CALCS│Outcomes!$C$80:$L$96, MATCH( K$121, CALCS│Outcomes!$C$2:$L$2, 0 ), 0 )</f>
        <v>18.883333333333333</v>
      </c>
      <c r="L131" s="272">
        <f t="shared" si="15"/>
        <v>1</v>
      </c>
      <c r="M131" s="276" t="e">
        <f t="shared" si="16"/>
        <v>#DIV/0!</v>
      </c>
      <c r="O131" s="270"/>
      <c r="P131" s="50">
        <f xml:space="preserve"> VLOOKUP( $C131, CALCS│Outcomes!$C$150:$L$166, MATCH( P$121, CALCS│Outcomes!$C$2:$L$2, 0 ), 0 )</f>
        <v>1.64</v>
      </c>
      <c r="Q131" s="272">
        <f t="shared" si="17"/>
        <v>2</v>
      </c>
      <c r="R131" s="276" t="e">
        <f t="shared" si="18"/>
        <v>#DIV/0!</v>
      </c>
      <c r="T131" s="270"/>
      <c r="U131" s="114">
        <f xml:space="preserve"> _xlfn.IFNA( VLOOKUP( $C131, CALCS│Outcomes!$C$231:$L$241, MATCH( U$121, CALCS│Outcomes!$C$2:$L$2, 0 ), 0 ), "-" )</f>
        <v>1.7469942662443354</v>
      </c>
      <c r="V131" s="274">
        <f t="shared" si="19"/>
        <v>2</v>
      </c>
      <c r="W131" s="286" t="str">
        <f t="shared" si="20"/>
        <v>-</v>
      </c>
      <c r="Y131" s="270"/>
      <c r="Z131" s="115">
        <f xml:space="preserve"> _xlfn.IFNA( VLOOKUP( $C131, CALCS│Outcomes!$C$250:$L$260, MATCH( Z$121, CALCS│Outcomes!$C$2:$L$2, 0 ), 0 ), "-" )</f>
        <v>31</v>
      </c>
      <c r="AA131" s="274">
        <f t="shared" si="21"/>
        <v>2</v>
      </c>
      <c r="AB131" s="286" t="str">
        <f t="shared" si="22"/>
        <v>-</v>
      </c>
    </row>
    <row r="132" spans="3:28" hidden="1" outlineLevel="1" x14ac:dyDescent="0.2">
      <c r="C132" s="8" t="s">
        <v>93</v>
      </c>
      <c r="E132" s="50">
        <f xml:space="preserve"> VLOOKUP( $C132, CALCS│Outcomes!$C$55:$L$71, MATCH( E$121, CALCS│Outcomes!$C$2:$L$2, 0 ), 0 )</f>
        <v>6.3775425403229313</v>
      </c>
      <c r="F132" s="50">
        <f xml:space="preserve"> VLOOKUP( $C132, CALCS│Outcomes!$C$55:$L$71, MATCH( F$121, CALCS│Outcomes!$C$2:$L$2, 0 ), 0 )</f>
        <v>7.3103922556333396</v>
      </c>
      <c r="G132" s="272">
        <f t="shared" si="14"/>
        <v>2</v>
      </c>
      <c r="H132" s="276">
        <f t="shared" si="12"/>
        <v>0.14627102985394957</v>
      </c>
      <c r="J132" s="50">
        <f xml:space="preserve"> VLOOKUP( $C132, CALCS│Outcomes!$C$80:$L$96, MATCH( J$121, CALCS│Outcomes!$C$2:$L$2, 0 ), 0 )</f>
        <v>16.77</v>
      </c>
      <c r="K132" s="50">
        <f xml:space="preserve"> VLOOKUP( $C132, CALCS│Outcomes!$C$80:$L$96, MATCH( K$121, CALCS│Outcomes!$C$2:$L$2, 0 ), 0 )</f>
        <v>7.38</v>
      </c>
      <c r="L132" s="272">
        <f t="shared" si="15"/>
        <v>3</v>
      </c>
      <c r="M132" s="276">
        <f t="shared" si="16"/>
        <v>-0.55992844364937389</v>
      </c>
      <c r="O132" s="50">
        <f xml:space="preserve"> VLOOKUP( $C132, CALCS│Outcomes!$C$150:$L$166, MATCH( O$121, CALCS│Outcomes!$C$2:$L$2, 0 ), 0 )</f>
        <v>1.4</v>
      </c>
      <c r="P132" s="50">
        <f xml:space="preserve"> VLOOKUP( $C132, CALCS│Outcomes!$C$150:$L$166, MATCH( P$121, CALCS│Outcomes!$C$2:$L$2, 0 ), 0 )</f>
        <v>1.26</v>
      </c>
      <c r="Q132" s="272">
        <f t="shared" si="17"/>
        <v>2</v>
      </c>
      <c r="R132" s="276">
        <f t="shared" si="18"/>
        <v>-9.9999999999999978E-2</v>
      </c>
      <c r="T132" s="114">
        <f xml:space="preserve"> _xlfn.IFNA( VLOOKUP( $C132, CALCS│Outcomes!$C$231:$L$241, MATCH( T$121, CALCS│Outcomes!$C$2:$L$2, 0 ), 0 ), "-" )</f>
        <v>2.0271650223544233</v>
      </c>
      <c r="U132" s="114">
        <f xml:space="preserve"> _xlfn.IFNA( VLOOKUP( $C132, CALCS│Outcomes!$C$231:$L$241, MATCH( U$121, CALCS│Outcomes!$C$2:$L$2, 0 ), 0 ), "-" )</f>
        <v>1.9580760317399595</v>
      </c>
      <c r="V132" s="274">
        <f t="shared" si="19"/>
        <v>1</v>
      </c>
      <c r="W132" s="286">
        <f t="shared" si="20"/>
        <v>-3.4081581840940345E-2</v>
      </c>
      <c r="Y132" s="115">
        <f xml:space="preserve"> _xlfn.IFNA( VLOOKUP( $C132, CALCS│Outcomes!$C$250:$L$260, MATCH( Y$121, CALCS│Outcomes!$C$2:$L$2, 0 ), 0 ), "-" )</f>
        <v>31</v>
      </c>
      <c r="Z132" s="115">
        <f xml:space="preserve"> _xlfn.IFNA( VLOOKUP( $C132, CALCS│Outcomes!$C$250:$L$260, MATCH( Z$121, CALCS│Outcomes!$C$2:$L$2, 0 ), 0 ), "-" )</f>
        <v>39</v>
      </c>
      <c r="AA132" s="274">
        <f t="shared" si="21"/>
        <v>1</v>
      </c>
      <c r="AB132" s="286">
        <f t="shared" si="22"/>
        <v>0.25806451612903225</v>
      </c>
    </row>
    <row r="133" spans="3:28" hidden="1" outlineLevel="1" x14ac:dyDescent="0.2">
      <c r="C133" s="8" t="s">
        <v>97</v>
      </c>
      <c r="E133" s="50">
        <f xml:space="preserve"> VLOOKUP( $C133, CALCS│Outcomes!$C$55:$L$71, MATCH( E$121, CALCS│Outcomes!$C$2:$L$2, 0 ), 0 )</f>
        <v>10.771790542241561</v>
      </c>
      <c r="F133" s="50">
        <f xml:space="preserve"> VLOOKUP( $C133, CALCS│Outcomes!$C$55:$L$71, MATCH( F$121, CALCS│Outcomes!$C$2:$L$2, 0 ), 0 )</f>
        <v>10.805577297917344</v>
      </c>
      <c r="G133" s="272">
        <f t="shared" si="14"/>
        <v>1</v>
      </c>
      <c r="H133" s="276">
        <f t="shared" si="12"/>
        <v>3.1365960508875634E-3</v>
      </c>
      <c r="J133" s="50">
        <f xml:space="preserve"> VLOOKUP( $C133, CALCS│Outcomes!$C$80:$L$96, MATCH( J$121, CALCS│Outcomes!$C$2:$L$2, 0 ), 0 )</f>
        <v>13.15</v>
      </c>
      <c r="K133" s="50">
        <f xml:space="preserve"> VLOOKUP( $C133, CALCS│Outcomes!$C$80:$L$96, MATCH( K$121, CALCS│Outcomes!$C$2:$L$2, 0 ), 0 )</f>
        <v>9.1666666666666661</v>
      </c>
      <c r="L133" s="272">
        <f t="shared" si="15"/>
        <v>2</v>
      </c>
      <c r="M133" s="276">
        <f t="shared" si="16"/>
        <v>-0.3029150823827631</v>
      </c>
      <c r="O133" s="50">
        <f xml:space="preserve"> VLOOKUP( $C133, CALCS│Outcomes!$C$150:$L$166, MATCH( O$121, CALCS│Outcomes!$C$2:$L$2, 0 ), 0 )</f>
        <v>2.13</v>
      </c>
      <c r="P133" s="50">
        <f xml:space="preserve"> VLOOKUP( $C133, CALCS│Outcomes!$C$150:$L$166, MATCH( P$121, CALCS│Outcomes!$C$2:$L$2, 0 ), 0 )</f>
        <v>2.06</v>
      </c>
      <c r="Q133" s="272">
        <f t="shared" si="17"/>
        <v>1</v>
      </c>
      <c r="R133" s="276">
        <f t="shared" si="18"/>
        <v>-3.2863849765258135E-2</v>
      </c>
      <c r="T133" s="114">
        <f xml:space="preserve"> _xlfn.IFNA( VLOOKUP( $C133, CALCS│Outcomes!$C$231:$L$241, MATCH( T$121, CALCS│Outcomes!$C$2:$L$2, 0 ), 0 ), "-" )</f>
        <v>1.9603904615241703</v>
      </c>
      <c r="U133" s="114">
        <f xml:space="preserve"> _xlfn.IFNA( VLOOKUP( $C133, CALCS│Outcomes!$C$231:$L$241, MATCH( U$121, CALCS│Outcomes!$C$2:$L$2, 0 ), 0 ), "-" )</f>
        <v>1.6935799257517805</v>
      </c>
      <c r="V133" s="274">
        <f t="shared" si="19"/>
        <v>2</v>
      </c>
      <c r="W133" s="286">
        <f t="shared" si="20"/>
        <v>-0.13610071106189181</v>
      </c>
      <c r="Y133" s="115">
        <f xml:space="preserve"> _xlfn.IFNA( VLOOKUP( $C133, CALCS│Outcomes!$C$250:$L$260, MATCH( Y$121, CALCS│Outcomes!$C$2:$L$2, 0 ), 0 ), "-" )</f>
        <v>23</v>
      </c>
      <c r="Z133" s="115">
        <f xml:space="preserve"> _xlfn.IFNA( VLOOKUP( $C133, CALCS│Outcomes!$C$250:$L$260, MATCH( Z$121, CALCS│Outcomes!$C$2:$L$2, 0 ), 0 ), "-" )</f>
        <v>24</v>
      </c>
      <c r="AA133" s="274">
        <f t="shared" si="21"/>
        <v>3</v>
      </c>
      <c r="AB133" s="286">
        <f t="shared" si="22"/>
        <v>4.3478260869565188E-2</v>
      </c>
    </row>
    <row r="134" spans="3:28" hidden="1" outlineLevel="1" x14ac:dyDescent="0.2">
      <c r="C134" s="8" t="s">
        <v>101</v>
      </c>
      <c r="E134" s="50">
        <f xml:space="preserve"> VLOOKUP( $C134, CALCS│Outcomes!$C$55:$L$71, MATCH( E$121, CALCS│Outcomes!$C$2:$L$2, 0 ), 0 )</f>
        <v>9.4745278196722342</v>
      </c>
      <c r="F134" s="50">
        <f xml:space="preserve"> VLOOKUP( $C134, CALCS│Outcomes!$C$55:$L$71, MATCH( F$121, CALCS│Outcomes!$C$2:$L$2, 0 ), 0 )</f>
        <v>9.1151018713373038</v>
      </c>
      <c r="G134" s="272">
        <f t="shared" si="14"/>
        <v>1</v>
      </c>
      <c r="H134" s="276">
        <f t="shared" si="12"/>
        <v>-3.7936027544153039E-2</v>
      </c>
      <c r="J134" s="50">
        <f xml:space="preserve"> VLOOKUP( $C134, CALCS│Outcomes!$C$80:$L$96, MATCH( J$121, CALCS│Outcomes!$C$2:$L$2, 0 ), 0 )</f>
        <v>6.96</v>
      </c>
      <c r="K134" s="50">
        <f xml:space="preserve"> VLOOKUP( $C134, CALCS│Outcomes!$C$80:$L$96, MATCH( K$121, CALCS│Outcomes!$C$2:$L$2, 0 ), 0 )</f>
        <v>10.46</v>
      </c>
      <c r="L134" s="272">
        <f t="shared" si="15"/>
        <v>2</v>
      </c>
      <c r="M134" s="276">
        <f t="shared" si="16"/>
        <v>0.50287356321839094</v>
      </c>
      <c r="O134" s="50">
        <f xml:space="preserve"> VLOOKUP( $C134, CALCS│Outcomes!$C$150:$L$166, MATCH( O$121, CALCS│Outcomes!$C$2:$L$2, 0 ), 0 )</f>
        <v>1.51</v>
      </c>
      <c r="P134" s="50">
        <f xml:space="preserve"> VLOOKUP( $C134, CALCS│Outcomes!$C$150:$L$166, MATCH( P$121, CALCS│Outcomes!$C$2:$L$2, 0 ), 0 )</f>
        <v>1.64</v>
      </c>
      <c r="Q134" s="272">
        <f t="shared" si="17"/>
        <v>2</v>
      </c>
      <c r="R134" s="276">
        <f t="shared" si="18"/>
        <v>8.6092715231788075E-2</v>
      </c>
      <c r="T134" s="114">
        <f xml:space="preserve"> _xlfn.IFNA( VLOOKUP( $C134, CALCS│Outcomes!$C$231:$L$241, MATCH( T$121, CALCS│Outcomes!$C$2:$L$2, 0 ), 0 ), "-" )</f>
        <v>7.367105381754115</v>
      </c>
      <c r="U134" s="114">
        <f xml:space="preserve"> _xlfn.IFNA( VLOOKUP( $C134, CALCS│Outcomes!$C$231:$L$241, MATCH( U$121, CALCS│Outcomes!$C$2:$L$2, 0 ), 0 ), "-" )</f>
        <v>7.3592030487629847</v>
      </c>
      <c r="V134" s="274">
        <f t="shared" si="19"/>
        <v>1</v>
      </c>
      <c r="W134" s="286">
        <f t="shared" si="20"/>
        <v>-1.0726510049254845E-3</v>
      </c>
      <c r="Y134" s="115">
        <f xml:space="preserve"> _xlfn.IFNA( VLOOKUP( $C134, CALCS│Outcomes!$C$250:$L$260, MATCH( Y$121, CALCS│Outcomes!$C$2:$L$2, 0 ), 0 ), "-" )</f>
        <v>43</v>
      </c>
      <c r="Z134" s="115">
        <f xml:space="preserve"> _xlfn.IFNA( VLOOKUP( $C134, CALCS│Outcomes!$C$250:$L$260, MATCH( Z$121, CALCS│Outcomes!$C$2:$L$2, 0 ), 0 ), "-" )</f>
        <v>44</v>
      </c>
      <c r="AA134" s="274">
        <f t="shared" si="21"/>
        <v>1</v>
      </c>
      <c r="AB134" s="286">
        <f t="shared" si="22"/>
        <v>2.3255813953488413E-2</v>
      </c>
    </row>
    <row r="135" spans="3:28" hidden="1" outlineLevel="1" x14ac:dyDescent="0.2">
      <c r="C135" s="8" t="s">
        <v>103</v>
      </c>
      <c r="E135" s="50">
        <f xml:space="preserve"> VLOOKUP( $C135, CALCS│Outcomes!$C$55:$L$71, MATCH( E$121, CALCS│Outcomes!$C$2:$L$2, 0 ), 0 )</f>
        <v>10.622032648547224</v>
      </c>
      <c r="F135" s="50">
        <f xml:space="preserve"> VLOOKUP( $C135, CALCS│Outcomes!$C$55:$L$71, MATCH( F$121, CALCS│Outcomes!$C$2:$L$2, 0 ), 0 )</f>
        <v>11.720889107515424</v>
      </c>
      <c r="G135" s="272">
        <f t="shared" si="14"/>
        <v>1</v>
      </c>
      <c r="H135" s="276">
        <f t="shared" si="12"/>
        <v>0.10345067609244185</v>
      </c>
      <c r="J135" s="50">
        <f xml:space="preserve"> VLOOKUP( $C135, CALCS│Outcomes!$C$80:$L$96, MATCH( J$121, CALCS│Outcomes!$C$2:$L$2, 0 ), 0 )</f>
        <v>32.9</v>
      </c>
      <c r="K135" s="50">
        <f xml:space="preserve"> VLOOKUP( $C135, CALCS│Outcomes!$C$80:$L$96, MATCH( K$121, CALCS│Outcomes!$C$2:$L$2, 0 ), 0 )</f>
        <v>12.7</v>
      </c>
      <c r="L135" s="272">
        <f t="shared" si="15"/>
        <v>2</v>
      </c>
      <c r="M135" s="276">
        <f t="shared" si="16"/>
        <v>-0.61398176291793316</v>
      </c>
      <c r="O135" s="50">
        <f xml:space="preserve"> VLOOKUP( $C135, CALCS│Outcomes!$C$150:$L$166, MATCH( O$121, CALCS│Outcomes!$C$2:$L$2, 0 ), 0 )</f>
        <v>0.83</v>
      </c>
      <c r="P135" s="50">
        <f xml:space="preserve"> VLOOKUP( $C135, CALCS│Outcomes!$C$150:$L$166, MATCH( P$121, CALCS│Outcomes!$C$2:$L$2, 0 ), 0 )</f>
        <v>0.82</v>
      </c>
      <c r="Q135" s="272">
        <f t="shared" si="17"/>
        <v>3</v>
      </c>
      <c r="R135" s="276">
        <f t="shared" si="18"/>
        <v>-1.2048192771084376E-2</v>
      </c>
      <c r="T135" s="114" t="str">
        <f xml:space="preserve"> _xlfn.IFNA( VLOOKUP( $C135, CALCS│Outcomes!$C$231:$L$241, MATCH( T$121, CALCS│Outcomes!$C$2:$L$2, 0 ), 0 ), "-" )</f>
        <v>-</v>
      </c>
      <c r="U135" s="114" t="str">
        <f xml:space="preserve"> _xlfn.IFNA( VLOOKUP( $C135, CALCS│Outcomes!$C$231:$L$241, MATCH( U$121, CALCS│Outcomes!$C$2:$L$2, 0 ), 0 ), "-" )</f>
        <v>-</v>
      </c>
      <c r="V135" s="274" t="str">
        <f t="shared" si="19"/>
        <v>-</v>
      </c>
      <c r="W135" s="286" t="str">
        <f t="shared" si="20"/>
        <v>-</v>
      </c>
      <c r="Y135" s="115" t="str">
        <f xml:space="preserve"> _xlfn.IFNA( VLOOKUP( $C135, CALCS│Outcomes!$C$250:$L$260, MATCH( Y$121, CALCS│Outcomes!$C$2:$L$2, 0 ), 0 ), "-" )</f>
        <v>-</v>
      </c>
      <c r="Z135" s="115" t="str">
        <f xml:space="preserve"> _xlfn.IFNA( VLOOKUP( $C135, CALCS│Outcomes!$C$250:$L$260, MATCH( Z$121, CALCS│Outcomes!$C$2:$L$2, 0 ), 0 ), "-" )</f>
        <v>-</v>
      </c>
      <c r="AA135" s="274" t="str">
        <f t="shared" si="21"/>
        <v>-</v>
      </c>
      <c r="AB135" s="286" t="str">
        <f t="shared" si="22"/>
        <v>-</v>
      </c>
    </row>
    <row r="136" spans="3:28" hidden="1" outlineLevel="1" x14ac:dyDescent="0.2">
      <c r="C136" s="8" t="s">
        <v>105</v>
      </c>
      <c r="E136" s="50">
        <f xml:space="preserve"> VLOOKUP( $C136, CALCS│Outcomes!$C$55:$L$71, MATCH( E$121, CALCS│Outcomes!$C$2:$L$2, 0 ), 0 )</f>
        <v>6.8306271025340983</v>
      </c>
      <c r="F136" s="50">
        <f xml:space="preserve"> VLOOKUP( $C136, CALCS│Outcomes!$C$55:$L$71, MATCH( F$121, CALCS│Outcomes!$C$2:$L$2, 0 ), 0 )</f>
        <v>6.0908294392523361</v>
      </c>
      <c r="G136" s="272">
        <f t="shared" si="14"/>
        <v>2</v>
      </c>
      <c r="H136" s="276">
        <f t="shared" si="12"/>
        <v>-0.10830596549580407</v>
      </c>
      <c r="J136" s="50">
        <f xml:space="preserve"> VLOOKUP( $C136, CALCS│Outcomes!$C$80:$L$96, MATCH( J$121, CALCS│Outcomes!$C$2:$L$2, 0 ), 0 )</f>
        <v>75.983333333333334</v>
      </c>
      <c r="K136" s="50">
        <f xml:space="preserve"> VLOOKUP( $C136, CALCS│Outcomes!$C$80:$L$96, MATCH( K$121, CALCS│Outcomes!$C$2:$L$2, 0 ), 0 )</f>
        <v>15.016666666666667</v>
      </c>
      <c r="L136" s="272">
        <f t="shared" si="15"/>
        <v>2</v>
      </c>
      <c r="M136" s="276">
        <f t="shared" si="16"/>
        <v>-0.8023689405571397</v>
      </c>
      <c r="O136" s="50">
        <f xml:space="preserve"> VLOOKUP( $C136, CALCS│Outcomes!$C$150:$L$166, MATCH( O$121, CALCS│Outcomes!$C$2:$L$2, 0 ), 0 )</f>
        <v>1.53</v>
      </c>
      <c r="P136" s="50">
        <f xml:space="preserve"> VLOOKUP( $C136, CALCS│Outcomes!$C$150:$L$166, MATCH( P$121, CALCS│Outcomes!$C$2:$L$2, 0 ), 0 )</f>
        <v>1.69</v>
      </c>
      <c r="Q136" s="272">
        <f t="shared" si="17"/>
        <v>1</v>
      </c>
      <c r="R136" s="276">
        <f t="shared" si="18"/>
        <v>0.10457516339869266</v>
      </c>
      <c r="T136" s="114" t="str">
        <f xml:space="preserve"> _xlfn.IFNA( VLOOKUP( $C136, CALCS│Outcomes!$C$231:$L$241, MATCH( T$121, CALCS│Outcomes!$C$2:$L$2, 0 ), 0 ), "-" )</f>
        <v>-</v>
      </c>
      <c r="U136" s="114" t="str">
        <f xml:space="preserve"> _xlfn.IFNA( VLOOKUP( $C136, CALCS│Outcomes!$C$231:$L$241, MATCH( U$121, CALCS│Outcomes!$C$2:$L$2, 0 ), 0 ), "-" )</f>
        <v>-</v>
      </c>
      <c r="V136" s="274" t="str">
        <f t="shared" si="19"/>
        <v>-</v>
      </c>
      <c r="W136" s="286" t="str">
        <f t="shared" si="20"/>
        <v>-</v>
      </c>
      <c r="Y136" s="115" t="str">
        <f xml:space="preserve"> _xlfn.IFNA( VLOOKUP( $C136, CALCS│Outcomes!$C$250:$L$260, MATCH( Y$121, CALCS│Outcomes!$C$2:$L$2, 0 ), 0 ), "-" )</f>
        <v>-</v>
      </c>
      <c r="Z136" s="115" t="str">
        <f xml:space="preserve"> _xlfn.IFNA( VLOOKUP( $C136, CALCS│Outcomes!$C$250:$L$260, MATCH( Z$121, CALCS│Outcomes!$C$2:$L$2, 0 ), 0 ), "-" )</f>
        <v>-</v>
      </c>
      <c r="AA136" s="274" t="str">
        <f t="shared" si="21"/>
        <v>-</v>
      </c>
      <c r="AB136" s="286" t="str">
        <f t="shared" si="22"/>
        <v>-</v>
      </c>
    </row>
    <row r="137" spans="3:28" hidden="1" outlineLevel="1" x14ac:dyDescent="0.2">
      <c r="C137" s="8" t="s">
        <v>111</v>
      </c>
      <c r="E137" s="50">
        <f xml:space="preserve"> VLOOKUP( $C137, CALCS│Outcomes!$C$55:$L$71, MATCH( E$121, CALCS│Outcomes!$C$2:$L$2, 0 ), 0 )</f>
        <v>5.9976608507116618</v>
      </c>
      <c r="F137" s="50">
        <f xml:space="preserve"> VLOOKUP( $C137, CALCS│Outcomes!$C$55:$L$71, MATCH( F$121, CALCS│Outcomes!$C$2:$L$2, 0 ), 0 )</f>
        <v>5.9294040566733095</v>
      </c>
      <c r="G137" s="272">
        <f t="shared" si="14"/>
        <v>3</v>
      </c>
      <c r="H137" s="276">
        <f t="shared" si="12"/>
        <v>-1.1380569148096042E-2</v>
      </c>
      <c r="J137" s="50">
        <f xml:space="preserve"> VLOOKUP( $C137, CALCS│Outcomes!$C$80:$L$96, MATCH( J$121, CALCS│Outcomes!$C$2:$L$2, 0 ), 0 )</f>
        <v>44.6</v>
      </c>
      <c r="K137" s="50">
        <f xml:space="preserve"> VLOOKUP( $C137, CALCS│Outcomes!$C$80:$L$96, MATCH( K$121, CALCS│Outcomes!$C$2:$L$2, 0 ), 0 )</f>
        <v>14.2</v>
      </c>
      <c r="L137" s="272">
        <f t="shared" si="15"/>
        <v>2</v>
      </c>
      <c r="M137" s="276">
        <f t="shared" si="16"/>
        <v>-0.68161434977578472</v>
      </c>
      <c r="O137" s="50">
        <f xml:space="preserve"> VLOOKUP( $C137, CALCS│Outcomes!$C$150:$L$166, MATCH( O$121, CALCS│Outcomes!$C$2:$L$2, 0 ), 0 )</f>
        <v>1.89</v>
      </c>
      <c r="P137" s="50">
        <f xml:space="preserve"> VLOOKUP( $C137, CALCS│Outcomes!$C$150:$L$166, MATCH( P$121, CALCS│Outcomes!$C$2:$L$2, 0 ), 0 )</f>
        <v>1.52</v>
      </c>
      <c r="Q137" s="272">
        <f t="shared" si="17"/>
        <v>2</v>
      </c>
      <c r="R137" s="276">
        <f t="shared" si="18"/>
        <v>-0.1957671957671957</v>
      </c>
      <c r="T137" s="114" t="str">
        <f xml:space="preserve"> _xlfn.IFNA( VLOOKUP( $C137, CALCS│Outcomes!$C$231:$L$241, MATCH( T$121, CALCS│Outcomes!$C$2:$L$2, 0 ), 0 ), "-" )</f>
        <v>-</v>
      </c>
      <c r="U137" s="114" t="str">
        <f xml:space="preserve"> _xlfn.IFNA( VLOOKUP( $C137, CALCS│Outcomes!$C$231:$L$241, MATCH( U$121, CALCS│Outcomes!$C$2:$L$2, 0 ), 0 ), "-" )</f>
        <v>-</v>
      </c>
      <c r="V137" s="274" t="str">
        <f t="shared" si="19"/>
        <v>-</v>
      </c>
      <c r="W137" s="286" t="str">
        <f t="shared" si="20"/>
        <v>-</v>
      </c>
      <c r="Y137" s="115" t="str">
        <f xml:space="preserve"> _xlfn.IFNA( VLOOKUP( $C137, CALCS│Outcomes!$C$250:$L$260, MATCH( Y$121, CALCS│Outcomes!$C$2:$L$2, 0 ), 0 ), "-" )</f>
        <v>-</v>
      </c>
      <c r="Z137" s="115" t="str">
        <f xml:space="preserve"> _xlfn.IFNA( VLOOKUP( $C137, CALCS│Outcomes!$C$250:$L$260, MATCH( Z$121, CALCS│Outcomes!$C$2:$L$2, 0 ), 0 ), "-" )</f>
        <v>-</v>
      </c>
      <c r="AA137" s="274" t="str">
        <f t="shared" si="21"/>
        <v>-</v>
      </c>
      <c r="AB137" s="286" t="str">
        <f t="shared" si="22"/>
        <v>-</v>
      </c>
    </row>
    <row r="138" spans="3:28" hidden="1" outlineLevel="1" x14ac:dyDescent="0.2">
      <c r="C138" s="8" t="s">
        <v>113</v>
      </c>
      <c r="E138" s="50">
        <f xml:space="preserve"> VLOOKUP( $C138, CALCS│Outcomes!$C$55:$L$71, MATCH( E$121, CALCS│Outcomes!$C$2:$L$2, 0 ), 0 )</f>
        <v>10.222696978297968</v>
      </c>
      <c r="F138" s="50">
        <f xml:space="preserve"> VLOOKUP( $C138, CALCS│Outcomes!$C$55:$L$71, MATCH( F$121, CALCS│Outcomes!$C$2:$L$2, 0 ), 0 )</f>
        <v>9.8172656793128148</v>
      </c>
      <c r="G138" s="272">
        <f t="shared" si="14"/>
        <v>1</v>
      </c>
      <c r="H138" s="276">
        <f t="shared" si="12"/>
        <v>-3.9659915562972659E-2</v>
      </c>
      <c r="J138" s="50">
        <f xml:space="preserve"> VLOOKUP( $C138, CALCS│Outcomes!$C$80:$L$96, MATCH( J$121, CALCS│Outcomes!$C$2:$L$2, 0 ), 0 )</f>
        <v>8.5299999999999994</v>
      </c>
      <c r="K138" s="50">
        <f xml:space="preserve"> VLOOKUP( $C138, CALCS│Outcomes!$C$80:$L$96, MATCH( K$121, CALCS│Outcomes!$C$2:$L$2, 0 ), 0 )</f>
        <v>7.15</v>
      </c>
      <c r="L138" s="272">
        <f t="shared" si="15"/>
        <v>3</v>
      </c>
      <c r="M138" s="276">
        <f t="shared" si="16"/>
        <v>-0.16178194607268459</v>
      </c>
      <c r="O138" s="50">
        <f xml:space="preserve"> VLOOKUP( $C138, CALCS│Outcomes!$C$150:$L$166, MATCH( O$121, CALCS│Outcomes!$C$2:$L$2, 0 ), 0 )</f>
        <v>1.417778366914104</v>
      </c>
      <c r="P138" s="50">
        <f xml:space="preserve"> VLOOKUP( $C138, CALCS│Outcomes!$C$150:$L$166, MATCH( P$121, CALCS│Outcomes!$C$2:$L$2, 0 ), 0 )</f>
        <v>1.5069135802469136</v>
      </c>
      <c r="Q138" s="272">
        <f t="shared" si="17"/>
        <v>2</v>
      </c>
      <c r="R138" s="276">
        <f t="shared" si="18"/>
        <v>6.2869638451896304E-2</v>
      </c>
      <c r="T138" s="114" t="str">
        <f xml:space="preserve"> _xlfn.IFNA( VLOOKUP( $C138, CALCS│Outcomes!$C$231:$L$241, MATCH( T$121, CALCS│Outcomes!$C$2:$L$2, 0 ), 0 ), "-" )</f>
        <v>-</v>
      </c>
      <c r="U138" s="114" t="str">
        <f xml:space="preserve"> _xlfn.IFNA( VLOOKUP( $C138, CALCS│Outcomes!$C$231:$L$241, MATCH( U$121, CALCS│Outcomes!$C$2:$L$2, 0 ), 0 ), "-" )</f>
        <v>-</v>
      </c>
      <c r="V138" s="274" t="str">
        <f t="shared" si="19"/>
        <v>-</v>
      </c>
      <c r="W138" s="286" t="str">
        <f t="shared" si="20"/>
        <v>-</v>
      </c>
      <c r="Y138" s="115" t="str">
        <f xml:space="preserve"> _xlfn.IFNA( VLOOKUP( $C138, CALCS│Outcomes!$C$250:$L$260, MATCH( Y$121, CALCS│Outcomes!$C$2:$L$2, 0 ), 0 ), "-" )</f>
        <v>-</v>
      </c>
      <c r="Z138" s="115" t="str">
        <f xml:space="preserve"> _xlfn.IFNA( VLOOKUP( $C138, CALCS│Outcomes!$C$250:$L$260, MATCH( Z$121, CALCS│Outcomes!$C$2:$L$2, 0 ), 0 ), "-" )</f>
        <v>-</v>
      </c>
      <c r="AA138" s="274" t="str">
        <f t="shared" si="21"/>
        <v>-</v>
      </c>
      <c r="AB138" s="286" t="str">
        <f t="shared" si="22"/>
        <v>-</v>
      </c>
    </row>
    <row r="139" spans="3:28" hidden="1" outlineLevel="1" x14ac:dyDescent="0.2">
      <c r="C139" s="8" t="s">
        <v>109</v>
      </c>
      <c r="E139" s="50">
        <f xml:space="preserve"> VLOOKUP( $C139, CALCS│Outcomes!$C$55:$L$71, MATCH( E$121, CALCS│Outcomes!$C$2:$L$2, 0 ), 0 )</f>
        <v>6.9404346389738727</v>
      </c>
      <c r="F139" s="50">
        <f xml:space="preserve"> VLOOKUP( $C139, CALCS│Outcomes!$C$55:$L$71, MATCH( F$121, CALCS│Outcomes!$C$2:$L$2, 0 ), 0 )</f>
        <v>6.9005520441635335</v>
      </c>
      <c r="G139" s="272">
        <f t="shared" si="14"/>
        <v>2</v>
      </c>
      <c r="H139" s="276">
        <f xml:space="preserve"> F139 / E139 - 1</f>
        <v>-5.7464116996908121E-3</v>
      </c>
      <c r="J139" s="50">
        <f xml:space="preserve"> VLOOKUP( $C139, CALCS│Outcomes!$C$80:$L$96, MATCH( J$121, CALCS│Outcomes!$C$2:$L$2, 0 ), 0 )</f>
        <v>3</v>
      </c>
      <c r="K139" s="50">
        <f xml:space="preserve"> VLOOKUP( $C139, CALCS│Outcomes!$C$80:$L$96, MATCH( K$121, CALCS│Outcomes!$C$2:$L$2, 0 ), 0 )</f>
        <v>16.200000000000003</v>
      </c>
      <c r="L139" s="272">
        <f t="shared" si="15"/>
        <v>1</v>
      </c>
      <c r="M139" s="276">
        <f xml:space="preserve"> K139 / J139 - 1</f>
        <v>4.4000000000000012</v>
      </c>
      <c r="O139" s="50">
        <f xml:space="preserve"> VLOOKUP( $C139, CALCS│Outcomes!$C$150:$L$166, MATCH( O$121, CALCS│Outcomes!$C$2:$L$2, 0 ), 0 )</f>
        <v>0.56000000000000005</v>
      </c>
      <c r="P139" s="50">
        <f xml:space="preserve"> VLOOKUP( $C139, CALCS│Outcomes!$C$150:$L$166, MATCH( P$121, CALCS│Outcomes!$C$2:$L$2, 0 ), 0 )</f>
        <v>0.59</v>
      </c>
      <c r="Q139" s="272">
        <f t="shared" si="17"/>
        <v>3</v>
      </c>
      <c r="R139" s="276">
        <f xml:space="preserve"> P139 / O139 - 1</f>
        <v>5.3571428571428381E-2</v>
      </c>
      <c r="T139" s="114" t="str">
        <f xml:space="preserve"> _xlfn.IFNA( VLOOKUP( $C139, CALCS│Outcomes!$C$231:$L$241, MATCH( T$121, CALCS│Outcomes!$C$2:$L$2, 0 ), 0 ), "-" )</f>
        <v>-</v>
      </c>
      <c r="U139" s="114" t="str">
        <f xml:space="preserve"> _xlfn.IFNA( VLOOKUP( $C139, CALCS│Outcomes!$C$231:$L$241, MATCH( U$121, CALCS│Outcomes!$C$2:$L$2, 0 ), 0 ), "-" )</f>
        <v>-</v>
      </c>
      <c r="V139" s="274" t="str">
        <f t="shared" si="19"/>
        <v>-</v>
      </c>
      <c r="W139" s="286" t="str">
        <f xml:space="preserve"> IFERROR( U139 / T139 - 1, "-" )</f>
        <v>-</v>
      </c>
      <c r="Y139" s="115" t="str">
        <f xml:space="preserve"> _xlfn.IFNA( VLOOKUP( $C139, CALCS│Outcomes!$C$250:$L$260, MATCH( Y$121, CALCS│Outcomes!$C$2:$L$2, 0 ), 0 ), "-" )</f>
        <v>-</v>
      </c>
      <c r="Z139" s="115" t="str">
        <f xml:space="preserve"> _xlfn.IFNA( VLOOKUP( $C139, CALCS│Outcomes!$C$250:$L$260, MATCH( Z$121, CALCS│Outcomes!$C$2:$L$2, 0 ), 0 ), "-" )</f>
        <v>-</v>
      </c>
      <c r="AA139" s="274" t="str">
        <f t="shared" si="21"/>
        <v>-</v>
      </c>
      <c r="AB139" s="286" t="str">
        <f xml:space="preserve"> IFERROR( Z139 / Y139 - 1, "-" )</f>
        <v>-</v>
      </c>
    </row>
    <row r="140" spans="3:28" hidden="1" outlineLevel="1" x14ac:dyDescent="0.2">
      <c r="G140" s="285"/>
      <c r="H140" s="285"/>
      <c r="L140" s="285"/>
      <c r="M140" s="285"/>
      <c r="Q140" s="285"/>
      <c r="R140" s="285"/>
      <c r="V140" s="285"/>
      <c r="W140" s="285"/>
      <c r="AA140" s="285"/>
      <c r="AB140" s="285"/>
    </row>
    <row r="141" spans="3:28" hidden="1" outlineLevel="1" x14ac:dyDescent="0.2">
      <c r="C141" s="8" t="s">
        <v>84</v>
      </c>
      <c r="E141" s="50">
        <f xml:space="preserve"> VLOOKUP( $C141, CALCS│Outcomes!$C$55:$L$71, MATCH( E$121, CALCS│Outcomes!$C$2:$L$2, 0 ), 0 )</f>
        <v>5.5660492517336975</v>
      </c>
      <c r="F141" s="50">
        <f xml:space="preserve"> VLOOKUP( $C141, CALCS│Outcomes!$C$55:$L$71, MATCH( F$121, CALCS│Outcomes!$C$2:$L$2, 0 ), 0 )</f>
        <v>5.8599585931543228</v>
      </c>
      <c r="G141" s="272">
        <f>IF( F141 &lt;= F$144, 3, IF( F141 &gt;= F$145, 1, 2 ) )</f>
        <v>3</v>
      </c>
      <c r="H141" s="276">
        <f t="shared" si="12"/>
        <v>5.2803941921476749E-2</v>
      </c>
      <c r="J141" s="270"/>
      <c r="K141" s="50">
        <f xml:space="preserve"> VLOOKUP( $C141, CALCS│Outcomes!$C$80:$L$96, MATCH( K$121, CALCS│Outcomes!$C$2:$L$2, 0 ), 0 )</f>
        <v>29.166666666666668</v>
      </c>
      <c r="L141" s="272">
        <f>IF( K141 &lt;= K$144, 3, IF( K141 &gt;= K$145, 1, 2 ) )</f>
        <v>1</v>
      </c>
      <c r="M141" s="276" t="e">
        <f xml:space="preserve"> K141 / J141 - 1</f>
        <v>#DIV/0!</v>
      </c>
      <c r="O141" s="270"/>
      <c r="P141" s="50">
        <f xml:space="preserve"> VLOOKUP( $C141, CALCS│Outcomes!$C$150:$L$166, MATCH( P$121, CALCS│Outcomes!$C$2:$L$2, 0 ), 0 )</f>
        <v>2.87</v>
      </c>
      <c r="Q141" s="272">
        <f>IF( P141 &lt;= P$144, 3, IF( P141 &gt;= P$145, 1, 2 ) )</f>
        <v>1</v>
      </c>
      <c r="R141" s="276" t="e">
        <f xml:space="preserve"> P141 / O141 - 1</f>
        <v>#DIV/0!</v>
      </c>
      <c r="T141" s="270"/>
      <c r="U141" s="114">
        <f xml:space="preserve"> _xlfn.IFNA( VLOOKUP( $C141, CALCS│Outcomes!$C$231:$L$241, MATCH( U$121, CALCS│Outcomes!$C$2:$L$2, 0 ), 0 ), "-" )</f>
        <v>1.8983436951260027</v>
      </c>
      <c r="V141" s="274">
        <f xml:space="preserve"> IF( U141 = "-", "-", IF( U141 &lt;= U$144, 3, IF( U141 &gt;= U$145, 1, 2 ) ) )</f>
        <v>2</v>
      </c>
      <c r="W141" s="286" t="str">
        <f xml:space="preserve"> IFERROR( U141 / T141 - 1, "-" )</f>
        <v>-</v>
      </c>
      <c r="Y141" s="270"/>
      <c r="Z141" s="115" t="str">
        <f xml:space="preserve"> _xlfn.IFNA( VLOOKUP( $C141, CALCS│Outcomes!$C$250:$L$260, MATCH( Z$121, CALCS│Outcomes!$C$2:$L$2, 0 ), 0 ), "-" )</f>
        <v>-</v>
      </c>
      <c r="AA141" s="274" t="str">
        <f t="shared" ref="AA141:AA142" si="23" xml:space="preserve"> IF( Z141 = "-", "-", IF( Z141 &lt;= Z$144, 3, IF( Z141 &gt;= Z$145, 1, 2 ) ) )</f>
        <v>-</v>
      </c>
      <c r="AB141" s="286" t="str">
        <f xml:space="preserve"> IFERROR( Z141 / Y141 - 1, "-" )</f>
        <v>-</v>
      </c>
    </row>
    <row r="142" spans="3:28" hidden="1" outlineLevel="1" x14ac:dyDescent="0.2">
      <c r="C142" s="8" t="s">
        <v>95</v>
      </c>
      <c r="E142" s="50">
        <f xml:space="preserve"> VLOOKUP( $C142, CALCS│Outcomes!$C$55:$L$71, MATCH( E$121, CALCS│Outcomes!$C$2:$L$2, 0 ), 0 )</f>
        <v>22.079998474282117</v>
      </c>
      <c r="F142" s="50">
        <f xml:space="preserve"> VLOOKUP( $C142, CALCS│Outcomes!$C$55:$L$71, MATCH( F$121, CALCS│Outcomes!$C$2:$L$2, 0 ), 0 )</f>
        <v>21.882411155978417</v>
      </c>
      <c r="G142" s="272">
        <f>IF( F142 &lt;= F$144, 3, IF( F142 &gt;= F$145, 1, 2 ) )</f>
        <v>1</v>
      </c>
      <c r="H142" s="276">
        <f t="shared" si="12"/>
        <v>-8.9487016284824916E-3</v>
      </c>
      <c r="J142" s="50">
        <f xml:space="preserve"> VLOOKUP( $C142, CALCS│Outcomes!$C$80:$L$96, MATCH( J$121, CALCS│Outcomes!$C$2:$L$2, 0 ), 0 )</f>
        <v>28.9</v>
      </c>
      <c r="K142" s="50">
        <f xml:space="preserve"> VLOOKUP( $C142, CALCS│Outcomes!$C$80:$L$96, MATCH( K$121, CALCS│Outcomes!$C$2:$L$2, 0 ), 0 )</f>
        <v>22.05</v>
      </c>
      <c r="L142" s="272">
        <f>IF( K142 &lt;= K$144, 3, IF( K142 &gt;= K$145, 1, 2 ) )</f>
        <v>1</v>
      </c>
      <c r="M142" s="276">
        <f xml:space="preserve"> K142 / J142 - 1</f>
        <v>-0.23702422145328716</v>
      </c>
      <c r="O142" s="50">
        <f xml:space="preserve"> VLOOKUP( $C142, CALCS│Outcomes!$C$150:$L$166, MATCH( O$121, CALCS│Outcomes!$C$2:$L$2, 0 ), 0 )</f>
        <v>0.57999999999999996</v>
      </c>
      <c r="P142" s="50">
        <f xml:space="preserve"> VLOOKUP( $C142, CALCS│Outcomes!$C$150:$L$166, MATCH( P$121, CALCS│Outcomes!$C$2:$L$2, 0 ), 0 )</f>
        <v>0.61</v>
      </c>
      <c r="Q142" s="272">
        <f>IF( P142 &lt;= P$144, 3, IF( P142 &gt;= P$145, 1, 2 ) )</f>
        <v>3</v>
      </c>
      <c r="R142" s="276">
        <f xml:space="preserve"> P142 / O142 - 1</f>
        <v>5.1724137931034475E-2</v>
      </c>
      <c r="T142" s="114">
        <f xml:space="preserve"> _xlfn.IFNA( VLOOKUP( $C142, CALCS│Outcomes!$C$231:$L$241, MATCH( T$121, CALCS│Outcomes!$C$2:$L$2, 0 ), 0 ), "-" )</f>
        <v>1.818991816078346</v>
      </c>
      <c r="U142" s="114">
        <f xml:space="preserve"> _xlfn.IFNA( VLOOKUP( $C142, CALCS│Outcomes!$C$231:$L$241, MATCH( U$121, CALCS│Outcomes!$C$2:$L$2, 0 ), 0 ), "-" )</f>
        <v>1.7491706270183471</v>
      </c>
      <c r="V142" s="274">
        <f xml:space="preserve"> IF( U142 = "-", "-", IF( U142 &lt;= U$144, 3, IF( U142 &gt;= U$145, 1, 2 ) ) )</f>
        <v>2</v>
      </c>
      <c r="W142" s="286">
        <f xml:space="preserve"> IFERROR( U142 / T142 - 1, "-" )</f>
        <v>-3.8384553708729618E-2</v>
      </c>
      <c r="Y142" s="115">
        <f xml:space="preserve"> _xlfn.IFNA( VLOOKUP( $C142, CALCS│Outcomes!$C$250:$L$260, MATCH( Y$121, CALCS│Outcomes!$C$2:$L$2, 0 ), 0 ), "-" )</f>
        <v>28</v>
      </c>
      <c r="Z142" s="115">
        <f xml:space="preserve"> _xlfn.IFNA( VLOOKUP( $C142, CALCS│Outcomes!$C$250:$L$260, MATCH( Z$121, CALCS│Outcomes!$C$2:$L$2, 0 ), 0 ), "-" )</f>
        <v>27</v>
      </c>
      <c r="AA142" s="274">
        <f t="shared" si="23"/>
        <v>2</v>
      </c>
      <c r="AB142" s="286">
        <f xml:space="preserve"> IFERROR( Z142 / Y142 - 1, "-" )</f>
        <v>-3.5714285714285698E-2</v>
      </c>
    </row>
    <row r="143" spans="3:28" hidden="1" outlineLevel="1" x14ac:dyDescent="0.2"/>
    <row r="144" spans="3:28" hidden="1" outlineLevel="1" x14ac:dyDescent="0.2">
      <c r="C144" s="21" t="s">
        <v>514</v>
      </c>
      <c r="F144" s="58">
        <f>_xlfn.PERCENTILE.INC(F123:F142, 0.25)</f>
        <v>5.9294040566733095</v>
      </c>
      <c r="G144" s="117"/>
      <c r="H144" s="117"/>
      <c r="K144" s="58">
        <f>_xlfn.PERCENTILE.INC(K123:K142, 0.25)</f>
        <v>7.8795756149407836</v>
      </c>
      <c r="L144" s="117"/>
      <c r="M144" s="117"/>
      <c r="P144" s="58">
        <f>_xlfn.PERCENTILE.INC(P123:P142, 0.25)</f>
        <v>1.18</v>
      </c>
      <c r="Q144" s="117"/>
      <c r="R144" s="117"/>
      <c r="U144" s="58">
        <f>_xlfn.PERCENTILE.INC(U123:U142, 0.25)</f>
        <v>1.4741254123859964</v>
      </c>
      <c r="V144" s="117"/>
      <c r="W144" s="117"/>
      <c r="Z144" s="116">
        <f>_xlfn.PERCENTILE.INC(Z123:Z142, 0.25)</f>
        <v>24.25</v>
      </c>
    </row>
    <row r="145" spans="2:29" hidden="1" outlineLevel="1" x14ac:dyDescent="0.2">
      <c r="C145" s="21" t="s">
        <v>515</v>
      </c>
      <c r="F145" s="58">
        <f>_xlfn.PERCENTILE.INC(F123:F142, 0.75)</f>
        <v>9.1151018713373038</v>
      </c>
      <c r="G145" s="117"/>
      <c r="H145" s="117"/>
      <c r="K145" s="58">
        <f>_xlfn.PERCENTILE.INC(K123:K142, 0.75)</f>
        <v>16</v>
      </c>
      <c r="L145" s="117"/>
      <c r="M145" s="117"/>
      <c r="P145" s="58">
        <f>_xlfn.PERCENTILE.INC(P123:P142, 0.75)</f>
        <v>1.69</v>
      </c>
      <c r="Q145" s="117"/>
      <c r="R145" s="117"/>
      <c r="U145" s="58">
        <f>_xlfn.PERCENTILE.INC(U123:U142, 0.75)</f>
        <v>1.928209863432981</v>
      </c>
      <c r="V145" s="117"/>
      <c r="W145" s="117"/>
      <c r="Z145" s="116">
        <f>_xlfn.PERCENTILE.INC(Z123:Z142, 0.75)</f>
        <v>37</v>
      </c>
    </row>
    <row r="147" spans="2:29" x14ac:dyDescent="0.2">
      <c r="B147" s="20" t="s">
        <v>26</v>
      </c>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row>
  </sheetData>
  <mergeCells count="10">
    <mergeCell ref="O120:R120"/>
    <mergeCell ref="T120:W120"/>
    <mergeCell ref="Y120:AB120"/>
    <mergeCell ref="E91:H91"/>
    <mergeCell ref="E62:H62"/>
    <mergeCell ref="E33:H33"/>
    <mergeCell ref="E120:H120"/>
    <mergeCell ref="J120:M120"/>
    <mergeCell ref="E4:F4"/>
    <mergeCell ref="J4:K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outlinePr summaryBelow="0"/>
  </sheetPr>
  <dimension ref="B2:N100"/>
  <sheetViews>
    <sheetView showGridLines="0" workbookViewId="0"/>
  </sheetViews>
  <sheetFormatPr defaultRowHeight="12.75" outlineLevelRow="1" x14ac:dyDescent="0.2"/>
  <cols>
    <col min="1" max="2" width="2.625" style="8" customWidth="1"/>
    <col min="3" max="6" width="10" style="8" customWidth="1"/>
    <col min="7" max="8" width="9" style="8"/>
    <col min="9" max="9" width="15.5" style="8" bestFit="1" customWidth="1"/>
    <col min="10" max="10" width="13.625" style="8" bestFit="1" customWidth="1"/>
    <col min="11" max="11" width="13.625" style="8" customWidth="1"/>
    <col min="12" max="13" width="9" style="8"/>
    <col min="14" max="14" width="9" style="8" customWidth="1"/>
    <col min="15" max="16384" width="9" style="8"/>
  </cols>
  <sheetData>
    <row r="2" spans="2:14" ht="13.5" x14ac:dyDescent="0.25">
      <c r="B2" s="9" t="s">
        <v>519</v>
      </c>
      <c r="C2" s="9"/>
      <c r="D2" s="9"/>
      <c r="E2" s="10"/>
      <c r="F2" s="9"/>
      <c r="G2" s="9"/>
      <c r="H2" s="9"/>
      <c r="I2" s="9"/>
      <c r="J2" s="9"/>
      <c r="K2" s="9"/>
      <c r="L2" s="9"/>
      <c r="M2" s="9"/>
      <c r="N2" s="9"/>
    </row>
    <row r="3" spans="2:14" outlineLevel="1" x14ac:dyDescent="0.2"/>
    <row r="4" spans="2:14" ht="13.5" outlineLevel="1" x14ac:dyDescent="0.25">
      <c r="B4" s="36" t="s">
        <v>520</v>
      </c>
      <c r="C4" s="36"/>
      <c r="D4" s="36"/>
      <c r="E4" s="36"/>
      <c r="F4" s="36"/>
      <c r="G4" s="36"/>
      <c r="H4" s="36"/>
      <c r="I4" s="36" t="s">
        <v>571</v>
      </c>
      <c r="J4" s="36"/>
      <c r="K4" s="36"/>
      <c r="L4" s="36"/>
      <c r="M4" s="36"/>
      <c r="N4" s="36"/>
    </row>
    <row r="5" spans="2:14" outlineLevel="1" x14ac:dyDescent="0.2"/>
    <row r="6" spans="2:14" ht="57" customHeight="1" outlineLevel="1" x14ac:dyDescent="0.2">
      <c r="C6" s="349" t="s">
        <v>344</v>
      </c>
      <c r="D6" s="349" t="str">
        <f xml:space="preserve"> "Cumulative performance 2015-" &amp; RIGHT( Last_year, 2 )</f>
        <v>Cumulative performance 2015-18</v>
      </c>
      <c r="E6" s="349" t="str">
        <f xml:space="preserve"> "Improvement to 2015-" &amp; RIGHT( Year, 2 )</f>
        <v>Improvement to 2015-19</v>
      </c>
      <c r="I6" s="294"/>
      <c r="J6" s="351" t="s">
        <v>521</v>
      </c>
      <c r="K6" s="351" t="s">
        <v>522</v>
      </c>
      <c r="L6" s="352" t="str">
        <f xml:space="preserve"> "Cumulative performance 2015-" &amp; RIGHT( Year, 2 )</f>
        <v>Cumulative performance 2015-19</v>
      </c>
      <c r="M6" s="352"/>
    </row>
    <row r="7" spans="2:14" s="84" customFormat="1" ht="15.95" customHeight="1" outlineLevel="1" x14ac:dyDescent="0.2">
      <c r="B7" s="266"/>
      <c r="C7" s="215" t="s">
        <v>79</v>
      </c>
      <c r="D7" s="216">
        <f xml:space="preserve"> VLOOKUP( $C7, 'CALCS│Wholesale Totex'!$C$165:$I$181, MATCH( Last_year, 'CALCS│Wholesale Totex'!$C$2:$I$2, 0 ), 0 )</f>
        <v>-0.11373577697800423</v>
      </c>
      <c r="E7" s="217">
        <f t="shared" ref="E7:E23" si="0" xml:space="preserve"> IFERROR( ( M7 - D7 ) / ABS( D7 ), "-" )</f>
        <v>0.1540121861710626</v>
      </c>
      <c r="F7" s="266"/>
      <c r="G7" s="266"/>
      <c r="H7" s="266"/>
      <c r="I7" s="350" t="str">
        <f xml:space="preserve"> VLOOKUP( $C7, 'Map &amp; Key'!$C$70:$D$90, 2, 0 )</f>
        <v>Anglian Water</v>
      </c>
      <c r="J7" s="295">
        <f xml:space="preserve"> VLOOKUP( $C7, 'CALCS│Wholesale Totex'!$C$99:$I$115, MATCH( Year, 'CALCS│Wholesale Totex'!$C$2:$I$2, 0 ), 0 )</f>
        <v>3043.97044748194</v>
      </c>
      <c r="K7" s="295">
        <f xml:space="preserve"> VLOOKUP( $C7, 'CALCS│Wholesale Totex'!$C$121:$I$137, MATCH( Year, 'CALCS│Wholesale Totex'!$C$2:$I$2, 0 ), 0 )</f>
        <v>3368.04017939097</v>
      </c>
      <c r="L7" s="127" t="str">
        <f xml:space="preserve"> IF( ABS( E7 ) &lt;= 0.01, 'Map &amp; Key'!$C$63, IF( E7 &gt; 0, 'Map &amp; Key'!$C$65, 'Map &amp; Key'!$C$64 ) )</f>
        <v>▼</v>
      </c>
      <c r="M7" s="380">
        <f xml:space="preserve"> VLOOKUP( $C7, 'CALCS│Wholesale Totex'!$C$165:$I$181, MATCH( Year, 'CALCS│Wholesale Totex'!$C$2:$I$2, 0 ), 0 )</f>
        <v>-9.6219081319757385E-2</v>
      </c>
      <c r="N7" s="266"/>
    </row>
    <row r="8" spans="2:14" s="84" customFormat="1" ht="15.95" customHeight="1" outlineLevel="1" x14ac:dyDescent="0.2">
      <c r="B8" s="266"/>
      <c r="C8" s="215" t="s">
        <v>81</v>
      </c>
      <c r="D8" s="216">
        <f xml:space="preserve"> VLOOKUP( $C8, 'CALCS│Wholesale Totex'!$C$165:$I$181, MATCH( Last_year, 'CALCS│Wholesale Totex'!$C$2:$I$2, 0 ), 0 )</f>
        <v>-9.323780736365259E-3</v>
      </c>
      <c r="E8" s="217">
        <f t="shared" si="0"/>
        <v>5.5948181124530532</v>
      </c>
      <c r="F8" s="266"/>
      <c r="G8" s="266"/>
      <c r="H8" s="266"/>
      <c r="I8" s="350" t="str">
        <f xml:space="preserve"> VLOOKUP( $C8, 'Map &amp; Key'!$C$70:$D$90, 2, 0 )</f>
        <v>Dŵr Cymru</v>
      </c>
      <c r="J8" s="353">
        <f xml:space="preserve"> VLOOKUP( $C8, 'CALCS│Wholesale Totex'!$C$99:$I$115, MATCH( Year, 'CALCS│Wholesale Totex'!$C$2:$I$2, 0 ), 0 )</f>
        <v>2148.4809999999998</v>
      </c>
      <c r="K8" s="353">
        <f xml:space="preserve"> VLOOKUP( $C8, 'CALCS│Wholesale Totex'!$C$121:$I$137, MATCH( Year, 'CALCS│Wholesale Totex'!$C$2:$I$2, 0 ), 0 )</f>
        <v>2060.2190000000001</v>
      </c>
      <c r="L8" s="128" t="str">
        <f xml:space="preserve"> IF( ABS( E8 ) &lt;= 0.01, 'Map &amp; Key'!$C$63, IF( E8 &gt; 0, 'Map &amp; Key'!$C$65, 'Map &amp; Key'!$C$64 ) )</f>
        <v>▼</v>
      </c>
      <c r="M8" s="380">
        <f xml:space="preserve"> VLOOKUP( $C8, 'CALCS│Wholesale Totex'!$C$165:$I$181, MATCH( Year, 'CALCS│Wholesale Totex'!$C$2:$I$2, 0 ), 0 )</f>
        <v>4.2841076603991959E-2</v>
      </c>
      <c r="N8" s="266"/>
    </row>
    <row r="9" spans="2:14" s="84" customFormat="1" ht="15.95" customHeight="1" outlineLevel="1" x14ac:dyDescent="0.2">
      <c r="B9" s="266"/>
      <c r="C9" s="215" t="s">
        <v>84</v>
      </c>
      <c r="D9" s="216">
        <f xml:space="preserve"> VLOOKUP( $C9, 'CALCS│Wholesale Totex'!$C$165:$I$181, MATCH( Last_year, 'CALCS│Wholesale Totex'!$C$2:$I$2, 0 ), 0 )</f>
        <v>-0.10769277081232401</v>
      </c>
      <c r="E9" s="217">
        <f t="shared" si="0"/>
        <v>0.71842822688895913</v>
      </c>
      <c r="F9" s="266"/>
      <c r="G9" s="266"/>
      <c r="H9" s="266"/>
      <c r="I9" s="350" t="str">
        <f xml:space="preserve"> VLOOKUP( $C9, 'Map &amp; Key'!$C$70:$D$90, 2, 0 )</f>
        <v>Hafren Dyfrdwy</v>
      </c>
      <c r="J9" s="295">
        <f xml:space="preserve"> VLOOKUP( $C9, 'CALCS│Wholesale Totex'!$C$99:$I$115, MATCH( Year, 'CALCS│Wholesale Totex'!$C$2:$I$2, 0 ), 0 )</f>
        <v>85.765000000000001</v>
      </c>
      <c r="K9" s="295">
        <f xml:space="preserve"> VLOOKUP( $C9, 'CALCS│Wholesale Totex'!$C$121:$I$137, MATCH( Year, 'CALCS│Wholesale Totex'!$C$2:$I$2, 0 ), 0 )</f>
        <v>88.447000000000003</v>
      </c>
      <c r="L9" s="127" t="s">
        <v>322</v>
      </c>
      <c r="M9" s="380">
        <f xml:space="preserve"> VLOOKUP( $C9, 'CALCS│Wholesale Totex'!$C$165:$I$181, MATCH( Year, 'CALCS│Wholesale Totex'!$C$2:$I$2, 0 ), 0 )</f>
        <v>-3.0323244428867028E-2</v>
      </c>
      <c r="N9" s="266"/>
    </row>
    <row r="10" spans="2:14" s="84" customFormat="1" ht="15.95" customHeight="1" outlineLevel="1" x14ac:dyDescent="0.2">
      <c r="B10" s="266"/>
      <c r="C10" s="215" t="s">
        <v>86</v>
      </c>
      <c r="D10" s="216">
        <f xml:space="preserve"> VLOOKUP( $C10, 'CALCS│Wholesale Totex'!$C$165:$I$181, MATCH( Last_year, 'CALCS│Wholesale Totex'!$C$2:$I$2, 0 ), 0 )</f>
        <v>-0.12874209749880786</v>
      </c>
      <c r="E10" s="217">
        <f t="shared" si="0"/>
        <v>0.29752079032486173</v>
      </c>
      <c r="F10" s="266"/>
      <c r="G10" s="266"/>
      <c r="H10" s="266"/>
      <c r="I10" s="350" t="str">
        <f xml:space="preserve"> VLOOKUP( $C10, 'Map &amp; Key'!$C$70:$D$90, 2, 0 )</f>
        <v>Northumbrian Water</v>
      </c>
      <c r="J10" s="353">
        <f xml:space="preserve"> VLOOKUP( $C10, 'CALCS│Wholesale Totex'!$C$99:$I$115, MATCH( Year, 'CALCS│Wholesale Totex'!$C$2:$I$2, 0 ), 0 )</f>
        <v>1717.2200000000003</v>
      </c>
      <c r="K10" s="353">
        <f xml:space="preserve"> VLOOKUP( $C10, 'CALCS│Wholesale Totex'!$C$121:$I$137, MATCH( Year, 'CALCS│Wholesale Totex'!$C$2:$I$2, 0 ), 0 )</f>
        <v>1887.9650000000001</v>
      </c>
      <c r="L10" s="128" t="str">
        <f xml:space="preserve"> IF( ABS( E10 ) &lt;= 0.01, 'Map &amp; Key'!$C$63, IF( E10 &gt; 0, 'Map &amp; Key'!$C$65, 'Map &amp; Key'!$C$64 ) )</f>
        <v>▼</v>
      </c>
      <c r="M10" s="380">
        <f xml:space="preserve"> VLOOKUP( $C10, 'CALCS│Wholesale Totex'!$C$165:$I$181, MATCH( Year, 'CALCS│Wholesale Totex'!$C$2:$I$2, 0 ), 0 )</f>
        <v>-9.0438646902882142E-2</v>
      </c>
      <c r="N10" s="266"/>
    </row>
    <row r="11" spans="2:14" s="84" customFormat="1" ht="15.95" customHeight="1" outlineLevel="1" x14ac:dyDescent="0.2">
      <c r="B11" s="266"/>
      <c r="C11" s="215" t="s">
        <v>88</v>
      </c>
      <c r="D11" s="269">
        <f xml:space="preserve"> VLOOKUP( $C11, 'CALCS│Wholesale Totex'!$C$165:$I$181, MATCH( Last_year, 'CALCS│Wholesale Totex'!$C$2:$I$2, 0 ), 0 )</f>
        <v>-7.7625059801299592E-2</v>
      </c>
      <c r="E11" s="217">
        <f t="shared" si="0"/>
        <v>0.37904120706413191</v>
      </c>
      <c r="F11" s="266"/>
      <c r="G11" s="266"/>
      <c r="H11" s="266"/>
      <c r="I11" s="350" t="str">
        <f xml:space="preserve"> VLOOKUP( $C11, 'Map &amp; Key'!$C$70:$D$90, 2, 0 )</f>
        <v>Severn Trent Water</v>
      </c>
      <c r="J11" s="295">
        <f xml:space="preserve"> VLOOKUP( $C11, 'CALCS│Wholesale Totex'!$C$99:$I$115, MATCH( Year, 'CALCS│Wholesale Totex'!$C$2:$I$2, 0 ), 0 )</f>
        <v>4225.2780000000002</v>
      </c>
      <c r="K11" s="295">
        <f xml:space="preserve"> VLOOKUP( $C11, 'CALCS│Wholesale Totex'!$C$121:$I$137, MATCH( Year, 'CALCS│Wholesale Totex'!$C$2:$I$2, 0 ), 0 )</f>
        <v>4439.259</v>
      </c>
      <c r="L11" s="127" t="s">
        <v>322</v>
      </c>
      <c r="M11" s="380">
        <f xml:space="preserve"> VLOOKUP( $C11, 'CALCS│Wholesale Totex'!$C$165:$I$181, MATCH( Year, 'CALCS│Wholesale Totex'!$C$2:$I$2, 0 ), 0 )</f>
        <v>-4.8201963435789572E-2</v>
      </c>
      <c r="N11" s="266"/>
    </row>
    <row r="12" spans="2:14" s="84" customFormat="1" ht="15.95" customHeight="1" outlineLevel="1" x14ac:dyDescent="0.2">
      <c r="B12" s="266"/>
      <c r="C12" s="215" t="s">
        <v>90</v>
      </c>
      <c r="D12" s="216">
        <f xml:space="preserve"> VLOOKUP( $C12, 'CALCS│Wholesale Totex'!$C$165:$I$181, MATCH( Last_year, 'CALCS│Wholesale Totex'!$C$2:$I$2, 0 ), 0 )</f>
        <v>-0.17209207147742686</v>
      </c>
      <c r="E12" s="217">
        <f t="shared" si="0"/>
        <v>4.9761089359432693E-2</v>
      </c>
      <c r="F12" s="266"/>
      <c r="G12" s="266"/>
      <c r="H12" s="266"/>
      <c r="I12" s="350" t="str">
        <f xml:space="preserve"> VLOOKUP( $C12, 'Map &amp; Key'!$C$70:$D$90, 2, 0 )</f>
        <v>South West Water</v>
      </c>
      <c r="J12" s="353">
        <f xml:space="preserve"> VLOOKUP( $C12, 'CALCS│Wholesale Totex'!$C$99:$I$115, MATCH( Year, 'CALCS│Wholesale Totex'!$C$2:$I$2, 0 ), 0 )</f>
        <v>1157.07</v>
      </c>
      <c r="K12" s="353">
        <f xml:space="preserve"> VLOOKUP( $C12, 'CALCS│Wholesale Totex'!$C$121:$I$137, MATCH( Year, 'CALCS│Wholesale Totex'!$C$2:$I$2, 0 ), 0 )</f>
        <v>1383.2750000000001</v>
      </c>
      <c r="L12" s="128" t="str">
        <f xml:space="preserve"> IF( ABS( E12 ) &lt;= 0.01, 'Map &amp; Key'!$C$63, IF( E12 &gt; 0, 'Map &amp; Key'!$C$65, 'Map &amp; Key'!$C$64 ) )</f>
        <v>▼</v>
      </c>
      <c r="M12" s="380">
        <f xml:space="preserve"> VLOOKUP( $C12, 'CALCS│Wholesale Totex'!$C$165:$I$181, MATCH( Year, 'CALCS│Wholesale Totex'!$C$2:$I$2, 0 ), 0 )</f>
        <v>-0.16352858253058875</v>
      </c>
      <c r="N12" s="266"/>
    </row>
    <row r="13" spans="2:14" s="84" customFormat="1" ht="15.95" customHeight="1" outlineLevel="1" x14ac:dyDescent="0.2">
      <c r="B13" s="266"/>
      <c r="C13" s="215" t="s">
        <v>93</v>
      </c>
      <c r="D13" s="216">
        <f xml:space="preserve"> VLOOKUP( $C13, 'CALCS│Wholesale Totex'!$C$165:$I$181, MATCH( Last_year, 'CALCS│Wholesale Totex'!$C$2:$I$2, 0 ), 0 )</f>
        <v>-0.12969767683273678</v>
      </c>
      <c r="E13" s="217">
        <f t="shared" si="0"/>
        <v>0.40736898062880211</v>
      </c>
      <c r="F13" s="266"/>
      <c r="G13" s="266"/>
      <c r="H13" s="266"/>
      <c r="I13" s="350" t="str">
        <f xml:space="preserve"> VLOOKUP( $C13, 'Map &amp; Key'!$C$70:$D$90, 2, 0 )</f>
        <v>Southern Water</v>
      </c>
      <c r="J13" s="295">
        <f xml:space="preserve"> VLOOKUP( $C13, 'CALCS│Wholesale Totex'!$C$99:$I$115, MATCH( Year, 'CALCS│Wholesale Totex'!$C$2:$I$2, 0 ), 0 )</f>
        <v>1999.0349999999999</v>
      </c>
      <c r="K13" s="295">
        <f xml:space="preserve"> VLOOKUP( $C13, 'CALCS│Wholesale Totex'!$C$121:$I$137, MATCH( Year, 'CALCS│Wholesale Totex'!$C$2:$I$2, 0 ), 0 )</f>
        <v>2165.48</v>
      </c>
      <c r="L13" s="127" t="str">
        <f xml:space="preserve"> IF( ABS( E13 ) &lt;= 0.01, 'Map &amp; Key'!$C$63, IF( E13 &gt; 0, 'Map &amp; Key'!$C$65, 'Map &amp; Key'!$C$64 ) )</f>
        <v>▼</v>
      </c>
      <c r="M13" s="380">
        <f xml:space="preserve"> VLOOKUP( $C13, 'CALCS│Wholesale Totex'!$C$165:$I$181, MATCH( Year, 'CALCS│Wholesale Totex'!$C$2:$I$2, 0 ), 0 )</f>
        <v>-7.6862866431460994E-2</v>
      </c>
      <c r="N13" s="266"/>
    </row>
    <row r="14" spans="2:14" s="84" customFormat="1" ht="15.95" customHeight="1" outlineLevel="1" x14ac:dyDescent="0.2">
      <c r="B14" s="266"/>
      <c r="C14" s="215" t="s">
        <v>95</v>
      </c>
      <c r="D14" s="216">
        <f xml:space="preserve"> VLOOKUP( $C14, 'CALCS│Wholesale Totex'!$C$165:$I$181, MATCH( Last_year, 'CALCS│Wholesale Totex'!$C$2:$I$2, 0 ), 0 )</f>
        <v>4.1916224584820194E-2</v>
      </c>
      <c r="E14" s="217">
        <f t="shared" si="0"/>
        <v>0.51462904801229314</v>
      </c>
      <c r="F14" s="266"/>
      <c r="G14" s="266"/>
      <c r="H14" s="266"/>
      <c r="I14" s="350" t="str">
        <f xml:space="preserve"> VLOOKUP( $C14, 'Map &amp; Key'!$C$70:$D$90, 2, 0 )</f>
        <v>Thames Water</v>
      </c>
      <c r="J14" s="353">
        <f xml:space="preserve"> VLOOKUP( $C14, 'CALCS│Wholesale Totex'!$C$99:$I$115, MATCH( Year, 'CALCS│Wholesale Totex'!$C$2:$I$2, 0 ), 0 )</f>
        <v>6506.991</v>
      </c>
      <c r="K14" s="353">
        <f xml:space="preserve"> VLOOKUP( $C14, 'CALCS│Wholesale Totex'!$C$121:$I$137, MATCH( Year, 'CALCS│Wholesale Totex'!$C$2:$I$2, 0 ), 0 )</f>
        <v>6118.54</v>
      </c>
      <c r="L14" s="128" t="str">
        <f xml:space="preserve"> IF( ABS( E14 ) &lt;= 0.01, 'Map &amp; Key'!$C$63, IF( E14 &gt; 0, 'Map &amp; Key'!$C$65, 'Map &amp; Key'!$C$64 ) )</f>
        <v>▼</v>
      </c>
      <c r="M14" s="380">
        <f xml:space="preserve"> VLOOKUP( $C14, 'CALCS│Wholesale Totex'!$C$165:$I$181, MATCH( Year, 'CALCS│Wholesale Totex'!$C$2:$I$2, 0 ), 0 )</f>
        <v>6.3487531339175687E-2</v>
      </c>
      <c r="N14" s="266"/>
    </row>
    <row r="15" spans="2:14" s="84" customFormat="1" ht="15.95" customHeight="1" outlineLevel="1" x14ac:dyDescent="0.2">
      <c r="B15" s="266"/>
      <c r="C15" s="215" t="s">
        <v>97</v>
      </c>
      <c r="D15" s="216">
        <f xml:space="preserve"> VLOOKUP( $C15, 'CALCS│Wholesale Totex'!$C$165:$I$181, MATCH( Last_year, 'CALCS│Wholesale Totex'!$C$2:$I$2, 0 ), 0 )</f>
        <v>9.8226529223528716E-2</v>
      </c>
      <c r="E15" s="217">
        <f t="shared" si="0"/>
        <v>-0.25409105024271533</v>
      </c>
      <c r="F15" s="266"/>
      <c r="G15" s="266"/>
      <c r="H15" s="266"/>
      <c r="I15" s="350" t="str">
        <f xml:space="preserve"> VLOOKUP( $C15, 'Map &amp; Key'!$C$70:$D$90, 2, 0 )</f>
        <v>United Utilities</v>
      </c>
      <c r="J15" s="295">
        <f xml:space="preserve"> VLOOKUP( $C15, 'CALCS│Wholesale Totex'!$C$99:$I$115, MATCH( Year, 'CALCS│Wholesale Totex'!$C$2:$I$2, 0 ), 0 )</f>
        <v>4593.3725886266502</v>
      </c>
      <c r="K15" s="295">
        <f xml:space="preserve"> VLOOKUP( $C15, 'CALCS│Wholesale Totex'!$C$121:$I$137, MATCH( Year, 'CALCS│Wholesale Totex'!$C$2:$I$2, 0 ), 0 )</f>
        <v>4279.7999999999993</v>
      </c>
      <c r="L15" s="127" t="str">
        <f xml:space="preserve"> IF( ABS( E15 ) &lt;= 0.01, 'Map &amp; Key'!$C$63, IF( E15 &gt; 0, 'Map &amp; Key'!$C$65, 'Map &amp; Key'!$C$64 ) )</f>
        <v>▲</v>
      </c>
      <c r="M15" s="380">
        <f xml:space="preserve"> VLOOKUP( $C15, 'CALCS│Wholesale Totex'!$C$165:$I$181, MATCH( Year, 'CALCS│Wholesale Totex'!$C$2:$I$2, 0 ), 0 )</f>
        <v>7.3268047251425536E-2</v>
      </c>
      <c r="N15" s="266"/>
    </row>
    <row r="16" spans="2:14" s="84" customFormat="1" ht="15.95" customHeight="1" outlineLevel="1" x14ac:dyDescent="0.2">
      <c r="B16" s="266"/>
      <c r="C16" s="215" t="s">
        <v>99</v>
      </c>
      <c r="D16" s="216">
        <f xml:space="preserve"> VLOOKUP( $C16, 'CALCS│Wholesale Totex'!$C$165:$I$181, MATCH( Last_year, 'CALCS│Wholesale Totex'!$C$2:$I$2, 0 ), 0 )</f>
        <v>-0.1116258311500082</v>
      </c>
      <c r="E16" s="217">
        <f t="shared" si="0"/>
        <v>0.10575634920520784</v>
      </c>
      <c r="F16" s="266"/>
      <c r="G16" s="266"/>
      <c r="H16" s="266"/>
      <c r="I16" s="350" t="str">
        <f xml:space="preserve"> VLOOKUP( $C16, 'Map &amp; Key'!$C$70:$D$90, 2, 0 )</f>
        <v>Wessex Water</v>
      </c>
      <c r="J16" s="353">
        <f xml:space="preserve"> VLOOKUP( $C16, 'CALCS│Wholesale Totex'!$C$99:$I$115, MATCH( Year, 'CALCS│Wholesale Totex'!$C$2:$I$2, 0 ), 0 )</f>
        <v>1283.295623237452</v>
      </c>
      <c r="K16" s="353">
        <f xml:space="preserve"> VLOOKUP( $C16, 'CALCS│Wholesale Totex'!$C$121:$I$137, MATCH( Year, 'CALCS│Wholesale Totex'!$C$2:$I$2, 0 ), 0 )</f>
        <v>1425.6</v>
      </c>
      <c r="L16" s="128" t="str">
        <f xml:space="preserve"> IF( ABS( E16 ) &lt;= 0.01, 'Map &amp; Key'!$C$63, IF( E16 &gt; 0, 'Map &amp; Key'!$C$65, 'Map &amp; Key'!$C$64 ) )</f>
        <v>▼</v>
      </c>
      <c r="M16" s="380">
        <f xml:space="preserve"> VLOOKUP( $C16, 'CALCS│Wholesale Totex'!$C$165:$I$181, MATCH( Year, 'CALCS│Wholesale Totex'!$C$2:$I$2, 0 ), 0 )</f>
        <v>-9.9820690770586362E-2</v>
      </c>
      <c r="N16" s="266"/>
    </row>
    <row r="17" spans="2:14" s="84" customFormat="1" ht="15.95" customHeight="1" outlineLevel="1" x14ac:dyDescent="0.2">
      <c r="B17" s="266"/>
      <c r="C17" s="215" t="s">
        <v>101</v>
      </c>
      <c r="D17" s="216">
        <f xml:space="preserve"> VLOOKUP( $C17, 'CALCS│Wholesale Totex'!$C$165:$I$181, MATCH( Last_year, 'CALCS│Wholesale Totex'!$C$2:$I$2, 0 ), 0 )</f>
        <v>-7.4378508035500085E-2</v>
      </c>
      <c r="E17" s="217">
        <f t="shared" si="0"/>
        <v>0.99655330416400845</v>
      </c>
      <c r="F17" s="266"/>
      <c r="G17" s="266"/>
      <c r="H17" s="266"/>
      <c r="I17" s="350" t="str">
        <f xml:space="preserve"> VLOOKUP( $C17, 'Map &amp; Key'!$C$70:$D$90, 2, 0 )</f>
        <v>Yorkshire Water</v>
      </c>
      <c r="J17" s="295">
        <f xml:space="preserve"> VLOOKUP( $C17, 'CALCS│Wholesale Totex'!$C$99:$I$115, MATCH( Year, 'CALCS│Wholesale Totex'!$C$2:$I$2, 0 ), 0 )</f>
        <v>2749.3330000000001</v>
      </c>
      <c r="K17" s="295">
        <f xml:space="preserve"> VLOOKUP( $C17, 'CALCS│Wholesale Totex'!$C$121:$I$137, MATCH( Year, 'CALCS│Wholesale Totex'!$C$2:$I$2, 0 ), 0 )</f>
        <v>2750.038</v>
      </c>
      <c r="L17" s="127" t="str">
        <f xml:space="preserve"> IF( ABS( E17 ) &lt;= 0.01, 'Map &amp; Key'!$C$63, IF( E17 &gt; 0, 'Map &amp; Key'!$C$65, 'Map &amp; Key'!$C$64 ) )</f>
        <v>▼</v>
      </c>
      <c r="M17" s="380">
        <f xml:space="preserve"> VLOOKUP( $C17, 'CALCS│Wholesale Totex'!$C$165:$I$181, MATCH( Year, 'CALCS│Wholesale Totex'!$C$2:$I$2, 0 ), 0 )</f>
        <v>-2.5636009393322103E-4</v>
      </c>
      <c r="N17" s="266"/>
    </row>
    <row r="18" spans="2:14" s="84" customFormat="1" ht="15.95" customHeight="1" outlineLevel="1" x14ac:dyDescent="0.2">
      <c r="B18" s="266"/>
      <c r="C18" s="215" t="s">
        <v>103</v>
      </c>
      <c r="D18" s="216">
        <f xml:space="preserve"> VLOOKUP( $C18, 'CALCS│Wholesale Totex'!$C$165:$I$181, MATCH( Last_year, 'CALCS│Wholesale Totex'!$C$2:$I$2, 0 ), 0 )</f>
        <v>-2.655355097365401E-2</v>
      </c>
      <c r="E18" s="217">
        <f t="shared" si="0"/>
        <v>0.90060407780732943</v>
      </c>
      <c r="F18" s="266"/>
      <c r="G18" s="266"/>
      <c r="H18" s="266"/>
      <c r="I18" s="350" t="str">
        <f xml:space="preserve"> VLOOKUP( $C18, 'Map &amp; Key'!$C$70:$D$90, 2, 0 )</f>
        <v>Affinity Water</v>
      </c>
      <c r="J18" s="353">
        <f xml:space="preserve"> VLOOKUP( $C18, 'CALCS│Wholesale Totex'!$C$99:$I$115, MATCH( Year, 'CALCS│Wholesale Totex'!$C$2:$I$2, 0 ), 0 )</f>
        <v>885.73109060977197</v>
      </c>
      <c r="K18" s="353">
        <f xml:space="preserve"> VLOOKUP( $C18, 'CALCS│Wholesale Totex'!$C$121:$I$137, MATCH( Year, 'CALCS│Wholesale Totex'!$C$2:$I$2, 0 ), 0 )</f>
        <v>888.07500000000005</v>
      </c>
      <c r="L18" s="128" t="str">
        <f xml:space="preserve"> IF( ABS( E18 ) &lt;= 0.01, 'Map &amp; Key'!$C$63, IF( E18 &gt; 0, 'Map &amp; Key'!$C$65, 'Map &amp; Key'!$C$64 ) )</f>
        <v>▼</v>
      </c>
      <c r="M18" s="380">
        <f xml:space="preserve"> VLOOKUP( $C18, 'CALCS│Wholesale Totex'!$C$165:$I$181, MATCH( Year, 'CALCS│Wholesale Totex'!$C$2:$I$2, 0 ), 0 )</f>
        <v>-2.6393146865164286E-3</v>
      </c>
      <c r="N18" s="266"/>
    </row>
    <row r="19" spans="2:14" s="84" customFormat="1" ht="15.95" customHeight="1" outlineLevel="1" x14ac:dyDescent="0.2">
      <c r="B19" s="266"/>
      <c r="C19" s="215" t="s">
        <v>105</v>
      </c>
      <c r="D19" s="216">
        <f xml:space="preserve"> VLOOKUP( $C19, 'CALCS│Wholesale Totex'!$C$165:$I$181, MATCH( Last_year, 'CALCS│Wholesale Totex'!$C$2:$I$2, 0 ), 0 )</f>
        <v>-8.933149823043654E-2</v>
      </c>
      <c r="E19" s="217">
        <f t="shared" si="0"/>
        <v>0.52868787907439674</v>
      </c>
      <c r="F19" s="266"/>
      <c r="G19" s="266"/>
      <c r="H19" s="266"/>
      <c r="I19" s="350" t="str">
        <f xml:space="preserve"> VLOOKUP( $C19, 'Map &amp; Key'!$C$70:$D$90, 2, 0 )</f>
        <v>Bristol Water</v>
      </c>
      <c r="J19" s="295">
        <f xml:space="preserve"> VLOOKUP( $C19, 'CALCS│Wholesale Totex'!$C$99:$I$115, MATCH( Year, 'CALCS│Wholesale Totex'!$C$2:$I$2, 0 ), 0 )</f>
        <v>323.34100000000001</v>
      </c>
      <c r="K19" s="295">
        <f xml:space="preserve"> VLOOKUP( $C19, 'CALCS│Wholesale Totex'!$C$121:$I$137, MATCH( Year, 'CALCS│Wholesale Totex'!$C$2:$I$2, 0 ), 0 )</f>
        <v>337.553</v>
      </c>
      <c r="L19" s="127" t="str">
        <f xml:space="preserve"> IF( ABS( E19 ) &lt;= 0.01, 'Map &amp; Key'!$C$63, IF( E19 &gt; 0, 'Map &amp; Key'!$C$65, 'Map &amp; Key'!$C$64 ) )</f>
        <v>▼</v>
      </c>
      <c r="M19" s="380">
        <f xml:space="preserve"> VLOOKUP( $C19, 'CALCS│Wholesale Totex'!$C$165:$I$181, MATCH( Year, 'CALCS│Wholesale Totex'!$C$2:$I$2, 0 ), 0 )</f>
        <v>-4.2103017896448824E-2</v>
      </c>
      <c r="N19" s="266"/>
    </row>
    <row r="20" spans="2:14" s="84" customFormat="1" ht="15.95" customHeight="1" outlineLevel="1" x14ac:dyDescent="0.2">
      <c r="B20" s="266"/>
      <c r="C20" s="215" t="s">
        <v>107</v>
      </c>
      <c r="D20" s="216">
        <f xml:space="preserve"> VLOOKUP( $C20, 'CALCS│Wholesale Totex'!$C$165:$I$181, MATCH( Last_year, 'CALCS│Wholesale Totex'!$C$2:$I$2, 0 ), 0 )</f>
        <v>-9.5752006458659805E-2</v>
      </c>
      <c r="E20" s="217">
        <f t="shared" si="0"/>
        <v>0.59856246753627518</v>
      </c>
      <c r="F20" s="266"/>
      <c r="G20" s="266"/>
      <c r="H20" s="266"/>
      <c r="I20" s="350" t="str">
        <f xml:space="preserve"> VLOOKUP( $C20, 'Map &amp; Key'!$C$70:$D$90, 2, 0 )</f>
        <v>Portsmouth Water</v>
      </c>
      <c r="J20" s="353">
        <f xml:space="preserve"> VLOOKUP( $C20, 'CALCS│Wholesale Totex'!$C$99:$I$115, MATCH( Year, 'CALCS│Wholesale Totex'!$C$2:$I$2, 0 ), 0 )</f>
        <v>107.31699999999999</v>
      </c>
      <c r="K20" s="353">
        <f xml:space="preserve"> VLOOKUP( $C20, 'CALCS│Wholesale Totex'!$C$121:$I$137, MATCH( Year, 'CALCS│Wholesale Totex'!$C$2:$I$2, 0 ), 0 )</f>
        <v>111.607</v>
      </c>
      <c r="L20" s="128" t="str">
        <f xml:space="preserve"> IF( ABS( E20 ) &lt;= 0.01, 'Map &amp; Key'!$C$63, IF( E20 &gt; 0, 'Map &amp; Key'!$C$65, 'Map &amp; Key'!$C$64 ) )</f>
        <v>▼</v>
      </c>
      <c r="M20" s="380">
        <f xml:space="preserve"> VLOOKUP( $C20, 'CALCS│Wholesale Totex'!$C$165:$I$181, MATCH( Year, 'CALCS│Wholesale Totex'!$C$2:$I$2, 0 ), 0 )</f>
        <v>-3.8438449201215037E-2</v>
      </c>
      <c r="N20" s="266"/>
    </row>
    <row r="21" spans="2:14" s="84" customFormat="1" ht="15.95" customHeight="1" outlineLevel="1" x14ac:dyDescent="0.2">
      <c r="B21" s="266"/>
      <c r="C21" s="215" t="s">
        <v>111</v>
      </c>
      <c r="D21" s="216">
        <f xml:space="preserve"> VLOOKUP( $C21, 'CALCS│Wholesale Totex'!$C$165:$I$181, MATCH( Last_year, 'CALCS│Wholesale Totex'!$C$2:$I$2, 0 ), 0 )</f>
        <v>-7.3888770509269092E-2</v>
      </c>
      <c r="E21" s="217">
        <f t="shared" si="0"/>
        <v>0.15384857237440833</v>
      </c>
      <c r="F21" s="266"/>
      <c r="G21" s="266"/>
      <c r="H21" s="266"/>
      <c r="I21" s="350" t="str">
        <f xml:space="preserve"> VLOOKUP( $C21, 'Map &amp; Key'!$C$70:$D$90, 2, 0 )</f>
        <v>South East Water</v>
      </c>
      <c r="J21" s="295">
        <f xml:space="preserve"> VLOOKUP( $C21, 'CALCS│Wholesale Totex'!$C$99:$I$115, MATCH( Year, 'CALCS│Wholesale Totex'!$C$2:$I$2, 0 ), 0 )</f>
        <v>589.01800000000003</v>
      </c>
      <c r="K21" s="295">
        <f xml:space="preserve"> VLOOKUP( $C21, 'CALCS│Wholesale Totex'!$C$121:$I$137, MATCH( Year, 'CALCS│Wholesale Totex'!$C$2:$I$2, 0 ), 0 )</f>
        <v>628.29999999999995</v>
      </c>
      <c r="L21" s="127" t="str">
        <f xml:space="preserve"> IF( ABS( E21 ) &lt;= 0.01, 'Map &amp; Key'!$C$63, IF( E21 &gt; 0, 'Map &amp; Key'!$C$65, 'Map &amp; Key'!$C$64 ) )</f>
        <v>▼</v>
      </c>
      <c r="M21" s="380">
        <f xml:space="preserve"> VLOOKUP( $C21, 'CALCS│Wholesale Totex'!$C$165:$I$181, MATCH( Year, 'CALCS│Wholesale Totex'!$C$2:$I$2, 0 ), 0 )</f>
        <v>-6.2521088651917758E-2</v>
      </c>
      <c r="N21" s="266"/>
    </row>
    <row r="22" spans="2:14" s="84" customFormat="1" ht="15.95" customHeight="1" outlineLevel="1" x14ac:dyDescent="0.2">
      <c r="B22" s="266"/>
      <c r="C22" s="215" t="s">
        <v>113</v>
      </c>
      <c r="D22" s="216">
        <f xml:space="preserve"> VLOOKUP( $C22, 'CALCS│Wholesale Totex'!$C$165:$I$181, MATCH( Last_year, 'CALCS│Wholesale Totex'!$C$2:$I$2, 0 ), 0 )</f>
        <v>-6.7620093532759721E-3</v>
      </c>
      <c r="E22" s="217">
        <f t="shared" si="0"/>
        <v>1.6291356517250524</v>
      </c>
      <c r="F22" s="266"/>
      <c r="G22" s="266"/>
      <c r="H22" s="266"/>
      <c r="I22" s="350" t="str">
        <f xml:space="preserve"> VLOOKUP( $C22, 'Map &amp; Key'!$C$70:$D$90, 2, 0 )</f>
        <v>South Staffs Water</v>
      </c>
      <c r="J22" s="353">
        <f xml:space="preserve"> VLOOKUP( $C22, 'CALCS│Wholesale Totex'!$C$99:$I$115, MATCH( Year, 'CALCS│Wholesale Totex'!$C$2:$I$2, 0 ), 0 )</f>
        <v>311.36399999999998</v>
      </c>
      <c r="K22" s="353">
        <f xml:space="preserve"> VLOOKUP( $C22, 'CALCS│Wholesale Totex'!$C$121:$I$137, MATCH( Year, 'CALCS│Wholesale Totex'!$C$2:$I$2, 0 ), 0 )</f>
        <v>310.04500000000002</v>
      </c>
      <c r="L22" s="128" t="str">
        <f xml:space="preserve"> IF( ABS( E22 ) &lt;= 0.01, 'Map &amp; Key'!$C$63, IF( E22 &gt; 0, 'Map &amp; Key'!$C$65, 'Map &amp; Key'!$C$64 ) )</f>
        <v>▼</v>
      </c>
      <c r="M22" s="380">
        <f xml:space="preserve"> VLOOKUP( $C22, 'CALCS│Wholesale Totex'!$C$165:$I$181, MATCH( Year, 'CALCS│Wholesale Totex'!$C$2:$I$2, 0 ), 0 )</f>
        <v>4.2542211614441773E-3</v>
      </c>
      <c r="N22" s="266"/>
    </row>
    <row r="23" spans="2:14" s="84" customFormat="1" ht="15.95" customHeight="1" outlineLevel="1" x14ac:dyDescent="0.2">
      <c r="B23" s="266"/>
      <c r="C23" s="215" t="s">
        <v>109</v>
      </c>
      <c r="D23" s="216">
        <f xml:space="preserve"> VLOOKUP( $C23, 'CALCS│Wholesale Totex'!$C$165:$I$181, MATCH( Last_year, 'CALCS│Wholesale Totex'!$C$2:$I$2, 0 ), 0 )</f>
        <v>-6.2131897952793398E-2</v>
      </c>
      <c r="E23" s="217">
        <f t="shared" si="0"/>
        <v>0.37829761841074006</v>
      </c>
      <c r="F23" s="266"/>
      <c r="G23" s="266"/>
      <c r="H23" s="266"/>
      <c r="I23" s="350" t="str">
        <f xml:space="preserve"> VLOOKUP( $C23, 'Map &amp; Key'!$C$70:$D$90, 2, 0 )</f>
        <v>SES Water</v>
      </c>
      <c r="J23" s="295">
        <f xml:space="preserve"> VLOOKUP( $C23, 'CALCS│Wholesale Totex'!$C$99:$I$115, MATCH( Year, 'CALCS│Wholesale Totex'!$C$2:$I$2, 0 ), 0 )</f>
        <v>171.28100000000001</v>
      </c>
      <c r="K23" s="295">
        <f xml:space="preserve"> VLOOKUP( $C23, 'CALCS│Wholesale Totex'!$C$121:$I$137, MATCH( Year, 'CALCS│Wholesale Totex'!$C$2:$I$2, 0 ), 0 )</f>
        <v>178.16300000000001</v>
      </c>
      <c r="L23" s="127" t="str">
        <f xml:space="preserve"> IF( ABS( E23 ) &lt;= 0.01, 'Map &amp; Key'!$C$63, IF( E23 &gt; 0, 'Map &amp; Key'!$C$65, 'Map &amp; Key'!$C$64 ) )</f>
        <v>▼</v>
      </c>
      <c r="M23" s="380">
        <f xml:space="preserve"> VLOOKUP( $C23, 'CALCS│Wholesale Totex'!$C$165:$I$181, MATCH( Year, 'CALCS│Wholesale Totex'!$C$2:$I$2, 0 ), 0 )</f>
        <v>-3.862754892991252E-2</v>
      </c>
      <c r="N23" s="266"/>
    </row>
    <row r="24" spans="2:14" outlineLevel="1" x14ac:dyDescent="0.2"/>
    <row r="25" spans="2:14" outlineLevel="1" x14ac:dyDescent="0.2">
      <c r="L25" s="51" t="s">
        <v>514</v>
      </c>
      <c r="M25" s="126">
        <f>_xlfn.PERCENTILE.INC( $M$7:$M$23, 0.25 )</f>
        <v>-7.6862866431460994E-2</v>
      </c>
    </row>
    <row r="26" spans="2:14" outlineLevel="1" x14ac:dyDescent="0.2">
      <c r="L26" s="51" t="s">
        <v>515</v>
      </c>
      <c r="M26" s="126">
        <f>_xlfn.PERCENTILE.INC( $M$7:$M$23, 0.75 )</f>
        <v>-2.5636009393322103E-4</v>
      </c>
    </row>
    <row r="27" spans="2:14" outlineLevel="1" x14ac:dyDescent="0.2"/>
    <row r="28" spans="2:14" ht="13.5" outlineLevel="1" x14ac:dyDescent="0.25">
      <c r="B28" s="36" t="s">
        <v>523</v>
      </c>
      <c r="C28" s="36"/>
      <c r="D28" s="36"/>
      <c r="E28" s="36"/>
      <c r="F28" s="36"/>
      <c r="G28" s="36"/>
      <c r="H28" s="36"/>
      <c r="I28" s="36" t="s">
        <v>572</v>
      </c>
      <c r="J28" s="36"/>
      <c r="K28" s="36"/>
      <c r="L28" s="36"/>
      <c r="M28" s="36"/>
      <c r="N28" s="36"/>
    </row>
    <row r="29" spans="2:14" outlineLevel="1" x14ac:dyDescent="0.2"/>
    <row r="30" spans="2:14" ht="13.5" outlineLevel="1" x14ac:dyDescent="0.2">
      <c r="C30" s="138" t="s">
        <v>524</v>
      </c>
    </row>
    <row r="31" spans="2:14" ht="13.5" outlineLevel="1" x14ac:dyDescent="0.2">
      <c r="C31" s="138"/>
    </row>
    <row r="32" spans="2:14" ht="25.5" outlineLevel="1" x14ac:dyDescent="0.2">
      <c r="C32" s="218" t="str">
        <f xml:space="preserve"> Year &amp; " Rank"</f>
        <v>2018-19 Rank</v>
      </c>
      <c r="D32" s="268" t="s">
        <v>344</v>
      </c>
      <c r="E32" s="4" t="s">
        <v>171</v>
      </c>
      <c r="F32" s="4" t="s">
        <v>172</v>
      </c>
      <c r="G32" s="4" t="s">
        <v>173</v>
      </c>
      <c r="H32" s="4" t="s">
        <v>150</v>
      </c>
    </row>
    <row r="33" spans="3:8" outlineLevel="1" x14ac:dyDescent="0.2">
      <c r="C33" s="125">
        <v>1</v>
      </c>
      <c r="D33" s="275" t="str">
        <f xml:space="preserve"> INDEX( 'CALCS│Wholesale Totex'!$C$75:$C$91, MATCH( $H33, 'CALCS│Wholesale Totex'!$H$75:$H$91, 0 ) )</f>
        <v>SWB</v>
      </c>
      <c r="E33" s="136">
        <f xml:space="preserve"> VLOOKUP( $D33, 'CALCS│Wholesale Totex'!$C$75:$I$91, MATCH( E$32, 'CALCS│Wholesale Totex'!$C$2:$I$2, 0 ), 0 )</f>
        <v>-0.2113607840967657</v>
      </c>
      <c r="F33" s="136">
        <f xml:space="preserve"> VLOOKUP( $D33, 'CALCS│Wholesale Totex'!$C$75:$I$91, MATCH( F$32, 'CALCS│Wholesale Totex'!$C$2:$I$2, 0 ), 0 )</f>
        <v>-0.16155276124487078</v>
      </c>
      <c r="G33" s="136">
        <f xml:space="preserve"> VLOOKUP( $D33, 'CALCS│Wholesale Totex'!$C$75:$I$91, MATCH( G$32, 'CALCS│Wholesale Totex'!$C$2:$I$2, 0 ), 0 )</f>
        <v>-0.14481482651926714</v>
      </c>
      <c r="H33" s="126">
        <f xml:space="preserve"> SMALL( 'CALCS│Wholesale Totex'!$H$75:$H$91, $C33 )</f>
        <v>-0.13426051625391688</v>
      </c>
    </row>
    <row r="34" spans="3:8" outlineLevel="1" x14ac:dyDescent="0.2">
      <c r="C34" s="125">
        <v>2</v>
      </c>
      <c r="D34" s="275" t="str">
        <f xml:space="preserve"> INDEX( 'CALCS│Wholesale Totex'!$C$75:$C$91, MATCH( $H34, 'CALCS│Wholesale Totex'!$H$75:$H$91, 0 ) )</f>
        <v>WSX</v>
      </c>
      <c r="E34" s="136">
        <f xml:space="preserve"> VLOOKUP( $D34, 'CALCS│Wholesale Totex'!$C$75:$I$91, MATCH( E$32, 'CALCS│Wholesale Totex'!$C$2:$I$2, 0 ), 0 )</f>
        <v>-9.5831869738750533E-2</v>
      </c>
      <c r="F34" s="136">
        <f xml:space="preserve"> VLOOKUP( $D34, 'CALCS│Wholesale Totex'!$C$75:$I$91, MATCH( F$32, 'CALCS│Wholesale Totex'!$C$2:$I$2, 0 ), 0 )</f>
        <v>-0.13877901818531319</v>
      </c>
      <c r="G34" s="136">
        <f xml:space="preserve"> VLOOKUP( $D34, 'CALCS│Wholesale Totex'!$C$75:$I$91, MATCH( G$32, 'CALCS│Wholesale Totex'!$C$2:$I$2, 0 ), 0 )</f>
        <v>-0.10006959837569869</v>
      </c>
      <c r="H34" s="126">
        <f xml:space="preserve"> SMALL( 'CALCS│Wholesale Totex'!$H$75:$H$91, $C34 )</f>
        <v>-6.4392220499361053E-2</v>
      </c>
    </row>
    <row r="35" spans="3:8" outlineLevel="1" x14ac:dyDescent="0.2">
      <c r="C35" s="125">
        <v>3</v>
      </c>
      <c r="D35" s="275" t="str">
        <f xml:space="preserve"> INDEX( 'CALCS│Wholesale Totex'!$C$75:$C$91, MATCH( $H35, 'CALCS│Wholesale Totex'!$H$75:$H$91, 0 ) )</f>
        <v>ANH</v>
      </c>
      <c r="E35" s="136">
        <f xml:space="preserve"> VLOOKUP( $D35, 'CALCS│Wholesale Totex'!$C$75:$I$91, MATCH( E$32, 'CALCS│Wholesale Totex'!$C$2:$I$2, 0 ), 0 )</f>
        <v>-7.7840044930763852E-2</v>
      </c>
      <c r="F35" s="136">
        <f xml:space="preserve"> VLOOKUP( $D35, 'CALCS│Wholesale Totex'!$C$75:$I$91, MATCH( F$32, 'CALCS│Wholesale Totex'!$C$2:$I$2, 0 ), 0 )</f>
        <v>-0.21242976009938744</v>
      </c>
      <c r="G35" s="136">
        <f xml:space="preserve"> VLOOKUP( $D35, 'CALCS│Wholesale Totex'!$C$75:$I$91, MATCH( G$32, 'CALCS│Wholesale Totex'!$C$2:$I$2, 0 ), 0 )</f>
        <v>-3.4477960561740517E-2</v>
      </c>
      <c r="H35" s="126">
        <f xml:space="preserve"> SMALL( 'CALCS│Wholesale Totex'!$H$75:$H$91, $C35 )</f>
        <v>-4.0590903655263633E-2</v>
      </c>
    </row>
    <row r="36" spans="3:8" outlineLevel="1" x14ac:dyDescent="0.2">
      <c r="C36" s="125">
        <v>4</v>
      </c>
      <c r="D36" s="275" t="str">
        <f xml:space="preserve"> INDEX( 'CALCS│Wholesale Totex'!$C$75:$C$91, MATCH( $H36, 'CALCS│Wholesale Totex'!$H$75:$H$91, 0 ) )</f>
        <v>SEW</v>
      </c>
      <c r="E36" s="136">
        <f xml:space="preserve"> VLOOKUP( $D36, 'CALCS│Wholesale Totex'!$C$75:$I$91, MATCH( E$32, 'CALCS│Wholesale Totex'!$C$2:$I$2, 0 ), 0 )</f>
        <v>-3.1169709263015637E-2</v>
      </c>
      <c r="F36" s="136">
        <f xml:space="preserve"> VLOOKUP( $D36, 'CALCS│Wholesale Totex'!$C$75:$I$91, MATCH( F$32, 'CALCS│Wholesale Totex'!$C$2:$I$2, 0 ), 0 )</f>
        <v>-8.2918537524053829E-2</v>
      </c>
      <c r="G36" s="136">
        <f xml:space="preserve"> VLOOKUP( $D36, 'CALCS│Wholesale Totex'!$C$75:$I$91, MATCH( G$32, 'CALCS│Wholesale Totex'!$C$2:$I$2, 0 ), 0 )</f>
        <v>-0.103558912386707</v>
      </c>
      <c r="H36" s="126">
        <f xml:space="preserve"> SMALL( 'CALCS│Wholesale Totex'!$H$75:$H$91, $C36 )</f>
        <v>-2.8968553459119462E-2</v>
      </c>
    </row>
    <row r="37" spans="3:8" outlineLevel="1" x14ac:dyDescent="0.2">
      <c r="C37" s="125">
        <v>5</v>
      </c>
      <c r="D37" s="275" t="str">
        <f xml:space="preserve"> INDEX( 'CALCS│Wholesale Totex'!$C$75:$C$91, MATCH( $H37, 'CALCS│Wholesale Totex'!$H$75:$H$91, 0 ) )</f>
        <v>UU</v>
      </c>
      <c r="E37" s="136">
        <f xml:space="preserve"> VLOOKUP( $D37, 'CALCS│Wholesale Totex'!$C$75:$I$91, MATCH( E$32, 'CALCS│Wholesale Totex'!$C$2:$I$2, 0 ), 0 )</f>
        <v>0.15128554430412489</v>
      </c>
      <c r="F37" s="136">
        <f xml:space="preserve"> VLOOKUP( $D37, 'CALCS│Wholesale Totex'!$C$75:$I$91, MATCH( F$32, 'CALCS│Wholesale Totex'!$C$2:$I$2, 0 ), 0 )</f>
        <v>0.11248771598634255</v>
      </c>
      <c r="G37" s="136">
        <f xml:space="preserve"> VLOOKUP( $D37, 'CALCS│Wholesale Totex'!$C$75:$I$91, MATCH( G$32, 'CALCS│Wholesale Totex'!$C$2:$I$2, 0 ), 0 )</f>
        <v>3.6251120065206165E-2</v>
      </c>
      <c r="H37" s="126">
        <f xml:space="preserve"> SMALL( 'CALCS│Wholesale Totex'!$H$75:$H$91, $C37 )</f>
        <v>4.2303032958604216E-3</v>
      </c>
    </row>
    <row r="38" spans="3:8" outlineLevel="1" x14ac:dyDescent="0.2">
      <c r="C38" s="125">
        <v>6</v>
      </c>
      <c r="D38" s="275" t="str">
        <f xml:space="preserve"> INDEX( 'CALCS│Wholesale Totex'!$C$75:$C$91, MATCH( $H38, 'CALCS│Wholesale Totex'!$H$75:$H$91, 0 ) )</f>
        <v>NES</v>
      </c>
      <c r="E38" s="136">
        <f xml:space="preserve"> VLOOKUP( $D38, 'CALCS│Wholesale Totex'!$C$75:$I$91, MATCH( E$32, 'CALCS│Wholesale Totex'!$C$2:$I$2, 0 ), 0 )</f>
        <v>-0.11263159716663115</v>
      </c>
      <c r="F38" s="136">
        <f xml:space="preserve"> VLOOKUP( $D38, 'CALCS│Wholesale Totex'!$C$75:$I$91, MATCH( F$32, 'CALCS│Wholesale Totex'!$C$2:$I$2, 0 ), 0 )</f>
        <v>-0.17223270578253683</v>
      </c>
      <c r="G38" s="136">
        <f xml:space="preserve"> VLOOKUP( $D38, 'CALCS│Wholesale Totex'!$C$75:$I$91, MATCH( G$32, 'CALCS│Wholesale Totex'!$C$2:$I$2, 0 ), 0 )</f>
        <v>-0.10166665653747892</v>
      </c>
      <c r="H38" s="126">
        <f xml:space="preserve"> SMALL( 'CALCS│Wholesale Totex'!$H$75:$H$91, $C38 )</f>
        <v>3.0680608188990773E-2</v>
      </c>
    </row>
    <row r="39" spans="3:8" outlineLevel="1" x14ac:dyDescent="0.2">
      <c r="C39" s="125">
        <v>7</v>
      </c>
      <c r="D39" s="275" t="str">
        <f xml:space="preserve"> INDEX( 'CALCS│Wholesale Totex'!$C$75:$C$91, MATCH( $H39, 'CALCS│Wholesale Totex'!$H$75:$H$91, 0 ) )</f>
        <v>SES</v>
      </c>
      <c r="E39" s="136">
        <f xml:space="preserve"> VLOOKUP( $D39, 'CALCS│Wholesale Totex'!$C$75:$I$91, MATCH( E$32, 'CALCS│Wholesale Totex'!$C$2:$I$2, 0 ), 0 )</f>
        <v>-5.6137961228808576E-2</v>
      </c>
      <c r="F39" s="136">
        <f xml:space="preserve"> VLOOKUP( $D39, 'CALCS│Wholesale Totex'!$C$75:$I$91, MATCH( F$32, 'CALCS│Wholesale Totex'!$C$2:$I$2, 0 ), 0 )</f>
        <v>-5.5414672870405045E-2</v>
      </c>
      <c r="G39" s="136">
        <f xml:space="preserve"> VLOOKUP( $D39, 'CALCS│Wholesale Totex'!$C$75:$I$91, MATCH( G$32, 'CALCS│Wholesale Totex'!$C$2:$I$2, 0 ), 0 )</f>
        <v>-7.3691055546232551E-2</v>
      </c>
      <c r="H39" s="126">
        <f xml:space="preserve"> SMALL( 'CALCS│Wholesale Totex'!$H$75:$H$91, $C39 )</f>
        <v>3.2978264325785232E-2</v>
      </c>
    </row>
    <row r="40" spans="3:8" outlineLevel="1" x14ac:dyDescent="0.2">
      <c r="C40" s="125">
        <v>8</v>
      </c>
      <c r="D40" s="275" t="str">
        <f xml:space="preserve"> INDEX( 'CALCS│Wholesale Totex'!$C$75:$C$91, MATCH( $H40, 'CALCS│Wholesale Totex'!$H$75:$H$91, 0 ) )</f>
        <v>SVE</v>
      </c>
      <c r="E40" s="136">
        <f xml:space="preserve"> VLOOKUP( $D40, 'CALCS│Wholesale Totex'!$C$75:$I$91, MATCH( E$32, 'CALCS│Wholesale Totex'!$C$2:$I$2, 0 ), 0 )</f>
        <v>-1.8955136998848199E-2</v>
      </c>
      <c r="F40" s="136">
        <f xml:space="preserve"> VLOOKUP( $D40, 'CALCS│Wholesale Totex'!$C$75:$I$91, MATCH( F$32, 'CALCS│Wholesale Totex'!$C$2:$I$2, 0 ), 0 )</f>
        <v>-0.12113950703050938</v>
      </c>
      <c r="G40" s="136">
        <f xml:space="preserve"> VLOOKUP( $D40, 'CALCS│Wholesale Totex'!$C$75:$I$91, MATCH( G$32, 'CALCS│Wholesale Totex'!$C$2:$I$2, 0 ), 0 )</f>
        <v>-8.5158993168023056E-2</v>
      </c>
      <c r="H40" s="126">
        <f xml:space="preserve"> SMALL( 'CALCS│Wholesale Totex'!$H$75:$H$91, $C40 )</f>
        <v>3.5010654104223216E-2</v>
      </c>
    </row>
    <row r="41" spans="3:8" outlineLevel="1" x14ac:dyDescent="0.2">
      <c r="C41" s="125">
        <v>9</v>
      </c>
      <c r="D41" s="275" t="str">
        <f xml:space="preserve"> INDEX( 'CALCS│Wholesale Totex'!$C$75:$C$91, MATCH( $H41, 'CALCS│Wholesale Totex'!$H$75:$H$91, 0 ) )</f>
        <v>SSC</v>
      </c>
      <c r="E41" s="136">
        <f xml:space="preserve"> VLOOKUP( $D41, 'CALCS│Wholesale Totex'!$C$75:$I$91, MATCH( E$32, 'CALCS│Wholesale Totex'!$C$2:$I$2, 0 ), 0 )</f>
        <v>-5.4677817955678505E-2</v>
      </c>
      <c r="F41" s="136">
        <f xml:space="preserve"> VLOOKUP( $D41, 'CALCS│Wholesale Totex'!$C$75:$I$91, MATCH( F$32, 'CALCS│Wholesale Totex'!$C$2:$I$2, 0 ), 0 )</f>
        <v>-1.9333210940593575E-2</v>
      </c>
      <c r="G41" s="136">
        <f xml:space="preserve"> VLOOKUP( $D41, 'CALCS│Wholesale Totex'!$C$75:$I$91, MATCH( G$32, 'CALCS│Wholesale Totex'!$C$2:$I$2, 0 ), 0 )</f>
        <v>5.304329052858224E-2</v>
      </c>
      <c r="H41" s="126">
        <f xml:space="preserve"> SMALL( 'CALCS│Wholesale Totex'!$H$75:$H$91, $C41 )</f>
        <v>3.7050816580496887E-2</v>
      </c>
    </row>
    <row r="42" spans="3:8" outlineLevel="1" x14ac:dyDescent="0.2">
      <c r="C42" s="125">
        <v>10</v>
      </c>
      <c r="D42" s="275" t="str">
        <f xml:space="preserve"> INDEX( 'CALCS│Wholesale Totex'!$C$75:$C$91, MATCH( $H42, 'CALCS│Wholesale Totex'!$H$75:$H$91, 0 ) )</f>
        <v>SRN</v>
      </c>
      <c r="E42" s="136">
        <f xml:space="preserve"> VLOOKUP( $D42, 'CALCS│Wholesale Totex'!$C$75:$I$91, MATCH( E$32, 'CALCS│Wholesale Totex'!$C$2:$I$2, 0 ), 0 )</f>
        <v>-0.20534779090840971</v>
      </c>
      <c r="F42" s="136">
        <f xml:space="preserve"> VLOOKUP( $D42, 'CALCS│Wholesale Totex'!$C$75:$I$91, MATCH( F$32, 'CALCS│Wholesale Totex'!$C$2:$I$2, 0 ), 0 )</f>
        <v>-0.17296218117853993</v>
      </c>
      <c r="G42" s="136">
        <f xml:space="preserve"> VLOOKUP( $D42, 'CALCS│Wholesale Totex'!$C$75:$I$91, MATCH( G$32, 'CALCS│Wholesale Totex'!$C$2:$I$2, 0 ), 0 )</f>
        <v>-1.5168770704628888E-2</v>
      </c>
      <c r="H42" s="126">
        <f xml:space="preserve"> SMALL( 'CALCS│Wholesale Totex'!$H$75:$H$91, $C42 )</f>
        <v>9.0945054351287136E-2</v>
      </c>
    </row>
    <row r="43" spans="3:8" outlineLevel="1" x14ac:dyDescent="0.2">
      <c r="C43" s="125">
        <v>11</v>
      </c>
      <c r="D43" s="275" t="str">
        <f xml:space="preserve"> INDEX( 'CALCS│Wholesale Totex'!$C$75:$C$91, MATCH( $H43, 'CALCS│Wholesale Totex'!$H$75:$H$91, 0 ) )</f>
        <v>AFW</v>
      </c>
      <c r="E43" s="136">
        <f xml:space="preserve"> VLOOKUP( $D43, 'CALCS│Wholesale Totex'!$C$75:$I$91, MATCH( E$32, 'CALCS│Wholesale Totex'!$C$2:$I$2, 0 ), 0 )</f>
        <v>-0.10541356492969364</v>
      </c>
      <c r="F43" s="136">
        <f xml:space="preserve"> VLOOKUP( $D43, 'CALCS│Wholesale Totex'!$C$75:$I$91, MATCH( F$32, 'CALCS│Wholesale Totex'!$C$2:$I$2, 0 ), 0 )</f>
        <v>-1.836266884977494E-2</v>
      </c>
      <c r="G43" s="136">
        <f xml:space="preserve"> VLOOKUP( $D43, 'CALCS│Wholesale Totex'!$C$75:$I$91, MATCH( G$32, 'CALCS│Wholesale Totex'!$C$2:$I$2, 0 ), 0 )</f>
        <v>5.3838907206782749E-2</v>
      </c>
      <c r="H43" s="126">
        <f xml:space="preserve"> SMALL( 'CALCS│Wholesale Totex'!$H$75:$H$91, $C43 )</f>
        <v>9.5982010045650393E-2</v>
      </c>
    </row>
    <row r="44" spans="3:8" outlineLevel="1" x14ac:dyDescent="0.2">
      <c r="C44" s="125">
        <v>12</v>
      </c>
      <c r="D44" s="275" t="str">
        <f xml:space="preserve"> INDEX( 'CALCS│Wholesale Totex'!$C$75:$C$91, MATCH( $H44, 'CALCS│Wholesale Totex'!$H$75:$H$91, 0 ) )</f>
        <v>BRL</v>
      </c>
      <c r="E44" s="136">
        <f xml:space="preserve"> VLOOKUP( $D44, 'CALCS│Wholesale Totex'!$C$75:$I$91, MATCH( E$32, 'CALCS│Wholesale Totex'!$C$2:$I$2, 0 ), 0 )</f>
        <v>-0.24834141150355812</v>
      </c>
      <c r="F44" s="136">
        <f xml:space="preserve"> VLOOKUP( $D44, 'CALCS│Wholesale Totex'!$C$75:$I$91, MATCH( F$32, 'CALCS│Wholesale Totex'!$C$2:$I$2, 0 ), 0 )</f>
        <v>-0.10221453662266401</v>
      </c>
      <c r="G44" s="136">
        <f xml:space="preserve"> VLOOKUP( $D44, 'CALCS│Wholesale Totex'!$C$75:$I$91, MATCH( G$32, 'CALCS│Wholesale Totex'!$C$2:$I$2, 0 ), 0 )</f>
        <v>8.8291517323775395E-2</v>
      </c>
      <c r="H44" s="126">
        <f xml:space="preserve"> SMALL( 'CALCS│Wholesale Totex'!$H$75:$H$91, $C44 )</f>
        <v>0.11811232167579615</v>
      </c>
    </row>
    <row r="45" spans="3:8" outlineLevel="1" x14ac:dyDescent="0.2">
      <c r="C45" s="125">
        <v>13</v>
      </c>
      <c r="D45" s="275" t="str">
        <f xml:space="preserve"> INDEX( 'CALCS│Wholesale Totex'!$C$75:$C$91, MATCH( $H45, 'CALCS│Wholesale Totex'!$H$75:$H$91, 0 ) )</f>
        <v>TMS</v>
      </c>
      <c r="E45" s="136">
        <f xml:space="preserve"> VLOOKUP( $D45, 'CALCS│Wholesale Totex'!$C$75:$I$91, MATCH( E$32, 'CALCS│Wholesale Totex'!$C$2:$I$2, 0 ), 0 )</f>
        <v>3.7524214574987287E-2</v>
      </c>
      <c r="F45" s="136">
        <f xml:space="preserve"> VLOOKUP( $D45, 'CALCS│Wholesale Totex'!$C$75:$I$91, MATCH( F$32, 'CALCS│Wholesale Totex'!$C$2:$I$2, 0 ), 0 )</f>
        <v>4.8280218787116955E-2</v>
      </c>
      <c r="G45" s="136">
        <f xml:space="preserve"> VLOOKUP( $D45, 'CALCS│Wholesale Totex'!$C$75:$I$91, MATCH( G$32, 'CALCS│Wholesale Totex'!$C$2:$I$2, 0 ), 0 )</f>
        <v>4.0288951414285838E-2</v>
      </c>
      <c r="H45" s="126">
        <f xml:space="preserve"> SMALL( 'CALCS│Wholesale Totex'!$H$75:$H$91, $C45 )</f>
        <v>0.13411826899486737</v>
      </c>
    </row>
    <row r="46" spans="3:8" outlineLevel="1" x14ac:dyDescent="0.2">
      <c r="C46" s="125">
        <v>14</v>
      </c>
      <c r="D46" s="275" t="str">
        <f xml:space="preserve"> INDEX( 'CALCS│Wholesale Totex'!$C$75:$C$91, MATCH( $H46, 'CALCS│Wholesale Totex'!$H$75:$H$91, 0 ) )</f>
        <v>PRT</v>
      </c>
      <c r="E46" s="136">
        <f xml:space="preserve"> VLOOKUP( $D46, 'CALCS│Wholesale Totex'!$C$75:$I$91, MATCH( E$32, 'CALCS│Wholesale Totex'!$C$2:$I$2, 0 ), 0 )</f>
        <v>-6.7885117493472494E-2</v>
      </c>
      <c r="F46" s="136">
        <f xml:space="preserve"> VLOOKUP( $D46, 'CALCS│Wholesale Totex'!$C$75:$I$91, MATCH( F$32, 'CALCS│Wholesale Totex'!$C$2:$I$2, 0 ), 0 )</f>
        <v>3.7988359530198379E-3</v>
      </c>
      <c r="G46" s="136">
        <f xml:space="preserve"> VLOOKUP( $D46, 'CALCS│Wholesale Totex'!$C$75:$I$91, MATCH( G$32, 'CALCS│Wholesale Totex'!$C$2:$I$2, 0 ), 0 )</f>
        <v>-0.21918372955888413</v>
      </c>
      <c r="H46" s="126">
        <f xml:space="preserve"> SMALL( 'CALCS│Wholesale Totex'!$H$75:$H$91, $C46 )</f>
        <v>0.1378743608473339</v>
      </c>
    </row>
    <row r="47" spans="3:8" outlineLevel="1" x14ac:dyDescent="0.2">
      <c r="C47" s="125">
        <v>15</v>
      </c>
      <c r="D47" s="275" t="str">
        <f xml:space="preserve"> INDEX( 'CALCS│Wholesale Totex'!$C$75:$C$91, MATCH( $H47, 'CALCS│Wholesale Totex'!$H$75:$H$91, 0 ) )</f>
        <v>HDD</v>
      </c>
      <c r="E47" s="136">
        <f xml:space="preserve"> VLOOKUP( $D47, 'CALCS│Wholesale Totex'!$C$75:$I$91, MATCH( E$32, 'CALCS│Wholesale Totex'!$C$2:$I$2, 0 ), 0 )</f>
        <v>-0.24360924390363528</v>
      </c>
      <c r="F47" s="136">
        <f xml:space="preserve"> VLOOKUP( $D47, 'CALCS│Wholesale Totex'!$C$75:$I$91, MATCH( F$32, 'CALCS│Wholesale Totex'!$C$2:$I$2, 0 ), 0 )</f>
        <v>-0.21696969696969701</v>
      </c>
      <c r="G47" s="136">
        <f xml:space="preserve"> VLOOKUP( $D47, 'CALCS│Wholesale Totex'!$C$75:$I$91, MATCH( G$32, 'CALCS│Wholesale Totex'!$C$2:$I$2, 0 ), 0 )</f>
        <v>0.14923972217007694</v>
      </c>
      <c r="H47" s="126">
        <f xml:space="preserve"> SMALL( 'CALCS│Wholesale Totex'!$H$75:$H$91, $C47 )</f>
        <v>0.20324427480916027</v>
      </c>
    </row>
    <row r="48" spans="3:8" outlineLevel="1" x14ac:dyDescent="0.2">
      <c r="C48" s="125">
        <v>16</v>
      </c>
      <c r="D48" s="275" t="str">
        <f xml:space="preserve"> INDEX( 'CALCS│Wholesale Totex'!$C$75:$C$91, MATCH( $H48, 'CALCS│Wholesale Totex'!$H$75:$H$91, 0 ) )</f>
        <v>WSH</v>
      </c>
      <c r="E48" s="136">
        <f xml:space="preserve"> VLOOKUP( $D48, 'CALCS│Wholesale Totex'!$C$75:$I$91, MATCH( E$32, 'CALCS│Wholesale Totex'!$C$2:$I$2, 0 ), 0 )</f>
        <v>-0.18255046289270013</v>
      </c>
      <c r="F48" s="136">
        <f xml:space="preserve"> VLOOKUP( $D48, 'CALCS│Wholesale Totex'!$C$75:$I$91, MATCH( F$32, 'CALCS│Wholesale Totex'!$C$2:$I$2, 0 ), 0 )</f>
        <v>3.6159684793232172E-2</v>
      </c>
      <c r="G48" s="136">
        <f xml:space="preserve"> VLOOKUP( $D48, 'CALCS│Wholesale Totex'!$C$75:$I$91, MATCH( G$32, 'CALCS│Wholesale Totex'!$C$2:$I$2, 0 ), 0 )</f>
        <v>0.12268023729071623</v>
      </c>
      <c r="H48" s="126">
        <f xml:space="preserve"> SMALL( 'CALCS│Wholesale Totex'!$H$75:$H$91, $C48 )</f>
        <v>0.20561665396699691</v>
      </c>
    </row>
    <row r="49" spans="3:8" outlineLevel="1" x14ac:dyDescent="0.2">
      <c r="C49" s="125">
        <v>17</v>
      </c>
      <c r="D49" s="275" t="str">
        <f xml:space="preserve"> INDEX( 'CALCS│Wholesale Totex'!$C$75:$C$91, MATCH( $H49, 'CALCS│Wholesale Totex'!$H$75:$H$91, 0 ) )</f>
        <v>YKY</v>
      </c>
      <c r="E49" s="136">
        <f xml:space="preserve"> VLOOKUP( $D49, 'CALCS│Wholesale Totex'!$C$75:$I$91, MATCH( E$32, 'CALCS│Wholesale Totex'!$C$2:$I$2, 0 ), 0 )</f>
        <v>-0.21966610230647537</v>
      </c>
      <c r="F49" s="136">
        <f xml:space="preserve"> VLOOKUP( $D49, 'CALCS│Wholesale Totex'!$C$75:$I$91, MATCH( F$32, 'CALCS│Wholesale Totex'!$C$2:$I$2, 0 ), 0 )</f>
        <v>-3.3538888570938057E-2</v>
      </c>
      <c r="G49" s="136">
        <f xml:space="preserve"> VLOOKUP( $D49, 'CALCS│Wholesale Totex'!$C$75:$I$91, MATCH( G$32, 'CALCS│Wholesale Totex'!$C$2:$I$2, 0 ), 0 )</f>
        <v>4.012932330827073E-2</v>
      </c>
      <c r="H49" s="126">
        <f xml:space="preserve"> SMALL( 'CALCS│Wholesale Totex'!$H$75:$H$91, $C49 )</f>
        <v>0.2318758921192999</v>
      </c>
    </row>
    <row r="50" spans="3:8" outlineLevel="1" x14ac:dyDescent="0.2">
      <c r="D50" s="81" t="s">
        <v>257</v>
      </c>
      <c r="E50" s="136">
        <f>'CALCS│Wholesale Totex'!E93</f>
        <v>-5.6568920535306155E-2</v>
      </c>
      <c r="F50" s="136">
        <f>'CALCS│Wholesale Totex'!F93</f>
        <v>-5.7643239902304549E-2</v>
      </c>
      <c r="G50" s="136">
        <f>'CALCS│Wholesale Totex'!G93</f>
        <v>-1.0351129681314417E-2</v>
      </c>
      <c r="H50" s="136">
        <f>'CALCS│Wholesale Totex'!H93</f>
        <v>6.2157947679870269E-2</v>
      </c>
    </row>
    <row r="51" spans="3:8" outlineLevel="1" x14ac:dyDescent="0.2"/>
    <row r="52" spans="3:8" ht="13.5" outlineLevel="1" x14ac:dyDescent="0.2">
      <c r="C52" s="138" t="s">
        <v>525</v>
      </c>
    </row>
    <row r="53" spans="3:8" ht="13.5" outlineLevel="1" x14ac:dyDescent="0.2">
      <c r="C53" s="138"/>
    </row>
    <row r="54" spans="3:8" ht="25.5" outlineLevel="1" x14ac:dyDescent="0.2">
      <c r="C54" s="218" t="str">
        <f xml:space="preserve"> Year &amp; " Rank"</f>
        <v>2018-19 Rank</v>
      </c>
      <c r="D54" s="268" t="s">
        <v>344</v>
      </c>
      <c r="E54" s="4" t="s">
        <v>171</v>
      </c>
      <c r="F54" s="4" t="s">
        <v>172</v>
      </c>
      <c r="G54" s="4" t="s">
        <v>173</v>
      </c>
      <c r="H54" s="4" t="s">
        <v>150</v>
      </c>
    </row>
    <row r="55" spans="3:8" outlineLevel="1" x14ac:dyDescent="0.2">
      <c r="C55" s="125">
        <v>1</v>
      </c>
      <c r="D55" s="137" t="str">
        <f xml:space="preserve"> INDEX( 'CALCS│Wholesale Totex'!$C$165:$C$181, MATCH( $H55, 'CALCS│Wholesale Totex'!$H$165:$H$181, 0 ) )</f>
        <v>SWB</v>
      </c>
      <c r="E55" s="136">
        <f xml:space="preserve"> VLOOKUP( $D55, 'CALCS│Wholesale Totex'!$C$165:$I$181, MATCH( E$32, 'CALCS│Wholesale Totex'!$C$2:$I$2, 0 ), 0 )</f>
        <v>-0.2113607840967657</v>
      </c>
      <c r="F55" s="136">
        <f xml:space="preserve"> VLOOKUP( $D55, 'CALCS│Wholesale Totex'!$C$165:$I$181, MATCH( F$32, 'CALCS│Wholesale Totex'!$C$2:$I$2, 0 ), 0 )</f>
        <v>-0.18524011504805879</v>
      </c>
      <c r="G55" s="136">
        <f xml:space="preserve"> VLOOKUP( $D55, 'CALCS│Wholesale Totex'!$C$165:$I$181, MATCH( G$32, 'CALCS│Wholesale Totex'!$C$2:$I$2, 0 ), 0 )</f>
        <v>-0.17209207147742686</v>
      </c>
      <c r="H55" s="126">
        <f xml:space="preserve"> SMALL( 'CALCS│Wholesale Totex'!$H$165:$H$181, $C55 )</f>
        <v>-0.16352858253058875</v>
      </c>
    </row>
    <row r="56" spans="3:8" outlineLevel="1" x14ac:dyDescent="0.2">
      <c r="C56" s="125">
        <v>2</v>
      </c>
      <c r="D56" s="137" t="str">
        <f xml:space="preserve"> INDEX( 'CALCS│Wholesale Totex'!$C$165:$C$181, MATCH( $H56, 'CALCS│Wholesale Totex'!$H$165:$H$181, 0 ) )</f>
        <v>WSX</v>
      </c>
      <c r="E56" s="136">
        <f xml:space="preserve"> VLOOKUP( $D56, 'CALCS│Wholesale Totex'!$C$165:$I$181, MATCH( E$32, 'CALCS│Wholesale Totex'!$C$2:$I$2, 0 ), 0 )</f>
        <v>-9.5831869738750533E-2</v>
      </c>
      <c r="F56" s="136">
        <f xml:space="preserve"> VLOOKUP( $D56, 'CALCS│Wholesale Totex'!$C$165:$I$181, MATCH( F$32, 'CALCS│Wholesale Totex'!$C$2:$I$2, 0 ), 0 )</f>
        <v>-0.11790044296868073</v>
      </c>
      <c r="G56" s="136">
        <f xml:space="preserve"> VLOOKUP( $D56, 'CALCS│Wholesale Totex'!$C$165:$I$181, MATCH( G$32, 'CALCS│Wholesale Totex'!$C$2:$I$2, 0 ), 0 )</f>
        <v>-0.1116258311500082</v>
      </c>
      <c r="H56" s="126">
        <f xml:space="preserve"> SMALL( 'CALCS│Wholesale Totex'!$H$165:$H$181, $C56 )</f>
        <v>-9.9820690770586362E-2</v>
      </c>
    </row>
    <row r="57" spans="3:8" outlineLevel="1" x14ac:dyDescent="0.2">
      <c r="C57" s="125">
        <v>3</v>
      </c>
      <c r="D57" s="137" t="str">
        <f xml:space="preserve"> INDEX( 'CALCS│Wholesale Totex'!$C$165:$C$181, MATCH( $H57, 'CALCS│Wholesale Totex'!$H$165:$H$181, 0 ) )</f>
        <v>ANH</v>
      </c>
      <c r="E57" s="136">
        <f xml:space="preserve"> VLOOKUP( $D57, 'CALCS│Wholesale Totex'!$C$165:$I$181, MATCH( E$32, 'CALCS│Wholesale Totex'!$C$2:$I$2, 0 ), 0 )</f>
        <v>-7.7840044930763852E-2</v>
      </c>
      <c r="F57" s="136">
        <f xml:space="preserve"> VLOOKUP( $D57, 'CALCS│Wholesale Totex'!$C$165:$I$181, MATCH( F$32, 'CALCS│Wholesale Totex'!$C$2:$I$2, 0 ), 0 )</f>
        <v>-0.15177378229463354</v>
      </c>
      <c r="G57" s="136">
        <f xml:space="preserve"> VLOOKUP( $D57, 'CALCS│Wholesale Totex'!$C$165:$I$181, MATCH( G$32, 'CALCS│Wholesale Totex'!$C$2:$I$2, 0 ), 0 )</f>
        <v>-0.11373577697800423</v>
      </c>
      <c r="H57" s="126">
        <f xml:space="preserve"> SMALL( 'CALCS│Wholesale Totex'!$H$165:$H$181, $C57 )</f>
        <v>-9.6219081319757385E-2</v>
      </c>
    </row>
    <row r="58" spans="3:8" outlineLevel="1" x14ac:dyDescent="0.2">
      <c r="C58" s="125">
        <v>4</v>
      </c>
      <c r="D58" s="137" t="str">
        <f xml:space="preserve"> INDEX( 'CALCS│Wholesale Totex'!$C$165:$C$181, MATCH( $H58, 'CALCS│Wholesale Totex'!$H$165:$H$181, 0 ) )</f>
        <v>NES</v>
      </c>
      <c r="E58" s="136">
        <f xml:space="preserve"> VLOOKUP( $D58, 'CALCS│Wholesale Totex'!$C$165:$I$181, MATCH( E$32, 'CALCS│Wholesale Totex'!$C$2:$I$2, 0 ), 0 )</f>
        <v>-0.11263159716663115</v>
      </c>
      <c r="F58" s="136">
        <f xml:space="preserve"> VLOOKUP( $D58, 'CALCS│Wholesale Totex'!$C$165:$I$181, MATCH( F$32, 'CALCS│Wholesale Totex'!$C$2:$I$2, 0 ), 0 )</f>
        <v>-0.14294916836126709</v>
      </c>
      <c r="G58" s="136">
        <f xml:space="preserve"> VLOOKUP( $D58, 'CALCS│Wholesale Totex'!$C$165:$I$181, MATCH( G$32, 'CALCS│Wholesale Totex'!$C$2:$I$2, 0 ), 0 )</f>
        <v>-0.12874209749880786</v>
      </c>
      <c r="H58" s="126">
        <f xml:space="preserve"> SMALL( 'CALCS│Wholesale Totex'!$H$165:$H$181, $C58 )</f>
        <v>-9.0438646902882142E-2</v>
      </c>
    </row>
    <row r="59" spans="3:8" outlineLevel="1" x14ac:dyDescent="0.2">
      <c r="C59" s="125">
        <v>5</v>
      </c>
      <c r="D59" s="137" t="str">
        <f xml:space="preserve"> INDEX( 'CALCS│Wholesale Totex'!$C$165:$C$181, MATCH( $H59, 'CALCS│Wholesale Totex'!$H$165:$H$181, 0 ) )</f>
        <v>SRN</v>
      </c>
      <c r="E59" s="136">
        <f xml:space="preserve"> VLOOKUP( $D59, 'CALCS│Wholesale Totex'!$C$165:$I$181, MATCH( E$32, 'CALCS│Wholesale Totex'!$C$2:$I$2, 0 ), 0 )</f>
        <v>-0.20534779090840971</v>
      </c>
      <c r="F59" s="136">
        <f xml:space="preserve"> VLOOKUP( $D59, 'CALCS│Wholesale Totex'!$C$165:$I$181, MATCH( F$32, 'CALCS│Wholesale Totex'!$C$2:$I$2, 0 ), 0 )</f>
        <v>-0.18843856737571726</v>
      </c>
      <c r="G59" s="136">
        <f xml:space="preserve"> VLOOKUP( $D59, 'CALCS│Wholesale Totex'!$C$165:$I$181, MATCH( G$32, 'CALCS│Wholesale Totex'!$C$2:$I$2, 0 ), 0 )</f>
        <v>-0.12969767683273678</v>
      </c>
      <c r="H59" s="126">
        <f xml:space="preserve"> SMALL( 'CALCS│Wholesale Totex'!$H$165:$H$181, $C59 )</f>
        <v>-7.6862866431460994E-2</v>
      </c>
    </row>
    <row r="60" spans="3:8" outlineLevel="1" x14ac:dyDescent="0.2">
      <c r="C60" s="125">
        <v>6</v>
      </c>
      <c r="D60" s="137" t="str">
        <f xml:space="preserve"> INDEX( 'CALCS│Wholesale Totex'!$C$165:$C$181, MATCH( $H60, 'CALCS│Wholesale Totex'!$H$165:$H$181, 0 ) )</f>
        <v>SEW</v>
      </c>
      <c r="E60" s="136">
        <f xml:space="preserve"> VLOOKUP( $D60, 'CALCS│Wholesale Totex'!$C$165:$I$181, MATCH( E$32, 'CALCS│Wholesale Totex'!$C$2:$I$2, 0 ), 0 )</f>
        <v>-3.1169709263015637E-2</v>
      </c>
      <c r="F60" s="136">
        <f xml:space="preserve"> VLOOKUP( $D60, 'CALCS│Wholesale Totex'!$C$165:$I$181, MATCH( F$32, 'CALCS│Wholesale Totex'!$C$2:$I$2, 0 ), 0 )</f>
        <v>-5.772547728768937E-2</v>
      </c>
      <c r="G60" s="136">
        <f xml:space="preserve"> VLOOKUP( $D60, 'CALCS│Wholesale Totex'!$C$165:$I$181, MATCH( G$32, 'CALCS│Wholesale Totex'!$C$2:$I$2, 0 ), 0 )</f>
        <v>-7.3888770509269092E-2</v>
      </c>
      <c r="H60" s="126">
        <f xml:space="preserve"> SMALL( 'CALCS│Wholesale Totex'!$H$165:$H$181, $C60 )</f>
        <v>-6.2521088651917758E-2</v>
      </c>
    </row>
    <row r="61" spans="3:8" outlineLevel="1" x14ac:dyDescent="0.2">
      <c r="C61" s="125">
        <v>7</v>
      </c>
      <c r="D61" s="137" t="str">
        <f xml:space="preserve"> INDEX( 'CALCS│Wholesale Totex'!$C$165:$C$181, MATCH( $H61, 'CALCS│Wholesale Totex'!$H$165:$H$181, 0 ) )</f>
        <v>SVE</v>
      </c>
      <c r="E61" s="136">
        <f xml:space="preserve"> VLOOKUP( $D61, 'CALCS│Wholesale Totex'!$C$165:$I$181, MATCH( E$32, 'CALCS│Wholesale Totex'!$C$2:$I$2, 0 ), 0 )</f>
        <v>-1.8955136998848199E-2</v>
      </c>
      <c r="F61" s="136">
        <f xml:space="preserve"> VLOOKUP( $D61, 'CALCS│Wholesale Totex'!$C$165:$I$181, MATCH( F$32, 'CALCS│Wholesale Totex'!$C$2:$I$2, 0 ), 0 )</f>
        <v>-7.3415264431931637E-2</v>
      </c>
      <c r="G61" s="136">
        <f xml:space="preserve"> VLOOKUP( $D61, 'CALCS│Wholesale Totex'!$C$165:$I$181, MATCH( G$32, 'CALCS│Wholesale Totex'!$C$2:$I$2, 0 ), 0 )</f>
        <v>-7.7625059801299592E-2</v>
      </c>
      <c r="H61" s="126">
        <f xml:space="preserve"> SMALL( 'CALCS│Wholesale Totex'!$H$165:$H$181, $C61 )</f>
        <v>-4.8201963435789572E-2</v>
      </c>
    </row>
    <row r="62" spans="3:8" outlineLevel="1" x14ac:dyDescent="0.2">
      <c r="C62" s="125">
        <v>8</v>
      </c>
      <c r="D62" s="137" t="str">
        <f xml:space="preserve"> INDEX( 'CALCS│Wholesale Totex'!$C$165:$C$181, MATCH( $H62, 'CALCS│Wholesale Totex'!$H$165:$H$181, 0 ) )</f>
        <v>BRL</v>
      </c>
      <c r="E62" s="136">
        <f xml:space="preserve"> VLOOKUP( $D62, 'CALCS│Wholesale Totex'!$C$165:$I$181, MATCH( E$32, 'CALCS│Wholesale Totex'!$C$2:$I$2, 0 ), 0 )</f>
        <v>-0.24834141150355812</v>
      </c>
      <c r="F62" s="136">
        <f xml:space="preserve"> VLOOKUP( $D62, 'CALCS│Wholesale Totex'!$C$165:$I$181, MATCH( F$32, 'CALCS│Wholesale Totex'!$C$2:$I$2, 0 ), 0 )</f>
        <v>-0.17647713950762017</v>
      </c>
      <c r="G62" s="136">
        <f xml:space="preserve"> VLOOKUP( $D62, 'CALCS│Wholesale Totex'!$C$165:$I$181, MATCH( G$32, 'CALCS│Wholesale Totex'!$C$2:$I$2, 0 ), 0 )</f>
        <v>-8.933149823043654E-2</v>
      </c>
      <c r="H62" s="126">
        <f xml:space="preserve"> SMALL( 'CALCS│Wholesale Totex'!$H$165:$H$181, $C62 )</f>
        <v>-4.2103017896448824E-2</v>
      </c>
    </row>
    <row r="63" spans="3:8" outlineLevel="1" x14ac:dyDescent="0.2">
      <c r="C63" s="125">
        <v>9</v>
      </c>
      <c r="D63" s="137" t="str">
        <f xml:space="preserve"> INDEX( 'CALCS│Wholesale Totex'!$C$165:$C$181, MATCH( $H63, 'CALCS│Wholesale Totex'!$H$165:$H$181, 0 ) )</f>
        <v>SES</v>
      </c>
      <c r="E63" s="136">
        <f xml:space="preserve"> VLOOKUP( $D63, 'CALCS│Wholesale Totex'!$C$165:$I$181, MATCH( E$32, 'CALCS│Wholesale Totex'!$C$2:$I$2, 0 ), 0 )</f>
        <v>-5.6137961228808576E-2</v>
      </c>
      <c r="F63" s="136">
        <f xml:space="preserve"> VLOOKUP( $D63, 'CALCS│Wholesale Totex'!$C$165:$I$181, MATCH( F$32, 'CALCS│Wholesale Totex'!$C$2:$I$2, 0 ), 0 )</f>
        <v>-5.5758599153385283E-2</v>
      </c>
      <c r="G63" s="136">
        <f xml:space="preserve"> VLOOKUP( $D63, 'CALCS│Wholesale Totex'!$C$165:$I$181, MATCH( G$32, 'CALCS│Wholesale Totex'!$C$2:$I$2, 0 ), 0 )</f>
        <v>-6.2131897952793398E-2</v>
      </c>
      <c r="H63" s="126">
        <f xml:space="preserve"> SMALL( 'CALCS│Wholesale Totex'!$H$165:$H$181, $C63 )</f>
        <v>-3.862754892991252E-2</v>
      </c>
    </row>
    <row r="64" spans="3:8" outlineLevel="1" x14ac:dyDescent="0.2">
      <c r="C64" s="125">
        <v>10</v>
      </c>
      <c r="D64" s="137" t="str">
        <f xml:space="preserve"> INDEX( 'CALCS│Wholesale Totex'!$C$165:$C$181, MATCH( $H64, 'CALCS│Wholesale Totex'!$H$165:$H$181, 0 ) )</f>
        <v>PRT</v>
      </c>
      <c r="E64" s="136">
        <f xml:space="preserve"> VLOOKUP( $D64, 'CALCS│Wholesale Totex'!$C$165:$I$181, MATCH( E$32, 'CALCS│Wholesale Totex'!$C$2:$I$2, 0 ), 0 )</f>
        <v>-6.7885117493472494E-2</v>
      </c>
      <c r="F64" s="136">
        <f xml:space="preserve"> VLOOKUP( $D64, 'CALCS│Wholesale Totex'!$C$165:$I$181, MATCH( F$32, 'CALCS│Wholesale Totex'!$C$2:$I$2, 0 ), 0 )</f>
        <v>-3.0569666182873649E-2</v>
      </c>
      <c r="G64" s="136">
        <f xml:space="preserve"> VLOOKUP( $D64, 'CALCS│Wholesale Totex'!$C$165:$I$181, MATCH( G$32, 'CALCS│Wholesale Totex'!$C$2:$I$2, 0 ), 0 )</f>
        <v>-9.5752006458659805E-2</v>
      </c>
      <c r="H64" s="126">
        <f xml:space="preserve"> SMALL( 'CALCS│Wholesale Totex'!$H$165:$H$181, $C64 )</f>
        <v>-3.8438449201215037E-2</v>
      </c>
    </row>
    <row r="65" spans="2:14" outlineLevel="1" x14ac:dyDescent="0.2">
      <c r="C65" s="125">
        <v>11</v>
      </c>
      <c r="D65" s="137" t="str">
        <f xml:space="preserve"> INDEX( 'CALCS│Wholesale Totex'!$C$165:$C$181, MATCH( $H65, 'CALCS│Wholesale Totex'!$H$165:$H$181, 0 ) )</f>
        <v>HDD</v>
      </c>
      <c r="E65" s="136">
        <f xml:space="preserve"> VLOOKUP( $D65, 'CALCS│Wholesale Totex'!$C$165:$I$181, MATCH( E$32, 'CALCS│Wholesale Totex'!$C$2:$I$2, 0 ), 0 )</f>
        <v>-0.24360924390363528</v>
      </c>
      <c r="F65" s="136">
        <f xml:space="preserve"> VLOOKUP( $D65, 'CALCS│Wholesale Totex'!$C$165:$I$181, MATCH( F$32, 'CALCS│Wholesale Totex'!$C$2:$I$2, 0 ), 0 )</f>
        <v>-0.22900002215771839</v>
      </c>
      <c r="G65" s="136">
        <f xml:space="preserve"> VLOOKUP( $D65, 'CALCS│Wholesale Totex'!$C$165:$I$181, MATCH( G$32, 'CALCS│Wholesale Totex'!$C$2:$I$2, 0 ), 0 )</f>
        <v>-0.10769277081232401</v>
      </c>
      <c r="H65" s="126">
        <f xml:space="preserve"> SMALL( 'CALCS│Wholesale Totex'!$H$165:$H$181, $C65 )</f>
        <v>-3.0323244428867028E-2</v>
      </c>
    </row>
    <row r="66" spans="2:14" outlineLevel="1" x14ac:dyDescent="0.2">
      <c r="C66" s="125">
        <v>12</v>
      </c>
      <c r="D66" s="137" t="str">
        <f xml:space="preserve"> INDEX( 'CALCS│Wholesale Totex'!$C$165:$C$181, MATCH( $H66, 'CALCS│Wholesale Totex'!$H$165:$H$181, 0 ) )</f>
        <v>AFW</v>
      </c>
      <c r="E66" s="136">
        <f xml:space="preserve"> VLOOKUP( $D66, 'CALCS│Wholesale Totex'!$C$165:$I$181, MATCH( E$32, 'CALCS│Wholesale Totex'!$C$2:$I$2, 0 ), 0 )</f>
        <v>-0.10541356492969364</v>
      </c>
      <c r="F66" s="136">
        <f xml:space="preserve"> VLOOKUP( $D66, 'CALCS│Wholesale Totex'!$C$165:$I$181, MATCH( F$32, 'CALCS│Wholesale Totex'!$C$2:$I$2, 0 ), 0 )</f>
        <v>-6.1664266611808204E-2</v>
      </c>
      <c r="G66" s="136">
        <f xml:space="preserve"> VLOOKUP( $D66, 'CALCS│Wholesale Totex'!$C$165:$I$181, MATCH( G$32, 'CALCS│Wholesale Totex'!$C$2:$I$2, 0 ), 0 )</f>
        <v>-2.655355097365401E-2</v>
      </c>
      <c r="H66" s="126">
        <f xml:space="preserve"> SMALL( 'CALCS│Wholesale Totex'!$H$165:$H$181, $C66 )</f>
        <v>-2.6393146865164286E-3</v>
      </c>
    </row>
    <row r="67" spans="2:14" outlineLevel="1" x14ac:dyDescent="0.2">
      <c r="C67" s="125">
        <v>13</v>
      </c>
      <c r="D67" s="137" t="str">
        <f xml:space="preserve"> INDEX( 'CALCS│Wholesale Totex'!$C$165:$C$181, MATCH( $H67, 'CALCS│Wholesale Totex'!$H$165:$H$181, 0 ) )</f>
        <v>YKY</v>
      </c>
      <c r="E67" s="136">
        <f xml:space="preserve"> VLOOKUP( $D67, 'CALCS│Wholesale Totex'!$C$165:$I$181, MATCH( E$32, 'CALCS│Wholesale Totex'!$C$2:$I$2, 0 ), 0 )</f>
        <v>-0.21966610230647537</v>
      </c>
      <c r="F67" s="136">
        <f xml:space="preserve"> VLOOKUP( $D67, 'CALCS│Wholesale Totex'!$C$165:$I$181, MATCH( F$32, 'CALCS│Wholesale Totex'!$C$2:$I$2, 0 ), 0 )</f>
        <v>-0.12802254314899617</v>
      </c>
      <c r="G67" s="136">
        <f xml:space="preserve"> VLOOKUP( $D67, 'CALCS│Wholesale Totex'!$C$165:$I$181, MATCH( G$32, 'CALCS│Wholesale Totex'!$C$2:$I$2, 0 ), 0 )</f>
        <v>-7.4378508035500085E-2</v>
      </c>
      <c r="H67" s="126">
        <f xml:space="preserve"> SMALL( 'CALCS│Wholesale Totex'!$H$165:$H$181, $C67 )</f>
        <v>-2.5636009393322103E-4</v>
      </c>
    </row>
    <row r="68" spans="2:14" outlineLevel="1" x14ac:dyDescent="0.2">
      <c r="C68" s="125">
        <v>14</v>
      </c>
      <c r="D68" s="137" t="str">
        <f xml:space="preserve"> INDEX( 'CALCS│Wholesale Totex'!$C$165:$C$181, MATCH( $H68, 'CALCS│Wholesale Totex'!$H$165:$H$181, 0 ) )</f>
        <v>SSC</v>
      </c>
      <c r="E68" s="136">
        <f xml:space="preserve"> VLOOKUP( $D68, 'CALCS│Wholesale Totex'!$C$165:$I$181, MATCH( E$32, 'CALCS│Wholesale Totex'!$C$2:$I$2, 0 ), 0 )</f>
        <v>-5.4677817955678505E-2</v>
      </c>
      <c r="F68" s="136">
        <f xml:space="preserve"> VLOOKUP( $D68, 'CALCS│Wholesale Totex'!$C$165:$I$181, MATCH( F$32, 'CALCS│Wholesale Totex'!$C$2:$I$2, 0 ), 0 )</f>
        <v>-3.691949225013956E-2</v>
      </c>
      <c r="G68" s="136">
        <f xml:space="preserve"> VLOOKUP( $D68, 'CALCS│Wholesale Totex'!$C$165:$I$181, MATCH( G$32, 'CALCS│Wholesale Totex'!$C$2:$I$2, 0 ), 0 )</f>
        <v>-6.7620093532759721E-3</v>
      </c>
      <c r="H68" s="126">
        <f xml:space="preserve"> SMALL( 'CALCS│Wholesale Totex'!$H$165:$H$181, $C68 )</f>
        <v>4.2542211614441773E-3</v>
      </c>
    </row>
    <row r="69" spans="2:14" outlineLevel="1" x14ac:dyDescent="0.2">
      <c r="C69" s="125">
        <v>15</v>
      </c>
      <c r="D69" s="137" t="str">
        <f xml:space="preserve"> INDEX( 'CALCS│Wholesale Totex'!$C$165:$C$181, MATCH( $H69, 'CALCS│Wholesale Totex'!$H$165:$H$181, 0 ) )</f>
        <v>WSH</v>
      </c>
      <c r="E69" s="136">
        <f xml:space="preserve"> VLOOKUP( $D69, 'CALCS│Wholesale Totex'!$C$165:$I$181, MATCH( E$32, 'CALCS│Wholesale Totex'!$C$2:$I$2, 0 ), 0 )</f>
        <v>-0.18255046289270013</v>
      </c>
      <c r="F69" s="136">
        <f xml:space="preserve"> VLOOKUP( $D69, 'CALCS│Wholesale Totex'!$C$165:$I$181, MATCH( F$32, 'CALCS│Wholesale Totex'!$C$2:$I$2, 0 ), 0 )</f>
        <v>-7.3854803940373567E-2</v>
      </c>
      <c r="G69" s="136">
        <f xml:space="preserve"> VLOOKUP( $D69, 'CALCS│Wholesale Totex'!$C$165:$I$181, MATCH( G$32, 'CALCS│Wholesale Totex'!$C$2:$I$2, 0 ), 0 )</f>
        <v>-9.323780736365259E-3</v>
      </c>
      <c r="H69" s="126">
        <f xml:space="preserve"> SMALL( 'CALCS│Wholesale Totex'!$H$165:$H$181, $C69 )</f>
        <v>4.2841076603991959E-2</v>
      </c>
    </row>
    <row r="70" spans="2:14" outlineLevel="1" x14ac:dyDescent="0.2">
      <c r="C70" s="125">
        <v>16</v>
      </c>
      <c r="D70" s="137" t="str">
        <f xml:space="preserve"> INDEX( 'CALCS│Wholesale Totex'!$C$165:$C$181, MATCH( $H70, 'CALCS│Wholesale Totex'!$H$165:$H$181, 0 ) )</f>
        <v>TMS</v>
      </c>
      <c r="E70" s="136">
        <f xml:space="preserve"> VLOOKUP( $D70, 'CALCS│Wholesale Totex'!$C$165:$I$181, MATCH( E$32, 'CALCS│Wholesale Totex'!$C$2:$I$2, 0 ), 0 )</f>
        <v>3.5091960603805684E-2</v>
      </c>
      <c r="F70" s="136">
        <f xml:space="preserve"> VLOOKUP( $D70, 'CALCS│Wholesale Totex'!$C$165:$I$181, MATCH( F$32, 'CALCS│Wholesale Totex'!$C$2:$I$2, 0 ), 0 )</f>
        <v>4.2708379882725314E-2</v>
      </c>
      <c r="G70" s="136">
        <f xml:space="preserve"> VLOOKUP( $D70, 'CALCS│Wholesale Totex'!$C$165:$I$181, MATCH( G$32, 'CALCS│Wholesale Totex'!$C$2:$I$2, 0 ), 0 )</f>
        <v>4.1916224584820194E-2</v>
      </c>
      <c r="H70" s="126">
        <f xml:space="preserve"> SMALL( 'CALCS│Wholesale Totex'!$H$165:$H$181, $C70 )</f>
        <v>6.3487531339175687E-2</v>
      </c>
    </row>
    <row r="71" spans="2:14" outlineLevel="1" x14ac:dyDescent="0.2">
      <c r="C71" s="125">
        <v>17</v>
      </c>
      <c r="D71" s="137" t="str">
        <f xml:space="preserve"> INDEX( 'CALCS│Wholesale Totex'!$C$165:$C$181, MATCH( $H71, 'CALCS│Wholesale Totex'!$H$165:$H$181, 0 ) )</f>
        <v>UU</v>
      </c>
      <c r="E71" s="136">
        <f xml:space="preserve"> VLOOKUP( $D71, 'CALCS│Wholesale Totex'!$C$165:$I$181, MATCH( E$32, 'CALCS│Wholesale Totex'!$C$2:$I$2, 0 ), 0 )</f>
        <v>0.15128554430412489</v>
      </c>
      <c r="F71" s="136">
        <f xml:space="preserve"> VLOOKUP( $D71, 'CALCS│Wholesale Totex'!$C$165:$I$181, MATCH( F$32, 'CALCS│Wholesale Totex'!$C$2:$I$2, 0 ), 0 )</f>
        <v>0.13149115973681241</v>
      </c>
      <c r="G71" s="136">
        <f xml:space="preserve"> VLOOKUP( $D71, 'CALCS│Wholesale Totex'!$C$165:$I$181, MATCH( G$32, 'CALCS│Wholesale Totex'!$C$2:$I$2, 0 ), 0 )</f>
        <v>9.8226529223528716E-2</v>
      </c>
      <c r="H71" s="126">
        <f xml:space="preserve"> SMALL( 'CALCS│Wholesale Totex'!$H$165:$H$181, $C71 )</f>
        <v>7.3268047251425536E-2</v>
      </c>
    </row>
    <row r="72" spans="2:14" outlineLevel="1" x14ac:dyDescent="0.2">
      <c r="D72" s="81" t="s">
        <v>257</v>
      </c>
      <c r="E72" s="136">
        <f>'CALCS│Wholesale Totex'!E183</f>
        <v>-5.7068575113307353E-2</v>
      </c>
      <c r="F72" s="136">
        <f>'CALCS│Wholesale Totex'!F183</f>
        <v>-5.7117581144626915E-2</v>
      </c>
      <c r="G72" s="136">
        <f>'CALCS│Wholesale Totex'!G183</f>
        <v>-4.1392446505114262E-2</v>
      </c>
      <c r="H72" s="136">
        <f>'CALCS│Wholesale Totex'!H183</f>
        <v>-1.6117701503916407E-2</v>
      </c>
    </row>
    <row r="74" spans="2:14" ht="13.5" x14ac:dyDescent="0.25">
      <c r="B74" s="9" t="s">
        <v>526</v>
      </c>
      <c r="C74" s="9"/>
      <c r="D74" s="9"/>
      <c r="E74" s="10"/>
      <c r="F74" s="9"/>
      <c r="G74" s="9"/>
      <c r="H74" s="9"/>
      <c r="I74" s="9"/>
      <c r="J74" s="9"/>
      <c r="K74" s="9"/>
      <c r="L74" s="9"/>
      <c r="M74" s="9"/>
      <c r="N74" s="9"/>
    </row>
    <row r="76" spans="2:14" ht="13.5" x14ac:dyDescent="0.25">
      <c r="B76" s="36" t="s">
        <v>527</v>
      </c>
      <c r="C76" s="36"/>
      <c r="D76" s="36"/>
      <c r="E76" s="36"/>
      <c r="F76" s="36"/>
      <c r="G76" s="36"/>
      <c r="H76" s="36"/>
      <c r="I76" s="36" t="s">
        <v>573</v>
      </c>
      <c r="J76" s="36"/>
      <c r="K76" s="36"/>
      <c r="L76" s="36"/>
      <c r="M76" s="36"/>
      <c r="N76" s="36"/>
    </row>
    <row r="78" spans="2:14" ht="57" customHeight="1" x14ac:dyDescent="0.2">
      <c r="C78" s="354" t="s">
        <v>344</v>
      </c>
      <c r="D78" s="354" t="str">
        <f xml:space="preserve"> "Cumulative performance 2015-" &amp; RIGHT( Last_year, 2 )</f>
        <v>Cumulative performance 2015-18</v>
      </c>
      <c r="E78" s="354" t="str">
        <f xml:space="preserve"> "Improvement to 2015-" &amp; RIGHT( Year, 2 )</f>
        <v>Improvement to 2015-19</v>
      </c>
      <c r="I78" s="294"/>
      <c r="J78" s="351" t="s">
        <v>528</v>
      </c>
      <c r="K78" s="351" t="s">
        <v>529</v>
      </c>
      <c r="L78" s="355" t="str">
        <f xml:space="preserve"> "Cumulative performance 2015-" &amp; RIGHT( Year, 2 )</f>
        <v>Cumulative performance 2015-19</v>
      </c>
      <c r="M78" s="356"/>
    </row>
    <row r="79" spans="2:14" s="84" customFormat="1" ht="15.95" customHeight="1" x14ac:dyDescent="0.2">
      <c r="B79" s="266"/>
      <c r="C79" s="215" t="s">
        <v>79</v>
      </c>
      <c r="D79" s="206">
        <f xml:space="preserve"> VLOOKUP( $C79, 'CALCS│Residential Retail'!$C$329:$I$345, MATCH( Last_year, 'CALCS│Residential Retail'!$C$2:$I$2, 0 ), 0 )</f>
        <v>-4.4026444868816928E-3</v>
      </c>
      <c r="E79" s="126">
        <f t="shared" ref="E79:E95" si="1" xml:space="preserve"> IFERROR( ( M79 - D79 ) / ABS( D79 ), "-" )</f>
        <v>0.79610919383175704</v>
      </c>
      <c r="F79" s="266"/>
      <c r="G79" s="266"/>
      <c r="H79" s="266"/>
      <c r="I79" s="350" t="str">
        <f xml:space="preserve"> VLOOKUP( $C79, 'Map &amp; Key'!$C$70:$D$90, 2, 0 )</f>
        <v>Anglian Water</v>
      </c>
      <c r="J79" s="295">
        <f xml:space="preserve"> VLOOKUP( $C79, 'CALCS│Residential Retail'!$C$289:$I$305, MATCH( Year, 'CALCS│Residential Retail'!$C$2:$I$2, 0 ), 0 )</f>
        <v>295.90535806159147</v>
      </c>
      <c r="K79" s="295">
        <f xml:space="preserve"> VLOOKUP( $C79, 'CALCS│Residential Retail'!$C$269:$I$285, MATCH( Year, 'CALCS│Residential Retail'!$C$2:$I$2, 0 ), 0 )</f>
        <v>296.17121874276722</v>
      </c>
      <c r="L79" s="127" t="str">
        <f xml:space="preserve"> IF( ABS( E79 ) &lt;= 0.01, 'Map &amp; Key'!$C$63, IF( E79 &gt; 0, 'Map &amp; Key'!$C$65, 'Map &amp; Key'!$C$64 ) )</f>
        <v>▼</v>
      </c>
      <c r="M79" s="380">
        <f xml:space="preserve"> VLOOKUP( $C79, 'CALCS│Residential Retail'!$C$329:$I$345, MATCH( Year, 'CALCS│Residential Retail'!$C$2:$I$2, 0 ), 0 )</f>
        <v>-8.9765873370247862E-4</v>
      </c>
      <c r="N79" s="266"/>
    </row>
    <row r="80" spans="2:14" s="84" customFormat="1" ht="15.95" customHeight="1" x14ac:dyDescent="0.2">
      <c r="B80" s="266"/>
      <c r="C80" s="215" t="s">
        <v>81</v>
      </c>
      <c r="D80" s="206">
        <f xml:space="preserve"> VLOOKUP( $C80, 'CALCS│Residential Retail'!$C$329:$I$345, MATCH( Last_year, 'CALCS│Residential Retail'!$C$2:$I$2, 0 ), 0 )</f>
        <v>0.1229621510665701</v>
      </c>
      <c r="E80" s="126">
        <f t="shared" si="1"/>
        <v>1.27990533586591E-2</v>
      </c>
      <c r="F80" s="266"/>
      <c r="G80" s="266"/>
      <c r="H80" s="266"/>
      <c r="I80" s="350" t="str">
        <f xml:space="preserve"> VLOOKUP( $C80, 'Map &amp; Key'!$C$70:$D$90, 2, 0 )</f>
        <v>Dŵr Cymru</v>
      </c>
      <c r="J80" s="353">
        <f xml:space="preserve"> VLOOKUP( $C80, 'CALCS│Residential Retail'!$C$289:$I$305, MATCH( Year, 'CALCS│Residential Retail'!$C$2:$I$2, 0 ), 0 )</f>
        <v>234.678</v>
      </c>
      <c r="K80" s="353">
        <f xml:space="preserve"> VLOOKUP( $C80, 'CALCS│Residential Retail'!$C$269:$I$285, MATCH( Year, 'CALCS│Residential Retail'!$C$2:$I$2, 0 ), 0 )</f>
        <v>208.68874841968028</v>
      </c>
      <c r="L80" s="128" t="str">
        <f xml:space="preserve"> IF( ABS( E80 ) &lt;= 0.01, 'Map &amp; Key'!$C$63, IF( E80 &gt; 0, 'Map &amp; Key'!$C$65, 'Map &amp; Key'!$C$64 ) )</f>
        <v>▼</v>
      </c>
      <c r="M80" s="380">
        <f xml:space="preserve"> VLOOKUP( $C80, 'CALCS│Residential Retail'!$C$329:$I$345, MATCH( Year, 'CALCS│Residential Retail'!$C$2:$I$2, 0 ), 0 )</f>
        <v>0.12453595019916663</v>
      </c>
      <c r="N80" s="266"/>
    </row>
    <row r="81" spans="3:13" s="84" customFormat="1" ht="15.95" customHeight="1" x14ac:dyDescent="0.2">
      <c r="C81" s="215" t="s">
        <v>84</v>
      </c>
      <c r="D81" s="206">
        <f xml:space="preserve"> VLOOKUP( $C81, 'CALCS│Residential Retail'!$C$329:$I$345, MATCH( Last_year, 'CALCS│Residential Retail'!$C$2:$I$2, 0 ), 0 )</f>
        <v>-8.3628160109658289E-2</v>
      </c>
      <c r="E81" s="126">
        <f t="shared" si="1"/>
        <v>0.60978568204240824</v>
      </c>
      <c r="F81" s="266"/>
      <c r="G81" s="266"/>
      <c r="H81" s="266"/>
      <c r="I81" s="350" t="str">
        <f xml:space="preserve"> VLOOKUP( $C81, 'Map &amp; Key'!$C$70:$D$90, 2, 0 )</f>
        <v>Hafren Dyfrdwy</v>
      </c>
      <c r="J81" s="295">
        <f xml:space="preserve"> VLOOKUP( $C81, 'CALCS│Residential Retail'!$C$289:$I$305, MATCH( Year, 'CALCS│Residential Retail'!$C$2:$I$2, 0 ), 0 )</f>
        <v>10.297412188020857</v>
      </c>
      <c r="K81" s="295">
        <f xml:space="preserve"> VLOOKUP( $C81, 'CALCS│Residential Retail'!$C$269:$I$285, MATCH( Year, 'CALCS│Residential Retail'!$C$2:$I$2, 0 ), 0 )</f>
        <v>10.644782364557637</v>
      </c>
      <c r="L81" s="127" t="s">
        <v>322</v>
      </c>
      <c r="M81" s="380">
        <f xml:space="preserve"> VLOOKUP( $C81, 'CALCS│Residential Retail'!$C$329:$I$345, MATCH( Year, 'CALCS│Residential Retail'!$C$2:$I$2, 0 ), 0 )</f>
        <v>-3.2632905459238595E-2</v>
      </c>
    </row>
    <row r="82" spans="3:13" s="84" customFormat="1" ht="15.95" customHeight="1" x14ac:dyDescent="0.2">
      <c r="C82" s="215" t="s">
        <v>86</v>
      </c>
      <c r="D82" s="206">
        <f xml:space="preserve"> VLOOKUP( $C82, 'CALCS│Residential Retail'!$C$329:$I$345, MATCH( Last_year, 'CALCS│Residential Retail'!$C$2:$I$2, 0 ), 0 )</f>
        <v>-0.1217108174927462</v>
      </c>
      <c r="E82" s="126">
        <f t="shared" si="1"/>
        <v>0.3687312207599035</v>
      </c>
      <c r="F82" s="266"/>
      <c r="G82" s="266"/>
      <c r="H82" s="266"/>
      <c r="I82" s="350" t="str">
        <f xml:space="preserve"> VLOOKUP( $C82, 'Map &amp; Key'!$C$70:$D$90, 2, 0 )</f>
        <v>Northumbrian Water</v>
      </c>
      <c r="J82" s="353">
        <f xml:space="preserve"> VLOOKUP( $C82, 'CALCS│Residential Retail'!$C$289:$I$305, MATCH( Year, 'CALCS│Residential Retail'!$C$2:$I$2, 0 ), 0 )</f>
        <v>195.20500000000001</v>
      </c>
      <c r="K82" s="353">
        <f xml:space="preserve"> VLOOKUP( $C82, 'CALCS│Residential Retail'!$C$269:$I$285, MATCH( Year, 'CALCS│Residential Retail'!$C$2:$I$2, 0 ), 0 )</f>
        <v>211.45127493012762</v>
      </c>
      <c r="L82" s="128" t="str">
        <f xml:space="preserve"> IF( ABS( E82 ) &lt;= 0.01, 'Map &amp; Key'!$C$63, IF( E82 &gt; 0, 'Map &amp; Key'!$C$65, 'Map &amp; Key'!$C$64 ) )</f>
        <v>▼</v>
      </c>
      <c r="M82" s="380">
        <f xml:space="preserve"> VLOOKUP( $C82, 'CALCS│Residential Retail'!$C$329:$I$345, MATCH( Year, 'CALCS│Residential Retail'!$C$2:$I$2, 0 ), 0 )</f>
        <v>-7.6832239178960079E-2</v>
      </c>
    </row>
    <row r="83" spans="3:13" s="84" customFormat="1" ht="15.95" customHeight="1" x14ac:dyDescent="0.2">
      <c r="C83" s="215" t="s">
        <v>88</v>
      </c>
      <c r="D83" s="206">
        <f xml:space="preserve"> VLOOKUP( $C83, 'CALCS│Residential Retail'!$C$329:$I$345, MATCH( Last_year, 'CALCS│Residential Retail'!$C$2:$I$2, 0 ), 0 )</f>
        <v>-0.20003333820398661</v>
      </c>
      <c r="E83" s="126">
        <f t="shared" si="1"/>
        <v>8.7316275194124271E-2</v>
      </c>
      <c r="F83" s="266"/>
      <c r="G83" s="266"/>
      <c r="H83" s="266"/>
      <c r="I83" s="350" t="str">
        <f xml:space="preserve"> VLOOKUP( $C83, 'Map &amp; Key'!$C$70:$D$90, 2, 0 )</f>
        <v>Severn Trent Water</v>
      </c>
      <c r="J83" s="295">
        <f xml:space="preserve"> VLOOKUP( $C83, 'CALCS│Residential Retail'!$C$289:$I$305, MATCH( Year, 'CALCS│Residential Retail'!$C$2:$I$2, 0 ), 0 )</f>
        <v>364.70600000000002</v>
      </c>
      <c r="K83" s="295">
        <f xml:space="preserve"> VLOOKUP( $C83, 'CALCS│Residential Retail'!$C$269:$I$285, MATCH( Year, 'CALCS│Residential Retail'!$C$2:$I$2, 0 ), 0 )</f>
        <v>446.1602074146914</v>
      </c>
      <c r="L83" s="127" t="s">
        <v>322</v>
      </c>
      <c r="M83" s="380">
        <f xml:space="preserve"> VLOOKUP( $C83, 'CALCS│Residential Retail'!$C$329:$I$345, MATCH( Year, 'CALCS│Residential Retail'!$C$2:$I$2, 0 ), 0 )</f>
        <v>-0.18256717219736798</v>
      </c>
    </row>
    <row r="84" spans="3:13" s="84" customFormat="1" ht="15.95" customHeight="1" x14ac:dyDescent="0.2">
      <c r="C84" s="215" t="s">
        <v>90</v>
      </c>
      <c r="D84" s="206">
        <f xml:space="preserve"> VLOOKUP( $C84, 'CALCS│Residential Retail'!$C$329:$I$345, MATCH( Last_year, 'CALCS│Residential Retail'!$C$2:$I$2, 0 ), 0 )</f>
        <v>-2.9667371033854337E-2</v>
      </c>
      <c r="E84" s="126">
        <f t="shared" si="1"/>
        <v>-1.4574948567113013</v>
      </c>
      <c r="F84" s="266"/>
      <c r="G84" s="266"/>
      <c r="H84" s="266"/>
      <c r="I84" s="350" t="str">
        <f xml:space="preserve"> VLOOKUP( $C84, 'Map &amp; Key'!$C$70:$D$90, 2, 0 )</f>
        <v>South West Water</v>
      </c>
      <c r="J84" s="353">
        <f xml:space="preserve"> VLOOKUP( $C84, 'CALCS│Residential Retail'!$C$289:$I$305, MATCH( Year, 'CALCS│Residential Retail'!$C$2:$I$2, 0 ), 0 )</f>
        <v>125.688</v>
      </c>
      <c r="K84" s="353">
        <f xml:space="preserve"> VLOOKUP( $C84, 'CALCS│Residential Retail'!$C$269:$I$285, MATCH( Year, 'CALCS│Residential Retail'!$C$2:$I$2, 0 ), 0 )</f>
        <v>135.57221963584834</v>
      </c>
      <c r="L84" s="128" t="str">
        <f xml:space="preserve"> IF( ABS( E84 ) &lt;= 0.01, 'Map &amp; Key'!$C$63, IF( E84 &gt; 0, 'Map &amp; Key'!$C$65, 'Map &amp; Key'!$C$64 ) )</f>
        <v>▲</v>
      </c>
      <c r="M84" s="380">
        <f xml:space="preserve"> VLOOKUP( $C84, 'CALCS│Residential Retail'!$C$329:$I$345, MATCH( Year, 'CALCS│Residential Retail'!$C$2:$I$2, 0 ), 0 )</f>
        <v>-7.2907411727842875E-2</v>
      </c>
    </row>
    <row r="85" spans="3:13" s="84" customFormat="1" ht="15.95" customHeight="1" x14ac:dyDescent="0.2">
      <c r="C85" s="215" t="s">
        <v>93</v>
      </c>
      <c r="D85" s="206">
        <f xml:space="preserve"> VLOOKUP( $C85, 'CALCS│Residential Retail'!$C$329:$I$345, MATCH( Last_year, 'CALCS│Residential Retail'!$C$2:$I$2, 0 ), 0 )</f>
        <v>0.34235119144251436</v>
      </c>
      <c r="E85" s="126">
        <f t="shared" si="1"/>
        <v>-8.4605786174595979E-2</v>
      </c>
      <c r="F85" s="266"/>
      <c r="G85" s="266"/>
      <c r="H85" s="266"/>
      <c r="I85" s="350" t="str">
        <f xml:space="preserve"> VLOOKUP( $C85, 'Map &amp; Key'!$C$70:$D$90, 2, 0 )</f>
        <v>Southern Water</v>
      </c>
      <c r="J85" s="295">
        <f xml:space="preserve"> VLOOKUP( $C85, 'CALCS│Residential Retail'!$C$289:$I$305, MATCH( Year, 'CALCS│Residential Retail'!$C$2:$I$2, 0 ), 0 )</f>
        <v>306.15199999999999</v>
      </c>
      <c r="K85" s="295">
        <f xml:space="preserve"> VLOOKUP( $C85, 'CALCS│Residential Retail'!$C$269:$I$285, MATCH( Year, 'CALCS│Residential Retail'!$C$2:$I$2, 0 ), 0 )</f>
        <v>233.10125898220076</v>
      </c>
      <c r="L85" s="127" t="str">
        <f xml:space="preserve"> IF( ABS( E85 ) &lt;= 0.01, 'Map &amp; Key'!$C$63, IF( E85 &gt; 0, 'Map &amp; Key'!$C$65, 'Map &amp; Key'!$C$64 ) )</f>
        <v>▲</v>
      </c>
      <c r="M85" s="380">
        <f xml:space="preserve"> VLOOKUP( $C85, 'CALCS│Residential Retail'!$C$329:$I$345, MATCH( Year, 'CALCS│Residential Retail'!$C$2:$I$2, 0 ), 0 )</f>
        <v>0.31338629974271082</v>
      </c>
    </row>
    <row r="86" spans="3:13" s="84" customFormat="1" ht="15.95" customHeight="1" x14ac:dyDescent="0.2">
      <c r="C86" s="215" t="s">
        <v>95</v>
      </c>
      <c r="D86" s="206">
        <f xml:space="preserve"> VLOOKUP( $C86, 'CALCS│Residential Retail'!$C$329:$I$345, MATCH( Last_year, 'CALCS│Residential Retail'!$C$2:$I$2, 0 ), 0 )</f>
        <v>8.6542823314248007E-2</v>
      </c>
      <c r="E86" s="126">
        <f t="shared" si="1"/>
        <v>0.21353258262726044</v>
      </c>
      <c r="F86" s="266"/>
      <c r="G86" s="266"/>
      <c r="H86" s="266"/>
      <c r="I86" s="350" t="str">
        <f xml:space="preserve"> VLOOKUP( $C86, 'Map &amp; Key'!$C$70:$D$90, 2, 0 )</f>
        <v>Thames Water</v>
      </c>
      <c r="J86" s="353">
        <f xml:space="preserve"> VLOOKUP( $C86, 'CALCS│Residential Retail'!$C$289:$I$305, MATCH( Year, 'CALCS│Residential Retail'!$C$2:$I$2, 0 ), 0 )</f>
        <v>675.94093973624706</v>
      </c>
      <c r="K86" s="353">
        <f xml:space="preserve"> VLOOKUP( $C86, 'CALCS│Residential Retail'!$C$269:$I$285, MATCH( Year, 'CALCS│Residential Retail'!$C$2:$I$2, 0 ), 0 )</f>
        <v>611.69878241013816</v>
      </c>
      <c r="L86" s="128" t="str">
        <f xml:space="preserve"> IF( ABS( E86 ) &lt;= 0.01, 'Map &amp; Key'!$C$63, IF( E86 &gt; 0, 'Map &amp; Key'!$C$65, 'Map &amp; Key'!$C$64 ) )</f>
        <v>▼</v>
      </c>
      <c r="M86" s="380">
        <f xml:space="preserve"> VLOOKUP( $C86, 'CALCS│Residential Retail'!$C$329:$I$345, MATCH( Year, 'CALCS│Residential Retail'!$C$2:$I$2, 0 ), 0 )</f>
        <v>0.10502253588439407</v>
      </c>
    </row>
    <row r="87" spans="3:13" s="84" customFormat="1" ht="15.95" customHeight="1" x14ac:dyDescent="0.2">
      <c r="C87" s="215" t="s">
        <v>97</v>
      </c>
      <c r="D87" s="206">
        <f xml:space="preserve"> VLOOKUP( $C87, 'CALCS│Residential Retail'!$C$329:$I$345, MATCH( Last_year, 'CALCS│Residential Retail'!$C$2:$I$2, 0 ), 0 )</f>
        <v>-3.0574011206206841E-2</v>
      </c>
      <c r="E87" s="126">
        <f t="shared" si="1"/>
        <v>0.48874062107761912</v>
      </c>
      <c r="F87" s="266"/>
      <c r="G87" s="266"/>
      <c r="H87" s="266"/>
      <c r="I87" s="350" t="str">
        <f xml:space="preserve"> VLOOKUP( $C87, 'Map &amp; Key'!$C$70:$D$90, 2, 0 )</f>
        <v>United Utilities</v>
      </c>
      <c r="J87" s="295">
        <f xml:space="preserve"> VLOOKUP( $C87, 'CALCS│Residential Retail'!$C$289:$I$305, MATCH( Year, 'CALCS│Residential Retail'!$C$2:$I$2, 0 ), 0 )</f>
        <v>459.31402387410725</v>
      </c>
      <c r="K87" s="295">
        <f xml:space="preserve"> VLOOKUP( $C87, 'CALCS│Residential Retail'!$C$269:$I$285, MATCH( Year, 'CALCS│Residential Retail'!$C$2:$I$2, 0 ), 0 )</f>
        <v>466.60768524497109</v>
      </c>
      <c r="L87" s="127" t="str">
        <f xml:space="preserve"> IF( ABS( E87 ) &lt;= 0.01, 'Map &amp; Key'!$C$63, IF( E87 &gt; 0, 'Map &amp; Key'!$C$65, 'Map &amp; Key'!$C$64 ) )</f>
        <v>▼</v>
      </c>
      <c r="M87" s="380">
        <f xml:space="preserve"> VLOOKUP( $C87, 'CALCS│Residential Retail'!$C$329:$I$345, MATCH( Year, 'CALCS│Residential Retail'!$C$2:$I$2, 0 ), 0 )</f>
        <v>-1.5631249980451224E-2</v>
      </c>
    </row>
    <row r="88" spans="3:13" s="84" customFormat="1" ht="15.95" customHeight="1" x14ac:dyDescent="0.2">
      <c r="C88" s="215" t="s">
        <v>99</v>
      </c>
      <c r="D88" s="206">
        <f xml:space="preserve"> VLOOKUP( $C88, 'CALCS│Residential Retail'!$C$329:$I$345, MATCH( Last_year, 'CALCS│Residential Retail'!$C$2:$I$2, 0 ), 0 )</f>
        <v>-0.10675974477003251</v>
      </c>
      <c r="E88" s="126">
        <f t="shared" si="1"/>
        <v>0.32550054552257046</v>
      </c>
      <c r="F88" s="266"/>
      <c r="G88" s="266"/>
      <c r="H88" s="266"/>
      <c r="I88" s="350" t="str">
        <f xml:space="preserve"> VLOOKUP( $C88, 'Map &amp; Key'!$C$70:$D$90, 2, 0 )</f>
        <v>Wessex Water</v>
      </c>
      <c r="J88" s="353">
        <f xml:space="preserve"> VLOOKUP( $C88, 'CALCS│Residential Retail'!$C$289:$I$305, MATCH( Year, 'CALCS│Residential Retail'!$C$2:$I$2, 0 ), 0 )</f>
        <v>117.7568471742881</v>
      </c>
      <c r="K88" s="353">
        <f xml:space="preserve"> VLOOKUP( $C88, 'CALCS│Residential Retail'!$C$269:$I$285, MATCH( Year, 'CALCS│Residential Retail'!$C$2:$I$2, 0 ), 0 )</f>
        <v>126.89443821472145</v>
      </c>
      <c r="L88" s="128" t="str">
        <f xml:space="preserve"> IF( ABS( E88 ) &lt;= 0.01, 'Map &amp; Key'!$C$63, IF( E88 &gt; 0, 'Map &amp; Key'!$C$65, 'Map &amp; Key'!$C$64 ) )</f>
        <v>▼</v>
      </c>
      <c r="M88" s="380">
        <f xml:space="preserve"> VLOOKUP( $C88, 'CALCS│Residential Retail'!$C$329:$I$345, MATCH( Year, 'CALCS│Residential Retail'!$C$2:$I$2, 0 ), 0 )</f>
        <v>-7.2009389607536542E-2</v>
      </c>
    </row>
    <row r="89" spans="3:13" s="84" customFormat="1" ht="15.95" customHeight="1" x14ac:dyDescent="0.2">
      <c r="C89" s="215" t="s">
        <v>101</v>
      </c>
      <c r="D89" s="206">
        <f xml:space="preserve"> VLOOKUP( $C89, 'CALCS│Residential Retail'!$C$329:$I$345, MATCH( Last_year, 'CALCS│Residential Retail'!$C$2:$I$2, 0 ), 0 )</f>
        <v>-1.6894710779187892E-2</v>
      </c>
      <c r="E89" s="126">
        <f t="shared" si="1"/>
        <v>1.2243485388326847</v>
      </c>
      <c r="F89" s="266"/>
      <c r="G89" s="266"/>
      <c r="H89" s="266"/>
      <c r="I89" s="350" t="str">
        <f xml:space="preserve"> VLOOKUP( $C89, 'Map &amp; Key'!$C$70:$D$90, 2, 0 )</f>
        <v>Yorkshire Water</v>
      </c>
      <c r="J89" s="295">
        <f xml:space="preserve"> VLOOKUP( $C89, 'CALCS│Residential Retail'!$C$289:$I$305, MATCH( Year, 'CALCS│Residential Retail'!$C$2:$I$2, 0 ), 0 )</f>
        <v>228.6173</v>
      </c>
      <c r="K89" s="295">
        <f xml:space="preserve"> VLOOKUP( $C89, 'CALCS│Residential Retail'!$C$269:$I$285, MATCH( Year, 'CALCS│Residential Retail'!$C$2:$I$2, 0 ), 0 )</f>
        <v>227.75404301324431</v>
      </c>
      <c r="L89" s="127" t="str">
        <f xml:space="preserve"> IF( ABS( E89 ) &lt;= 0.01, 'Map &amp; Key'!$C$63, IF( E89 &gt; 0, 'Map &amp; Key'!$C$65, 'Map &amp; Key'!$C$64 ) )</f>
        <v>▼</v>
      </c>
      <c r="M89" s="380">
        <f xml:space="preserve"> VLOOKUP( $C89, 'CALCS│Residential Retail'!$C$329:$I$345, MATCH( Year, 'CALCS│Residential Retail'!$C$2:$I$2, 0 ), 0 )</f>
        <v>3.790303677311611E-3</v>
      </c>
    </row>
    <row r="90" spans="3:13" s="84" customFormat="1" ht="15.95" customHeight="1" x14ac:dyDescent="0.2">
      <c r="C90" s="215" t="s">
        <v>103</v>
      </c>
      <c r="D90" s="206">
        <f xml:space="preserve"> VLOOKUP( $C90, 'CALCS│Residential Retail'!$C$329:$I$345, MATCH( Last_year, 'CALCS│Residential Retail'!$C$2:$I$2, 0 ), 0 )</f>
        <v>0.15214603893965542</v>
      </c>
      <c r="E90" s="126">
        <f t="shared" si="1"/>
        <v>-0.13051812192697859</v>
      </c>
      <c r="F90" s="266"/>
      <c r="G90" s="266"/>
      <c r="H90" s="266"/>
      <c r="I90" s="350" t="str">
        <f xml:space="preserve"> VLOOKUP( $C90, 'Map &amp; Key'!$C$70:$D$90, 2, 0 )</f>
        <v>Affinity Water</v>
      </c>
      <c r="J90" s="353">
        <f xml:space="preserve"> VLOOKUP( $C90, 'CALCS│Residential Retail'!$C$289:$I$305, MATCH( Year, 'CALCS│Residential Retail'!$C$2:$I$2, 0 ), 0 )</f>
        <v>122.21200000000002</v>
      </c>
      <c r="K90" s="353">
        <f xml:space="preserve"> VLOOKUP( $C90, 'CALCS│Residential Retail'!$C$269:$I$285, MATCH( Year, 'CALCS│Residential Retail'!$C$2:$I$2, 0 ), 0 )</f>
        <v>107.9336492637474</v>
      </c>
      <c r="L90" s="128" t="str">
        <f xml:space="preserve"> IF( ABS( E90 ) &lt;= 0.01, 'Map &amp; Key'!$C$63, IF( E90 &gt; 0, 'Map &amp; Key'!$C$65, 'Map &amp; Key'!$C$64 ) )</f>
        <v>▲</v>
      </c>
      <c r="M90" s="380">
        <f xml:space="preserve"> VLOOKUP( $C90, 'CALCS│Residential Retail'!$C$329:$I$345, MATCH( Year, 'CALCS│Residential Retail'!$C$2:$I$2, 0 ), 0 )</f>
        <v>0.13228822367862264</v>
      </c>
    </row>
    <row r="91" spans="3:13" s="84" customFormat="1" ht="15.95" customHeight="1" x14ac:dyDescent="0.2">
      <c r="C91" s="215" t="s">
        <v>105</v>
      </c>
      <c r="D91" s="206">
        <f xml:space="preserve"> VLOOKUP( $C91, 'CALCS│Residential Retail'!$C$329:$I$345, MATCH( Last_year, 'CALCS│Residential Retail'!$C$2:$I$2, 0 ), 0 )</f>
        <v>-0.13568172172967072</v>
      </c>
      <c r="E91" s="126">
        <f t="shared" si="1"/>
        <v>0.29830064941299195</v>
      </c>
      <c r="F91" s="266"/>
      <c r="G91" s="266"/>
      <c r="H91" s="266"/>
      <c r="I91" s="350" t="str">
        <f xml:space="preserve"> VLOOKUP( $C91, 'Map &amp; Key'!$C$70:$D$90, 2, 0 )</f>
        <v>Bristol Water</v>
      </c>
      <c r="J91" s="295">
        <f xml:space="preserve"> VLOOKUP( $C91, 'CALCS│Residential Retail'!$C$289:$I$305, MATCH( Year, 'CALCS│Residential Retail'!$C$2:$I$2, 0 ), 0 )</f>
        <v>36.955999999999996</v>
      </c>
      <c r="K91" s="295">
        <f xml:space="preserve"> VLOOKUP( $C91, 'CALCS│Residential Retail'!$C$269:$I$285, MATCH( Year, 'CALCS│Residential Retail'!$C$2:$I$2, 0 ), 0 )</f>
        <v>40.844736527034911</v>
      </c>
      <c r="L91" s="127" t="str">
        <f xml:space="preserve"> IF( ABS( E91 ) &lt;= 0.01, 'Map &amp; Key'!$C$63, IF( E91 &gt; 0, 'Map &amp; Key'!$C$65, 'Map &amp; Key'!$C$64 ) )</f>
        <v>▼</v>
      </c>
      <c r="M91" s="380">
        <f xml:space="preserve"> VLOOKUP( $C91, 'CALCS│Residential Retail'!$C$329:$I$345, MATCH( Year, 'CALCS│Residential Retail'!$C$2:$I$2, 0 ), 0 )</f>
        <v>-9.5207776024237079E-2</v>
      </c>
    </row>
    <row r="92" spans="3:13" s="84" customFormat="1" ht="15.95" customHeight="1" x14ac:dyDescent="0.2">
      <c r="C92" s="215" t="s">
        <v>107</v>
      </c>
      <c r="D92" s="206">
        <f xml:space="preserve"> VLOOKUP( $C92, 'CALCS│Residential Retail'!$C$329:$I$345, MATCH( Last_year, 'CALCS│Residential Retail'!$C$2:$I$2, 0 ), 0 )</f>
        <v>4.0129771876932757E-2</v>
      </c>
      <c r="E92" s="126">
        <f t="shared" si="1"/>
        <v>-0.15833029058583106</v>
      </c>
      <c r="F92" s="266"/>
      <c r="G92" s="266"/>
      <c r="H92" s="266"/>
      <c r="I92" s="350" t="str">
        <f xml:space="preserve"> VLOOKUP( $C92, 'Map &amp; Key'!$C$70:$D$90, 2, 0 )</f>
        <v>Portsmouth Water</v>
      </c>
      <c r="J92" s="353">
        <f xml:space="preserve"> VLOOKUP( $C92, 'CALCS│Residential Retail'!$C$289:$I$305, MATCH( Year, 'CALCS│Residential Retail'!$C$2:$I$2, 0 ), 0 )</f>
        <v>18.334</v>
      </c>
      <c r="K92" s="353">
        <f xml:space="preserve"> VLOOKUP( $C92, 'CALCS│Residential Retail'!$C$269:$I$285, MATCH( Year, 'CALCS│Residential Retail'!$C$2:$I$2, 0 ), 0 )</f>
        <v>17.734982976717497</v>
      </c>
      <c r="L92" s="128" t="str">
        <f xml:space="preserve"> IF( ABS( E92 ) &lt;= 0.01, 'Map &amp; Key'!$C$63, IF( E92 &gt; 0, 'Map &amp; Key'!$C$65, 'Map &amp; Key'!$C$64 ) )</f>
        <v>▲</v>
      </c>
      <c r="M92" s="380">
        <f xml:space="preserve"> VLOOKUP( $C92, 'CALCS│Residential Retail'!$C$329:$I$345, MATCH( Year, 'CALCS│Residential Retail'!$C$2:$I$2, 0 ), 0 )</f>
        <v>3.3776013434514883E-2</v>
      </c>
    </row>
    <row r="93" spans="3:13" s="84" customFormat="1" ht="15.95" customHeight="1" x14ac:dyDescent="0.2">
      <c r="C93" s="215" t="s">
        <v>111</v>
      </c>
      <c r="D93" s="206">
        <f xml:space="preserve"> VLOOKUP( $C93, 'CALCS│Residential Retail'!$C$329:$I$345, MATCH( Last_year, 'CALCS│Residential Retail'!$C$2:$I$2, 0 ), 0 )</f>
        <v>-0.19203759389671213</v>
      </c>
      <c r="E93" s="126">
        <f t="shared" si="1"/>
        <v>-3.7369085383018724E-2</v>
      </c>
      <c r="F93" s="266"/>
      <c r="G93" s="266"/>
      <c r="H93" s="266"/>
      <c r="I93" s="350" t="str">
        <f xml:space="preserve"> VLOOKUP( $C93, 'Map &amp; Key'!$C$70:$D$90, 2, 0 )</f>
        <v>South East Water</v>
      </c>
      <c r="J93" s="295">
        <f xml:space="preserve"> VLOOKUP( $C93, 'CALCS│Residential Retail'!$C$289:$I$305, MATCH( Year, 'CALCS│Residential Retail'!$C$2:$I$2, 0 ), 0 )</f>
        <v>64.282000000000011</v>
      </c>
      <c r="K93" s="295">
        <f xml:space="preserve"> VLOOKUP( $C93, 'CALCS│Residential Retail'!$C$269:$I$285, MATCH( Year, 'CALCS│Residential Retail'!$C$2:$I$2, 0 ), 0 )</f>
        <v>80.273617438036752</v>
      </c>
      <c r="L93" s="127" t="str">
        <f xml:space="preserve"> IF( ABS( E93 ) &lt;= 0.01, 'Map &amp; Key'!$C$63, IF( E93 &gt; 0, 'Map &amp; Key'!$C$65, 'Map &amp; Key'!$C$64 ) )</f>
        <v>▲</v>
      </c>
      <c r="M93" s="380">
        <f xml:space="preserve"> VLOOKUP( $C93, 'CALCS│Residential Retail'!$C$329:$I$345, MATCH( Year, 'CALCS│Residential Retail'!$C$2:$I$2, 0 ), 0 )</f>
        <v>-0.19921386313978784</v>
      </c>
    </row>
    <row r="94" spans="3:13" s="84" customFormat="1" ht="15.95" customHeight="1" x14ac:dyDescent="0.2">
      <c r="C94" s="215" t="s">
        <v>113</v>
      </c>
      <c r="D94" s="206">
        <f xml:space="preserve"> VLOOKUP( $C94, 'CALCS│Residential Retail'!$C$329:$I$345, MATCH( Last_year, 'CALCS│Residential Retail'!$C$2:$I$2, 0 ), 0 )</f>
        <v>-0.15131095528134317</v>
      </c>
      <c r="E94" s="126">
        <f t="shared" si="1"/>
        <v>-8.4624325286488014E-2</v>
      </c>
      <c r="F94" s="266"/>
      <c r="G94" s="266"/>
      <c r="H94" s="266"/>
      <c r="I94" s="350" t="str">
        <f xml:space="preserve"> VLOOKUP( $C94, 'Map &amp; Key'!$C$70:$D$90, 2, 0 )</f>
        <v>South Staffs Water</v>
      </c>
      <c r="J94" s="353">
        <f xml:space="preserve"> VLOOKUP( $C94, 'CALCS│Residential Retail'!$C$289:$I$305, MATCH( Year, 'CALCS│Residential Retail'!$C$2:$I$2, 0 ), 0 )</f>
        <v>51.688611569496587</v>
      </c>
      <c r="K94" s="353">
        <f xml:space="preserve"> VLOOKUP( $C94, 'CALCS│Residential Retail'!$C$269:$I$285, MATCH( Year, 'CALCS│Residential Retail'!$C$2:$I$2, 0 ), 0 )</f>
        <v>61.83702917677553</v>
      </c>
      <c r="L94" s="128" t="str">
        <f xml:space="preserve"> IF( ABS( E94 ) &lt;= 0.01, 'Map &amp; Key'!$C$63, IF( E94 &gt; 0, 'Map &amp; Key'!$C$65, 'Map &amp; Key'!$C$64 ) )</f>
        <v>▲</v>
      </c>
      <c r="M94" s="380">
        <f xml:space="preserve"> VLOOKUP( $C94, 'CALCS│Residential Retail'!$C$329:$I$345, MATCH( Year, 'CALCS│Residential Retail'!$C$2:$I$2, 0 ), 0 )</f>
        <v>-0.16411554278048079</v>
      </c>
    </row>
    <row r="95" spans="3:13" s="84" customFormat="1" ht="15.95" customHeight="1" x14ac:dyDescent="0.2">
      <c r="C95" s="215" t="s">
        <v>109</v>
      </c>
      <c r="D95" s="206">
        <f xml:space="preserve"> VLOOKUP( $C95, 'CALCS│Residential Retail'!$C$329:$I$345, MATCH( Last_year, 'CALCS│Residential Retail'!$C$2:$I$2, 0 ), 0 )</f>
        <v>0.21564794265124379</v>
      </c>
      <c r="E95" s="126">
        <f t="shared" si="1"/>
        <v>0.29536033288155245</v>
      </c>
      <c r="F95" s="266"/>
      <c r="G95" s="266"/>
      <c r="H95" s="266"/>
      <c r="I95" s="350" t="str">
        <f xml:space="preserve"> VLOOKUP( $C95, 'Map &amp; Key'!$C$70:$D$90, 2, 0 )</f>
        <v>SES Water</v>
      </c>
      <c r="J95" s="295">
        <f xml:space="preserve"> VLOOKUP( $C95, 'CALCS│Residential Retail'!$C$289:$I$305, MATCH( Year, 'CALCS│Residential Retail'!$C$2:$I$2, 0 ), 0 )</f>
        <v>27.816000000000003</v>
      </c>
      <c r="K95" s="295">
        <f xml:space="preserve"> VLOOKUP( $C95, 'CALCS│Residential Retail'!$C$269:$I$285, MATCH( Year, 'CALCS│Residential Retail'!$C$2:$I$2, 0 ), 0 )</f>
        <v>21.742430522093521</v>
      </c>
      <c r="L95" s="127" t="str">
        <f xml:space="preserve"> IF( ABS( E95 ) &lt;= 0.01, 'Map &amp; Key'!$C$63, IF( E95 &gt; 0, 'Map &amp; Key'!$C$65, 'Map &amp; Key'!$C$64 ) )</f>
        <v>▼</v>
      </c>
      <c r="M95" s="380">
        <f xml:space="preserve"> VLOOKUP( $C95, 'CALCS│Residential Retail'!$C$329:$I$345, MATCH( Year, 'CALCS│Residential Retail'!$C$2:$I$2, 0 ), 0 )</f>
        <v>0.27934179077793708</v>
      </c>
    </row>
    <row r="97" spans="2:14" x14ac:dyDescent="0.2">
      <c r="L97" s="51" t="s">
        <v>514</v>
      </c>
      <c r="M97" s="126">
        <f>_xlfn.PERCENTILE.INC( $M$79:$M$95, 0.25 )</f>
        <v>-7.6832239178960079E-2</v>
      </c>
    </row>
    <row r="98" spans="2:14" x14ac:dyDescent="0.2">
      <c r="L98" s="51" t="s">
        <v>515</v>
      </c>
      <c r="M98" s="126">
        <f>_xlfn.PERCENTILE.INC( $M$79:$M$95, 0.75 )</f>
        <v>0.10502253588439407</v>
      </c>
    </row>
    <row r="100" spans="2:14" x14ac:dyDescent="0.2">
      <c r="B100" s="20" t="s">
        <v>26</v>
      </c>
      <c r="C100" s="20"/>
      <c r="D100" s="20"/>
      <c r="E100" s="20"/>
      <c r="F100" s="20"/>
      <c r="G100" s="20"/>
      <c r="H100" s="20"/>
      <c r="I100" s="20"/>
      <c r="J100" s="20"/>
      <c r="K100" s="20"/>
      <c r="L100" s="20"/>
      <c r="M100" s="20"/>
      <c r="N100" s="20"/>
    </row>
  </sheetData>
  <mergeCells count="2">
    <mergeCell ref="L6:M6"/>
    <mergeCell ref="L78:M78"/>
  </mergeCells>
  <conditionalFormatting sqref="L7:L23">
    <cfRule type="expression" dxfId="41" priority="7">
      <formula>AND($M7&gt;$M$25,$M7&lt;$M$26)</formula>
    </cfRule>
    <cfRule type="expression" dxfId="40" priority="8">
      <formula>$M7&gt;=$M$26</formula>
    </cfRule>
    <cfRule type="expression" dxfId="39" priority="9">
      <formula>$M7&lt;=$M$25</formula>
    </cfRule>
  </conditionalFormatting>
  <conditionalFormatting sqref="L79:L95">
    <cfRule type="expression" dxfId="38" priority="1">
      <formula>AND($M79&gt;$M$97,$M79&lt;$M$98)</formula>
    </cfRule>
    <cfRule type="expression" dxfId="37" priority="2">
      <formula>$M79&gt;=$M$98</formula>
    </cfRule>
    <cfRule type="expression" dxfId="36" priority="3">
      <formula>$M79&lt;=$M$97</formula>
    </cfRule>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outlinePr summaryBelow="0"/>
  </sheetPr>
  <dimension ref="B2:P189"/>
  <sheetViews>
    <sheetView showGridLines="0" workbookViewId="0"/>
  </sheetViews>
  <sheetFormatPr defaultRowHeight="12.75" outlineLevelRow="1" x14ac:dyDescent="0.2"/>
  <cols>
    <col min="1" max="2" width="2.625" style="8" customWidth="1"/>
    <col min="3" max="10" width="9" style="8"/>
    <col min="11" max="11" width="16.75" style="8" customWidth="1"/>
    <col min="12" max="15" width="11.25" style="8" customWidth="1"/>
    <col min="16" max="16" width="2.625" style="8" customWidth="1"/>
    <col min="17" max="16384" width="9" style="8"/>
  </cols>
  <sheetData>
    <row r="2" spans="2:16" ht="13.5" x14ac:dyDescent="0.25">
      <c r="B2" s="9" t="s">
        <v>530</v>
      </c>
      <c r="C2" s="9"/>
      <c r="D2" s="9"/>
      <c r="E2" s="10"/>
      <c r="F2" s="9"/>
      <c r="G2" s="9"/>
      <c r="H2" s="9"/>
      <c r="I2" s="9"/>
      <c r="J2" s="9"/>
      <c r="K2" s="9" t="s">
        <v>574</v>
      </c>
      <c r="L2" s="9"/>
      <c r="M2" s="9"/>
      <c r="N2" s="9"/>
      <c r="O2" s="9"/>
      <c r="P2" s="9"/>
    </row>
    <row r="3" spans="2:16" outlineLevel="1" x14ac:dyDescent="0.2"/>
    <row r="4" spans="2:16" ht="14.25" customHeight="1" outlineLevel="1" x14ac:dyDescent="0.25">
      <c r="L4" s="348" t="s">
        <v>568</v>
      </c>
      <c r="M4" s="348"/>
    </row>
    <row r="5" spans="2:16" ht="40.5" outlineLevel="1" x14ac:dyDescent="0.2">
      <c r="C5" s="357" t="s">
        <v>344</v>
      </c>
      <c r="D5" s="354" t="str">
        <f xml:space="preserve"> "PCs met " &amp; Last_year</f>
        <v>PCs met 2017-18</v>
      </c>
      <c r="E5" s="354" t="str">
        <f xml:space="preserve"> "Change to " &amp; Year</f>
        <v>Change to 2018-19</v>
      </c>
      <c r="K5" s="291"/>
      <c r="L5" s="374" t="str">
        <f xml:space="preserve"> "In " &amp; Year &amp; " compared to " &amp; Last_year</f>
        <v>In 2018-19 compared to 2017-18</v>
      </c>
      <c r="M5" s="374" t="str">
        <f xml:space="preserve"> Year &amp; " (% achieved)"</f>
        <v>2018-19 (% achieved)</v>
      </c>
    </row>
    <row r="6" spans="2:16" ht="16.149999999999999" customHeight="1" outlineLevel="1" x14ac:dyDescent="0.2">
      <c r="C6" s="211" t="s">
        <v>79</v>
      </c>
      <c r="D6" s="198">
        <f xml:space="preserve"> VLOOKUP($C6, CALCS│Outcomes!$C$282:$L$299, MATCH( Last_year, CALCS│Outcomes!$C$2:$L$2, 0 ), 0 )</f>
        <v>88.37</v>
      </c>
      <c r="E6" s="149">
        <f xml:space="preserve"> IFERROR( ( M6 - D6 ) / ABS( D6 ), "-" )</f>
        <v>1.8858209799705771E-2</v>
      </c>
      <c r="K6" s="350" t="str">
        <f>VLOOKUP( C6, 'Map &amp; Key'!$C$70:$D$90, 2, 0 )</f>
        <v>Anglian Water</v>
      </c>
      <c r="L6" s="292" t="str">
        <f xml:space="preserve"> IFERROR( IF( ABS( E6 ) &lt;= 0.01, 'Map &amp; Key'!$C$63, IF( E6 &lt; 0, 'Map &amp; Key'!$C$65, 'Map &amp; Key'!$C$64 ) ), "-" )</f>
        <v>▲</v>
      </c>
      <c r="M6" s="199">
        <f xml:space="preserve"> VLOOKUP($C6, CALCS│Outcomes!$C$282:$L$299, MATCH( Year, CALCS│Outcomes!$C$2:$L$2, 0 ), 0 )</f>
        <v>90.036500000000004</v>
      </c>
    </row>
    <row r="7" spans="2:16" ht="16.149999999999999" customHeight="1" outlineLevel="1" x14ac:dyDescent="0.2">
      <c r="C7" s="210" t="s">
        <v>81</v>
      </c>
      <c r="D7" s="198">
        <f xml:space="preserve"> VLOOKUP($C7, CALCS│Outcomes!$C$282:$L$299, MATCH( Last_year, CALCS│Outcomes!$C$2:$L$2, 0 ), 0 )</f>
        <v>84.64</v>
      </c>
      <c r="E7" s="149">
        <f t="shared" ref="E7:E22" si="0" xml:space="preserve"> IFERROR( ( M7 - D7 ) / ABS( D7 ), "-" )</f>
        <v>2.6512287334593571E-2</v>
      </c>
      <c r="K7" s="350" t="str">
        <f>VLOOKUP( C7, 'Map &amp; Key'!$C$70:$D$90, 2, 0 )</f>
        <v>Dŵr Cymru</v>
      </c>
      <c r="L7" s="358" t="str">
        <f xml:space="preserve"> IFERROR( IF( ABS( E7 ) &lt;= 0.01, 'Map &amp; Key'!$C$63, IF( E7 &lt; 0, 'Map &amp; Key'!$C$65, 'Map &amp; Key'!$C$64 ) ), "-" )</f>
        <v>▲</v>
      </c>
      <c r="M7" s="199">
        <f xml:space="preserve"> VLOOKUP($C7, CALCS│Outcomes!$C$282:$L$299, MATCH( Year, CALCS│Outcomes!$C$2:$L$2, 0 ), 0 )</f>
        <v>86.884</v>
      </c>
    </row>
    <row r="8" spans="2:16" ht="16.149999999999999" customHeight="1" outlineLevel="1" x14ac:dyDescent="0.2">
      <c r="C8" s="210" t="s">
        <v>84</v>
      </c>
      <c r="D8" s="198">
        <f xml:space="preserve"> VLOOKUP($C8, CALCS│Outcomes!$C$282:$L$299, MATCH( Last_year, CALCS│Outcomes!$C$2:$L$2, 0 ), 0 )</f>
        <v>86.5</v>
      </c>
      <c r="E8" s="149">
        <f t="shared" si="0"/>
        <v>-9.3475847428212425E-2</v>
      </c>
      <c r="K8" s="350" t="str">
        <f>VLOOKUP( C8, 'Map &amp; Key'!$C$70:$D$90, 2, 0 )</f>
        <v>Hafren Dyfrdwy</v>
      </c>
      <c r="L8" s="292" t="s">
        <v>322</v>
      </c>
      <c r="M8" s="199">
        <f xml:space="preserve"> VLOOKUP($C8, CALCS│Outcomes!$C$282:$L$299, MATCH( Year, CALCS│Outcomes!$C$2:$L$2, 0 ), 0 )</f>
        <v>78.414339197459626</v>
      </c>
    </row>
    <row r="9" spans="2:16" ht="16.149999999999999" customHeight="1" outlineLevel="1" x14ac:dyDescent="0.2">
      <c r="C9" s="210" t="s">
        <v>86</v>
      </c>
      <c r="D9" s="198">
        <f xml:space="preserve"> VLOOKUP($C9, CALCS│Outcomes!$C$282:$L$299, MATCH( Last_year, CALCS│Outcomes!$C$2:$L$2, 0 ), 0 )</f>
        <v>86.39</v>
      </c>
      <c r="E9" s="149">
        <f t="shared" si="0"/>
        <v>-6.035131380946775E-3</v>
      </c>
      <c r="K9" s="350" t="str">
        <f>VLOOKUP( C9, 'Map &amp; Key'!$C$70:$D$90, 2, 0 )</f>
        <v>Northumbrian Water</v>
      </c>
      <c r="L9" s="358" t="str">
        <f xml:space="preserve"> IFERROR( IF( ABS( E9 ) &lt;= 0.01, 'Map &amp; Key'!$C$63, IF( E9 &lt; 0, 'Map &amp; Key'!$C$65, 'Map &amp; Key'!$C$64 ) ), "-" )</f>
        <v>◄►</v>
      </c>
      <c r="M9" s="199">
        <f xml:space="preserve"> VLOOKUP($C9, CALCS│Outcomes!$C$282:$L$299, MATCH( Year, CALCS│Outcomes!$C$2:$L$2, 0 ), 0 )</f>
        <v>85.868625000000009</v>
      </c>
    </row>
    <row r="10" spans="2:16" ht="16.149999999999999" customHeight="1" outlineLevel="1" x14ac:dyDescent="0.2">
      <c r="C10" s="210" t="s">
        <v>88</v>
      </c>
      <c r="D10" s="198">
        <f xml:space="preserve"> VLOOKUP($C10, CALCS│Outcomes!$C$282:$L$299, MATCH( Last_year, CALCS│Outcomes!$C$2:$L$2, 0 ), 0 )</f>
        <v>83.2</v>
      </c>
      <c r="E10" s="149">
        <f t="shared" si="0"/>
        <v>-2.1061728656405466E-2</v>
      </c>
      <c r="K10" s="350" t="str">
        <f>VLOOKUP( C10, 'Map &amp; Key'!$C$70:$D$90, 2, 0 )</f>
        <v>Severn Trent Water</v>
      </c>
      <c r="L10" s="292" t="s">
        <v>322</v>
      </c>
      <c r="M10" s="199">
        <f xml:space="preserve"> VLOOKUP($C10, CALCS│Outcomes!$C$282:$L$299, MATCH( Year, CALCS│Outcomes!$C$2:$L$2, 0 ), 0 )</f>
        <v>81.447664175787068</v>
      </c>
    </row>
    <row r="11" spans="2:16" ht="16.149999999999999" customHeight="1" outlineLevel="1" x14ac:dyDescent="0.2">
      <c r="C11" s="212" t="s">
        <v>117</v>
      </c>
      <c r="D11" s="201">
        <f xml:space="preserve"> VLOOKUP($C11, CALCS│Outcomes!$C$282:$L$299, MATCH( Last_year, CALCS│Outcomes!$C$2:$L$2, 0 ), 0 )</f>
        <v>84.54849999999999</v>
      </c>
      <c r="E11" s="149">
        <f t="shared" si="0"/>
        <v>3.629277870098245E-2</v>
      </c>
      <c r="K11" s="350" t="str">
        <f>VLOOKUP( C11, 'Map &amp; Key'!$C$70:$D$90, 2, 0 )</f>
        <v>South West Water</v>
      </c>
      <c r="L11" s="358" t="str">
        <f xml:space="preserve"> IFERROR( IF( ABS( E11 ) &lt;= 0.01, 'Map &amp; Key'!$C$63, IF( E11 &lt; 0, 'Map &amp; Key'!$C$65, 'Map &amp; Key'!$C$64 ) ), "-" )</f>
        <v>▲</v>
      </c>
      <c r="M11" s="199">
        <f xml:space="preserve"> VLOOKUP($C11, CALCS│Outcomes!$C$282:$L$299, MATCH( Year, CALCS│Outcomes!$C$2:$L$2, 0 ), 0 )</f>
        <v>87.617000000000004</v>
      </c>
    </row>
    <row r="12" spans="2:16" ht="16.149999999999999" customHeight="1" outlineLevel="1" x14ac:dyDescent="0.2">
      <c r="C12" s="210" t="s">
        <v>93</v>
      </c>
      <c r="D12" s="198">
        <f xml:space="preserve"> VLOOKUP($C12, CALCS│Outcomes!$C$282:$L$299, MATCH( Last_year, CALCS│Outcomes!$C$2:$L$2, 0 ), 0 )</f>
        <v>79.33</v>
      </c>
      <c r="E12" s="149">
        <f t="shared" si="0"/>
        <v>1.0172696331778674E-2</v>
      </c>
      <c r="K12" s="350" t="str">
        <f>VLOOKUP( C12, 'Map &amp; Key'!$C$70:$D$90, 2, 0 )</f>
        <v>Southern Water</v>
      </c>
      <c r="L12" s="292" t="str">
        <f xml:space="preserve"> IFERROR( IF( ABS( E12 ) &lt;= 0.01, 'Map &amp; Key'!$C$63, IF( E12 &lt; 0, 'Map &amp; Key'!$C$65, 'Map &amp; Key'!$C$64 ) ), "-" )</f>
        <v>▲</v>
      </c>
      <c r="M12" s="199">
        <f xml:space="preserve"> VLOOKUP($C12, CALCS│Outcomes!$C$282:$L$299, MATCH( Year, CALCS│Outcomes!$C$2:$L$2, 0 ), 0 )</f>
        <v>80.137</v>
      </c>
    </row>
    <row r="13" spans="2:16" ht="16.149999999999999" customHeight="1" outlineLevel="1" x14ac:dyDescent="0.2">
      <c r="C13" s="210" t="s">
        <v>95</v>
      </c>
      <c r="D13" s="198">
        <f xml:space="preserve"> VLOOKUP($C13, CALCS│Outcomes!$C$282:$L$299, MATCH( Last_year, CALCS│Outcomes!$C$2:$L$2, 0 ), 0 )</f>
        <v>78.428740527351835</v>
      </c>
      <c r="E13" s="149">
        <f t="shared" si="0"/>
        <v>-4.3377934287228706E-2</v>
      </c>
      <c r="K13" s="350" t="str">
        <f>VLOOKUP( C13, 'Map &amp; Key'!$C$70:$D$90, 2, 0 )</f>
        <v>Thames Water</v>
      </c>
      <c r="L13" s="358" t="str">
        <f xml:space="preserve"> IFERROR( IF( ABS( E13 ) &lt;= 0.01, 'Map &amp; Key'!$C$63, IF( E13 &lt; 0, 'Map &amp; Key'!$C$65, 'Map &amp; Key'!$C$64 ) ), "-" )</f>
        <v>▼</v>
      </c>
      <c r="M13" s="199">
        <f xml:space="preserve"> VLOOKUP($C13, CALCS│Outcomes!$C$282:$L$299, MATCH( Year, CALCS│Outcomes!$C$2:$L$2, 0 ), 0 )</f>
        <v>75.026663774526256</v>
      </c>
    </row>
    <row r="14" spans="2:16" ht="16.149999999999999" customHeight="1" outlineLevel="1" x14ac:dyDescent="0.2">
      <c r="C14" s="210" t="s">
        <v>97</v>
      </c>
      <c r="D14" s="198">
        <f xml:space="preserve"> VLOOKUP($C14, CALCS│Outcomes!$C$282:$L$299, MATCH( Last_year, CALCS│Outcomes!$C$2:$L$2, 0 ), 0 )</f>
        <v>86.873881667676727</v>
      </c>
      <c r="E14" s="149">
        <f t="shared" si="0"/>
        <v>8.8149390623285789E-3</v>
      </c>
      <c r="K14" s="350" t="str">
        <f>VLOOKUP( C14, 'Map &amp; Key'!$C$70:$D$90, 2, 0 )</f>
        <v>United Utilities</v>
      </c>
      <c r="L14" s="292" t="str">
        <f xml:space="preserve"> IFERROR( IF( ABS( E14 ) &lt;= 0.01, 'Map &amp; Key'!$C$63, IF( E14 &lt; 0, 'Map &amp; Key'!$C$65, 'Map &amp; Key'!$C$64 ) ), "-" )</f>
        <v>◄►</v>
      </c>
      <c r="M14" s="199">
        <f xml:space="preserve"> VLOOKUP($C14, CALCS│Outcomes!$C$282:$L$299, MATCH( Year, CALCS│Outcomes!$C$2:$L$2, 0 ), 0 )</f>
        <v>87.639669640685241</v>
      </c>
    </row>
    <row r="15" spans="2:16" ht="16.149999999999999" customHeight="1" outlineLevel="1" x14ac:dyDescent="0.2">
      <c r="C15" s="210" t="s">
        <v>99</v>
      </c>
      <c r="D15" s="198">
        <f xml:space="preserve"> VLOOKUP($C15, CALCS│Outcomes!$C$282:$L$299, MATCH( Last_year, CALCS│Outcomes!$C$2:$L$2, 0 ), 0 )</f>
        <v>86.89</v>
      </c>
      <c r="E15" s="149">
        <f t="shared" si="0"/>
        <v>3.5979399240418579E-3</v>
      </c>
      <c r="K15" s="350" t="str">
        <f>VLOOKUP( C15, 'Map &amp; Key'!$C$70:$D$90, 2, 0 )</f>
        <v>Wessex Water</v>
      </c>
      <c r="L15" s="358" t="str">
        <f xml:space="preserve"> IFERROR( IF( ABS( E15 ) &lt;= 0.01, 'Map &amp; Key'!$C$63, IF( E15 &lt; 0, 'Map &amp; Key'!$C$65, 'Map &amp; Key'!$C$64 ) ), "-" )</f>
        <v>◄►</v>
      </c>
      <c r="M15" s="199">
        <f xml:space="preserve"> VLOOKUP($C15, CALCS│Outcomes!$C$282:$L$299, MATCH( Year, CALCS│Outcomes!$C$2:$L$2, 0 ), 0 )</f>
        <v>87.202624999999998</v>
      </c>
    </row>
    <row r="16" spans="2:16" ht="16.149999999999999" customHeight="1" outlineLevel="1" x14ac:dyDescent="0.2">
      <c r="C16" s="210" t="s">
        <v>101</v>
      </c>
      <c r="D16" s="198">
        <f xml:space="preserve"> VLOOKUP($C16, CALCS│Outcomes!$C$282:$L$299, MATCH( Last_year, CALCS│Outcomes!$C$2:$L$2, 0 ), 0 )</f>
        <v>84.27</v>
      </c>
      <c r="E16" s="149">
        <f t="shared" si="0"/>
        <v>-3.1980538744510933E-3</v>
      </c>
      <c r="K16" s="350" t="str">
        <f>VLOOKUP( C16, 'Map &amp; Key'!$C$70:$D$90, 2, 0 )</f>
        <v>Yorkshire Water</v>
      </c>
      <c r="L16" s="292" t="str">
        <f xml:space="preserve"> IFERROR( IF( ABS( E16 ) &lt;= 0.01, 'Map &amp; Key'!$C$63, IF( E16 &lt; 0, 'Map &amp; Key'!$C$65, 'Map &amp; Key'!$C$64 ) ), "-" )</f>
        <v>◄►</v>
      </c>
      <c r="M16" s="199">
        <f xml:space="preserve"> VLOOKUP($C16, CALCS│Outcomes!$C$282:$L$299, MATCH( Year, CALCS│Outcomes!$C$2:$L$2, 0 ), 0 )</f>
        <v>84.000500000000002</v>
      </c>
    </row>
    <row r="17" spans="2:16" ht="16.149999999999999" customHeight="1" outlineLevel="1" x14ac:dyDescent="0.2">
      <c r="C17" s="210" t="s">
        <v>103</v>
      </c>
      <c r="D17" s="198">
        <f xml:space="preserve"> VLOOKUP($C17, CALCS│Outcomes!$C$282:$L$299, MATCH( Last_year, CALCS│Outcomes!$C$2:$L$2, 0 ), 0 )</f>
        <v>80.909102903993897</v>
      </c>
      <c r="E17" s="149">
        <f t="shared" si="0"/>
        <v>3.6015366077149238E-3</v>
      </c>
      <c r="K17" s="350" t="str">
        <f>VLOOKUP( C17, 'Map &amp; Key'!$C$70:$D$90, 2, 0 )</f>
        <v>Affinity Water</v>
      </c>
      <c r="L17" s="358" t="str">
        <f xml:space="preserve"> IFERROR( IF( ABS( E17 ) &lt;= 0.01, 'Map &amp; Key'!$C$63, IF( E17 &lt; 0, 'Map &amp; Key'!$C$65, 'Map &amp; Key'!$C$64 ) ), "-" )</f>
        <v>◄►</v>
      </c>
      <c r="M17" s="199">
        <f xml:space="preserve"> VLOOKUP($C17, CALCS│Outcomes!$C$282:$L$299, MATCH( Year, CALCS│Outcomes!$C$2:$L$2, 0 ), 0 )</f>
        <v>81.200500000000005</v>
      </c>
    </row>
    <row r="18" spans="2:16" ht="16.149999999999999" customHeight="1" outlineLevel="1" x14ac:dyDescent="0.2">
      <c r="C18" s="210" t="s">
        <v>105</v>
      </c>
      <c r="D18" s="198">
        <f xml:space="preserve"> VLOOKUP($C18, CALCS│Outcomes!$C$282:$L$299, MATCH( Last_year, CALCS│Outcomes!$C$2:$L$2, 0 ), 0 )</f>
        <v>83.38</v>
      </c>
      <c r="E18" s="149">
        <f t="shared" si="0"/>
        <v>1.5969057327896444E-2</v>
      </c>
      <c r="K18" s="350" t="str">
        <f>VLOOKUP( C18, 'Map &amp; Key'!$C$70:$D$90, 2, 0 )</f>
        <v>Bristol Water</v>
      </c>
      <c r="L18" s="292" t="str">
        <f xml:space="preserve"> IFERROR( IF( ABS( E18 ) &lt;= 0.01, 'Map &amp; Key'!$C$63, IF( E18 &lt; 0, 'Map &amp; Key'!$C$65, 'Map &amp; Key'!$C$64 ) ), "-" )</f>
        <v>▲</v>
      </c>
      <c r="M18" s="199">
        <f xml:space="preserve"> VLOOKUP($C18, CALCS│Outcomes!$C$282:$L$299, MATCH( Year, CALCS│Outcomes!$C$2:$L$2, 0 ), 0 )</f>
        <v>84.711500000000001</v>
      </c>
    </row>
    <row r="19" spans="2:16" ht="16.149999999999999" customHeight="1" outlineLevel="1" x14ac:dyDescent="0.2">
      <c r="C19" s="210" t="s">
        <v>107</v>
      </c>
      <c r="D19" s="198">
        <f xml:space="preserve"> VLOOKUP($C19, CALCS│Outcomes!$C$282:$L$299, MATCH( Last_year, CALCS│Outcomes!$C$2:$L$2, 0 ), 0 )</f>
        <v>87.9</v>
      </c>
      <c r="E19" s="149">
        <f t="shared" si="0"/>
        <v>1.3299203640500534E-2</v>
      </c>
      <c r="K19" s="350" t="str">
        <f>VLOOKUP( C19, 'Map &amp; Key'!$C$70:$D$90, 2, 0 )</f>
        <v>Portsmouth Water</v>
      </c>
      <c r="L19" s="358" t="str">
        <f xml:space="preserve"> IFERROR( IF( ABS( E19 ) &lt;= 0.01, 'Map &amp; Key'!$C$63, IF( E19 &lt; 0, 'Map &amp; Key'!$C$65, 'Map &amp; Key'!$C$64 ) ), "-" )</f>
        <v>▲</v>
      </c>
      <c r="M19" s="199">
        <f xml:space="preserve"> VLOOKUP($C19, CALCS│Outcomes!$C$282:$L$299, MATCH( Year, CALCS│Outcomes!$C$2:$L$2, 0 ), 0 )</f>
        <v>89.069000000000003</v>
      </c>
    </row>
    <row r="20" spans="2:16" ht="16.149999999999999" customHeight="1" outlineLevel="1" x14ac:dyDescent="0.2">
      <c r="C20" s="210" t="s">
        <v>111</v>
      </c>
      <c r="D20" s="198">
        <f xml:space="preserve"> VLOOKUP($C20, CALCS│Outcomes!$C$282:$L$299, MATCH( Last_year, CALCS│Outcomes!$C$2:$L$2, 0 ), 0 )</f>
        <v>85.6</v>
      </c>
      <c r="E20" s="149">
        <f t="shared" si="0"/>
        <v>-2.8212616822430149E-3</v>
      </c>
      <c r="K20" s="350" t="str">
        <f>VLOOKUP( C20, 'Map &amp; Key'!$C$70:$D$90, 2, 0 )</f>
        <v>South East Water</v>
      </c>
      <c r="L20" s="292" t="str">
        <f xml:space="preserve"> IFERROR( IF( ABS( E20 ) &lt;= 0.01, 'Map &amp; Key'!$C$63, IF( E20 &lt; 0, 'Map &amp; Key'!$C$65, 'Map &amp; Key'!$C$64 ) ), "-" )</f>
        <v>◄►</v>
      </c>
      <c r="M20" s="199">
        <f xml:space="preserve"> VLOOKUP($C20, CALCS│Outcomes!$C$282:$L$299, MATCH( Year, CALCS│Outcomes!$C$2:$L$2, 0 ), 0 )</f>
        <v>85.358499999999992</v>
      </c>
    </row>
    <row r="21" spans="2:16" ht="16.149999999999999" customHeight="1" outlineLevel="1" x14ac:dyDescent="0.2">
      <c r="C21" s="210" t="s">
        <v>113</v>
      </c>
      <c r="D21" s="198">
        <f xml:space="preserve"> VLOOKUP($C21, CALCS│Outcomes!$C$282:$L$299, MATCH( Last_year, CALCS│Outcomes!$C$2:$L$2, 0 ), 0 )</f>
        <v>87.03</v>
      </c>
      <c r="E21" s="149">
        <f t="shared" si="0"/>
        <v>-7.1840250029218981E-3</v>
      </c>
      <c r="K21" s="350" t="str">
        <f>VLOOKUP( C21, 'Map &amp; Key'!$C$70:$D$90, 2, 0 )</f>
        <v>South Staffs Water</v>
      </c>
      <c r="L21" s="358" t="str">
        <f xml:space="preserve"> IFERROR( IF( ABS( E21 ) &lt;= 0.01, 'Map &amp; Key'!$C$63, IF( E21 &lt; 0, 'Map &amp; Key'!$C$65, 'Map &amp; Key'!$C$64 ) ), "-" )</f>
        <v>◄►</v>
      </c>
      <c r="M21" s="199">
        <f xml:space="preserve"> VLOOKUP($C21, CALCS│Outcomes!$C$282:$L$299, MATCH( Year, CALCS│Outcomes!$C$2:$L$2, 0 ), 0 )</f>
        <v>86.404774303995708</v>
      </c>
    </row>
    <row r="22" spans="2:16" ht="16.149999999999999" customHeight="1" outlineLevel="1" x14ac:dyDescent="0.2">
      <c r="C22" s="210" t="s">
        <v>109</v>
      </c>
      <c r="D22" s="198">
        <f xml:space="preserve"> VLOOKUP($C22, CALCS│Outcomes!$C$282:$L$299, MATCH( Last_year, CALCS│Outcomes!$C$2:$L$2, 0 ), 0 )</f>
        <v>78.7</v>
      </c>
      <c r="E22" s="149">
        <f t="shared" si="0"/>
        <v>2.2922490470139615E-2</v>
      </c>
      <c r="K22" s="350" t="str">
        <f>VLOOKUP( C22, 'Map &amp; Key'!$C$70:$D$90, 2, 0 )</f>
        <v>SES Water</v>
      </c>
      <c r="L22" s="292" t="str">
        <f xml:space="preserve"> IFERROR( IF( ABS( E22 ) &lt;= 0.01, 'Map &amp; Key'!$C$63, IF( E22 &lt; 0, 'Map &amp; Key'!$C$65, 'Map &amp; Key'!$C$64 ) ), "-" )</f>
        <v>▲</v>
      </c>
      <c r="M22" s="199">
        <f xml:space="preserve"> VLOOKUP($C22, CALCS│Outcomes!$C$282:$L$299, MATCH( Year, CALCS│Outcomes!$C$2:$L$2, 0 ), 0 )</f>
        <v>80.503999999999991</v>
      </c>
    </row>
    <row r="23" spans="2:16" outlineLevel="1" x14ac:dyDescent="0.2"/>
    <row r="24" spans="2:16" outlineLevel="1" x14ac:dyDescent="0.2">
      <c r="L24" s="8" t="s">
        <v>531</v>
      </c>
      <c r="M24" s="200">
        <f>_xlfn.PERCENTILE.INC(M6:M22, 0.75)</f>
        <v>87.202624999999998</v>
      </c>
    </row>
    <row r="25" spans="2:16" outlineLevel="1" x14ac:dyDescent="0.2">
      <c r="L25" s="8" t="s">
        <v>532</v>
      </c>
      <c r="M25" s="200">
        <f>_xlfn.PERCENTILE.INC(M6:M22, 0.25)</f>
        <v>81.200500000000005</v>
      </c>
    </row>
    <row r="27" spans="2:16" ht="13.5" x14ac:dyDescent="0.25">
      <c r="B27" s="9" t="s">
        <v>533</v>
      </c>
      <c r="C27" s="9"/>
      <c r="D27" s="9"/>
      <c r="E27" s="10"/>
      <c r="F27" s="9"/>
      <c r="G27" s="9"/>
      <c r="H27" s="9"/>
      <c r="I27" s="9"/>
      <c r="J27" s="9"/>
      <c r="K27" s="9" t="s">
        <v>575</v>
      </c>
      <c r="L27" s="9"/>
      <c r="M27" s="9"/>
      <c r="N27" s="9"/>
      <c r="O27" s="9"/>
      <c r="P27" s="9"/>
    </row>
    <row r="28" spans="2:16" outlineLevel="1" x14ac:dyDescent="0.2"/>
    <row r="29" spans="2:16" ht="13.5" outlineLevel="1" x14ac:dyDescent="0.25">
      <c r="L29" s="348" t="s">
        <v>568</v>
      </c>
      <c r="M29" s="348"/>
    </row>
    <row r="30" spans="2:16" ht="40.5" outlineLevel="1" x14ac:dyDescent="0.2">
      <c r="C30" s="354" t="s">
        <v>344</v>
      </c>
      <c r="D30" s="354" t="str">
        <f xml:space="preserve"> "PCs met " &amp; Last_year</f>
        <v>PCs met 2017-18</v>
      </c>
      <c r="E30" s="354" t="str">
        <f xml:space="preserve"> "Change to " &amp; Year</f>
        <v>Change to 2018-19</v>
      </c>
      <c r="K30" s="291"/>
      <c r="L30" s="374" t="str">
        <f xml:space="preserve"> "In " &amp; Year &amp; " compared to " &amp; Last_year</f>
        <v>In 2018-19 compared to 2017-18</v>
      </c>
      <c r="M30" s="374" t="str">
        <f xml:space="preserve"> Year &amp; " (% achieved)"</f>
        <v>2018-19 (% achieved)</v>
      </c>
    </row>
    <row r="31" spans="2:16" s="84" customFormat="1" ht="15.95" customHeight="1" outlineLevel="1" x14ac:dyDescent="0.2">
      <c r="B31" s="266"/>
      <c r="C31" s="211" t="s">
        <v>79</v>
      </c>
      <c r="D31" s="196">
        <f xml:space="preserve"> VLOOKUP($C31, CALCS│Outcomes!$C$305:$L$321, MATCH( Last_year, CALCS│Outcomes!$C$2:$L$2, 0 ), 0 )</f>
        <v>0.93333333333333335</v>
      </c>
      <c r="E31" s="149">
        <f xml:space="preserve"> IFERROR( ( M31 - D31 ) / ABS( D31 ), "-" )</f>
        <v>-5.102040816326512E-3</v>
      </c>
      <c r="F31" s="266"/>
      <c r="G31" s="266"/>
      <c r="H31" s="266"/>
      <c r="I31" s="266"/>
      <c r="J31" s="266"/>
      <c r="K31" s="350" t="str">
        <f>VLOOKUP( C31, 'Map &amp; Key'!$C$70:$D$90, 2, 0 )</f>
        <v>Anglian Water</v>
      </c>
      <c r="L31" s="292" t="str">
        <f xml:space="preserve"> IFERROR( IF( ABS( E31 ) &lt;= 0.01, 'Map &amp; Key'!$C$63, IF( E31 &lt; 0, 'Map &amp; Key'!$C$65, 'Map &amp; Key'!$C$64 ) ), "-" )</f>
        <v>◄►</v>
      </c>
      <c r="M31" s="140">
        <f xml:space="preserve"> VLOOKUP($C31, CALCS│Outcomes!$C$305:$L$321, MATCH( Year, CALCS│Outcomes!$C$2:$L$2, 0 ), 0 )</f>
        <v>0.9285714285714286</v>
      </c>
      <c r="N31" s="266"/>
      <c r="O31" s="266"/>
      <c r="P31" s="266"/>
    </row>
    <row r="32" spans="2:16" s="84" customFormat="1" ht="15.95" customHeight="1" outlineLevel="1" x14ac:dyDescent="0.2">
      <c r="B32" s="266"/>
      <c r="C32" s="210" t="s">
        <v>81</v>
      </c>
      <c r="D32" s="196">
        <f xml:space="preserve"> VLOOKUP($C32, CALCS│Outcomes!$C$305:$L$321, MATCH( Last_year, CALCS│Outcomes!$C$2:$L$2, 0 ), 0 )</f>
        <v>0.77777777777777779</v>
      </c>
      <c r="E32" s="149">
        <f t="shared" ref="E32:E47" si="1" xml:space="preserve"> IFERROR( ( M32 - D32 ) / ABS( D32 ), "-" )</f>
        <v>-0.19047619047619047</v>
      </c>
      <c r="F32" s="266"/>
      <c r="G32" s="266"/>
      <c r="H32" s="266"/>
      <c r="I32" s="266"/>
      <c r="J32" s="266"/>
      <c r="K32" s="350" t="str">
        <f>VLOOKUP( C32, 'Map &amp; Key'!$C$70:$D$90, 2, 0 )</f>
        <v>Dŵr Cymru</v>
      </c>
      <c r="L32" s="358" t="str">
        <f xml:space="preserve"> IFERROR( IF( ABS( E32 ) &lt;= 0.01, 'Map &amp; Key'!$C$63, IF( E32 &lt; 0, 'Map &amp; Key'!$C$65, 'Map &amp; Key'!$C$64 ) ), "-" )</f>
        <v>▼</v>
      </c>
      <c r="M32" s="140">
        <f xml:space="preserve"> VLOOKUP($C32, CALCS│Outcomes!$C$305:$L$321, MATCH( Year, CALCS│Outcomes!$C$2:$L$2, 0 ), 0 )</f>
        <v>0.62962962962962965</v>
      </c>
      <c r="N32" s="266"/>
      <c r="O32" s="266"/>
      <c r="P32" s="266"/>
    </row>
    <row r="33" spans="2:16" s="84" customFormat="1" ht="15.95" customHeight="1" outlineLevel="1" x14ac:dyDescent="0.2">
      <c r="B33" s="266"/>
      <c r="C33" s="210" t="s">
        <v>84</v>
      </c>
      <c r="D33" s="197">
        <f xml:space="preserve"> VLOOKUP($C33, CALCS│Outcomes!$C$305:$L$321, MATCH( Last_year, CALCS│Outcomes!$C$2:$L$2, 0 ), 0 )</f>
        <v>0</v>
      </c>
      <c r="E33" s="149" t="str">
        <f t="shared" si="1"/>
        <v>-</v>
      </c>
      <c r="F33" s="266"/>
      <c r="G33" s="266"/>
      <c r="H33" s="266"/>
      <c r="I33" s="266"/>
      <c r="J33" s="266"/>
      <c r="K33" s="350" t="str">
        <f>VLOOKUP( C33, 'Map &amp; Key'!$C$70:$D$90, 2, 0 )</f>
        <v>Hafren Dyfrdwy</v>
      </c>
      <c r="L33" s="292" t="str">
        <f xml:space="preserve"> IFERROR( IF( ABS( E33 ) &lt;= 0.01, 'Map &amp; Key'!$C$63, IF( E33 &lt; 0, 'Map &amp; Key'!$C$65, 'Map &amp; Key'!$C$64 ) ), "-" )</f>
        <v>-</v>
      </c>
      <c r="M33" s="140">
        <f xml:space="preserve"> VLOOKUP($C33, CALCS│Outcomes!$C$305:$L$321, MATCH( Year, CALCS│Outcomes!$C$2:$L$2, 0 ), 0 )</f>
        <v>0.51282051282051277</v>
      </c>
      <c r="N33" s="266"/>
      <c r="O33" s="266"/>
      <c r="P33" s="266"/>
    </row>
    <row r="34" spans="2:16" s="84" customFormat="1" ht="15.95" customHeight="1" outlineLevel="1" x14ac:dyDescent="0.2">
      <c r="B34" s="266"/>
      <c r="C34" s="210" t="s">
        <v>86</v>
      </c>
      <c r="D34" s="196">
        <f xml:space="preserve"> VLOOKUP($C34, CALCS│Outcomes!$C$305:$L$321, MATCH( Last_year, CALCS│Outcomes!$C$2:$L$2, 0 ), 0 )</f>
        <v>0.75609756097560976</v>
      </c>
      <c r="E34" s="149">
        <f t="shared" si="1"/>
        <v>-0.22580645161290328</v>
      </c>
      <c r="F34" s="266"/>
      <c r="G34" s="266"/>
      <c r="H34" s="266"/>
      <c r="I34" s="266"/>
      <c r="J34" s="266"/>
      <c r="K34" s="350" t="str">
        <f>VLOOKUP( C34, 'Map &amp; Key'!$C$70:$D$90, 2, 0 )</f>
        <v>Northumbrian Water</v>
      </c>
      <c r="L34" s="358" t="str">
        <f xml:space="preserve"> IFERROR( IF( ABS( E34 ) &lt;= 0.01, 'Map &amp; Key'!$C$63, IF( E34 &lt; 0, 'Map &amp; Key'!$C$65, 'Map &amp; Key'!$C$64 ) ), "-" )</f>
        <v>▼</v>
      </c>
      <c r="M34" s="141">
        <f xml:space="preserve"> VLOOKUP($C34, CALCS│Outcomes!$C$305:$L$321, MATCH( Year, CALCS│Outcomes!$C$2:$L$2, 0 ), 0 )</f>
        <v>0.58536585365853655</v>
      </c>
      <c r="N34" s="266"/>
      <c r="O34" s="266"/>
      <c r="P34" s="266"/>
    </row>
    <row r="35" spans="2:16" s="84" customFormat="1" ht="15.95" customHeight="1" outlineLevel="1" x14ac:dyDescent="0.2">
      <c r="C35" s="210" t="s">
        <v>88</v>
      </c>
      <c r="D35" s="196">
        <f xml:space="preserve"> VLOOKUP($C35, CALCS│Outcomes!$C$305:$L$321, MATCH( Last_year, CALCS│Outcomes!$C$2:$L$2, 0 ), 0 )</f>
        <v>0</v>
      </c>
      <c r="E35" s="149" t="str">
        <f t="shared" si="1"/>
        <v>-</v>
      </c>
      <c r="F35" s="266"/>
      <c r="G35" s="266"/>
      <c r="H35" s="266"/>
      <c r="I35" s="266"/>
      <c r="J35" s="266"/>
      <c r="K35" s="350" t="str">
        <f>VLOOKUP( C35, 'Map &amp; Key'!$C$70:$D$90, 2, 0 )</f>
        <v>Severn Trent Water</v>
      </c>
      <c r="L35" s="292" t="str">
        <f xml:space="preserve"> IFERROR( IF( ABS( E35 ) &lt;= 0.01, 'Map &amp; Key'!$C$63, IF( E35 &lt; 0, 'Map &amp; Key'!$C$65, 'Map &amp; Key'!$C$64 ) ), "-" )</f>
        <v>-</v>
      </c>
      <c r="M35" s="140">
        <f xml:space="preserve"> VLOOKUP($C35, CALCS│Outcomes!$C$305:$L$321, MATCH( Year, CALCS│Outcomes!$C$2:$L$2, 0 ), 0 )</f>
        <v>0.62222222222222223</v>
      </c>
    </row>
    <row r="36" spans="2:16" s="84" customFormat="1" ht="15.95" customHeight="1" outlineLevel="1" x14ac:dyDescent="0.2">
      <c r="C36" s="212" t="s">
        <v>90</v>
      </c>
      <c r="D36" s="196">
        <f xml:space="preserve"> VLOOKUP($C36, CALCS│Outcomes!$C$305:$L$321, MATCH( Last_year, CALCS│Outcomes!$C$2:$L$2, 0 ), 0 )</f>
        <v>0.7142857142857143</v>
      </c>
      <c r="E36" s="149">
        <f t="shared" si="1"/>
        <v>0</v>
      </c>
      <c r="F36" s="266"/>
      <c r="G36" s="266"/>
      <c r="H36" s="266"/>
      <c r="I36" s="266"/>
      <c r="J36" s="266"/>
      <c r="K36" s="350" t="str">
        <f>VLOOKUP( C36, 'Map &amp; Key'!$C$70:$D$90, 2, 0 )</f>
        <v>South West Water</v>
      </c>
      <c r="L36" s="358" t="str">
        <f xml:space="preserve"> IFERROR( IF( ABS( E36 ) &lt;= 0.01, 'Map &amp; Key'!$C$63, IF( E36 &lt; 0, 'Map &amp; Key'!$C$65, 'Map &amp; Key'!$C$64 ) ), "-" )</f>
        <v>◄►</v>
      </c>
      <c r="M36" s="140">
        <f xml:space="preserve"> VLOOKUP($C36, CALCS│Outcomes!$C$305:$L$321, MATCH( Year, CALCS│Outcomes!$C$2:$L$2, 0 ), 0 )</f>
        <v>0.7142857142857143</v>
      </c>
    </row>
    <row r="37" spans="2:16" s="84" customFormat="1" ht="15.95" customHeight="1" outlineLevel="1" x14ac:dyDescent="0.2">
      <c r="C37" s="210" t="s">
        <v>93</v>
      </c>
      <c r="D37" s="196">
        <f xml:space="preserve"> VLOOKUP($C37, CALCS│Outcomes!$C$305:$L$321, MATCH( Last_year, CALCS│Outcomes!$C$2:$L$2, 0 ), 0 )</f>
        <v>0.56000000000000005</v>
      </c>
      <c r="E37" s="149">
        <f t="shared" si="1"/>
        <v>0.14285714285714277</v>
      </c>
      <c r="F37" s="266"/>
      <c r="G37" s="266"/>
      <c r="H37" s="266"/>
      <c r="I37" s="266"/>
      <c r="J37" s="266"/>
      <c r="K37" s="350" t="str">
        <f>VLOOKUP( C37, 'Map &amp; Key'!$C$70:$D$90, 2, 0 )</f>
        <v>Southern Water</v>
      </c>
      <c r="L37" s="292" t="str">
        <f xml:space="preserve"> IFERROR( IF( ABS( E37 ) &lt;= 0.01, 'Map &amp; Key'!$C$63, IF( E37 &lt; 0, 'Map &amp; Key'!$C$65, 'Map &amp; Key'!$C$64 ) ), "-" )</f>
        <v>▲</v>
      </c>
      <c r="M37" s="140">
        <f xml:space="preserve"> VLOOKUP($C37, CALCS│Outcomes!$C$305:$L$321, MATCH( Year, CALCS│Outcomes!$C$2:$L$2, 0 ), 0 )</f>
        <v>0.64</v>
      </c>
    </row>
    <row r="38" spans="2:16" s="84" customFormat="1" ht="15.95" customHeight="1" outlineLevel="1" x14ac:dyDescent="0.2">
      <c r="C38" s="210" t="s">
        <v>95</v>
      </c>
      <c r="D38" s="196">
        <f xml:space="preserve"> VLOOKUP($C38, CALCS│Outcomes!$C$305:$L$321, MATCH( Last_year, CALCS│Outcomes!$C$2:$L$2, 0 ), 0 )</f>
        <v>0.65116279069767447</v>
      </c>
      <c r="E38" s="149">
        <f t="shared" si="1"/>
        <v>-0.15535714285714286</v>
      </c>
      <c r="F38" s="266"/>
      <c r="G38" s="266"/>
      <c r="H38" s="266"/>
      <c r="I38" s="266"/>
      <c r="J38" s="266"/>
      <c r="K38" s="350" t="str">
        <f>VLOOKUP( C38, 'Map &amp; Key'!$C$70:$D$90, 2, 0 )</f>
        <v>Thames Water</v>
      </c>
      <c r="L38" s="358" t="str">
        <f xml:space="preserve"> IFERROR( IF( ABS( E38 ) &lt;= 0.01, 'Map &amp; Key'!$C$63, IF( E38 &lt; 0, 'Map &amp; Key'!$C$65, 'Map &amp; Key'!$C$64 ) ), "-" )</f>
        <v>▼</v>
      </c>
      <c r="M38" s="140">
        <f xml:space="preserve"> VLOOKUP($C38, CALCS│Outcomes!$C$305:$L$321, MATCH( Year, CALCS│Outcomes!$C$2:$L$2, 0 ), 0 )</f>
        <v>0.55000000000000004</v>
      </c>
    </row>
    <row r="39" spans="2:16" s="84" customFormat="1" ht="15.95" customHeight="1" outlineLevel="1" x14ac:dyDescent="0.2">
      <c r="C39" s="210" t="s">
        <v>97</v>
      </c>
      <c r="D39" s="196">
        <f xml:space="preserve"> VLOOKUP($C39, CALCS│Outcomes!$C$305:$L$321, MATCH( Last_year, CALCS│Outcomes!$C$2:$L$2, 0 ), 0 )</f>
        <v>0.69230769230769229</v>
      </c>
      <c r="E39" s="149">
        <f t="shared" si="1"/>
        <v>6.9958847736625487E-2</v>
      </c>
      <c r="F39" s="266"/>
      <c r="G39" s="266"/>
      <c r="H39" s="266"/>
      <c r="I39" s="266"/>
      <c r="J39" s="266"/>
      <c r="K39" s="350" t="str">
        <f>VLOOKUP( C39, 'Map &amp; Key'!$C$70:$D$90, 2, 0 )</f>
        <v>United Utilities</v>
      </c>
      <c r="L39" s="292" t="str">
        <f xml:space="preserve"> IFERROR( IF( ABS( E39 ) &lt;= 0.01, 'Map &amp; Key'!$C$63, IF( E39 &lt; 0, 'Map &amp; Key'!$C$65, 'Map &amp; Key'!$C$64 ) ), "-" )</f>
        <v>▲</v>
      </c>
      <c r="M39" s="140">
        <f xml:space="preserve"> VLOOKUP($C39, CALCS│Outcomes!$C$305:$L$321, MATCH( Year, CALCS│Outcomes!$C$2:$L$2, 0 ), 0 )</f>
        <v>0.7407407407407407</v>
      </c>
    </row>
    <row r="40" spans="2:16" s="84" customFormat="1" ht="15.95" customHeight="1" outlineLevel="1" x14ac:dyDescent="0.2">
      <c r="C40" s="210" t="s">
        <v>99</v>
      </c>
      <c r="D40" s="196">
        <f xml:space="preserve"> VLOOKUP($C40, CALCS│Outcomes!$C$305:$L$321, MATCH( Last_year, CALCS│Outcomes!$C$2:$L$2, 0 ), 0 )</f>
        <v>0.77419354838709675</v>
      </c>
      <c r="E40" s="149">
        <f t="shared" si="1"/>
        <v>0</v>
      </c>
      <c r="F40" s="266"/>
      <c r="G40" s="266"/>
      <c r="H40" s="266"/>
      <c r="I40" s="266"/>
      <c r="J40" s="266"/>
      <c r="K40" s="350" t="str">
        <f>VLOOKUP( C40, 'Map &amp; Key'!$C$70:$D$90, 2, 0 )</f>
        <v>Wessex Water</v>
      </c>
      <c r="L40" s="358" t="str">
        <f xml:space="preserve"> IFERROR( IF( ABS( E40 ) &lt;= 0.01, 'Map &amp; Key'!$C$63, IF( E40 &lt; 0, 'Map &amp; Key'!$C$65, 'Map &amp; Key'!$C$64 ) ), "-" )</f>
        <v>◄►</v>
      </c>
      <c r="M40" s="140">
        <f xml:space="preserve"> VLOOKUP($C40, CALCS│Outcomes!$C$305:$L$321, MATCH( Year, CALCS│Outcomes!$C$2:$L$2, 0 ), 0 )</f>
        <v>0.77419354838709675</v>
      </c>
    </row>
    <row r="41" spans="2:16" s="84" customFormat="1" ht="15.95" customHeight="1" outlineLevel="1" x14ac:dyDescent="0.2">
      <c r="C41" s="210" t="s">
        <v>101</v>
      </c>
      <c r="D41" s="196">
        <f xml:space="preserve"> VLOOKUP($C41, CALCS│Outcomes!$C$305:$L$321, MATCH( Last_year, CALCS│Outcomes!$C$2:$L$2, 0 ), 0 )</f>
        <v>0.72727272727272729</v>
      </c>
      <c r="E41" s="149">
        <f t="shared" si="1"/>
        <v>5.416666666666671E-2</v>
      </c>
      <c r="F41" s="266"/>
      <c r="G41" s="266"/>
      <c r="H41" s="266"/>
      <c r="I41" s="266"/>
      <c r="J41" s="266"/>
      <c r="K41" s="350" t="str">
        <f>VLOOKUP( C41, 'Map &amp; Key'!$C$70:$D$90, 2, 0 )</f>
        <v>Yorkshire Water</v>
      </c>
      <c r="L41" s="292" t="str">
        <f xml:space="preserve"> IFERROR( IF( ABS( E41 ) &lt;= 0.01, 'Map &amp; Key'!$C$63, IF( E41 &lt; 0, 'Map &amp; Key'!$C$65, 'Map &amp; Key'!$C$64 ) ), "-" )</f>
        <v>▲</v>
      </c>
      <c r="M41" s="140">
        <f xml:space="preserve"> VLOOKUP($C41, CALCS│Outcomes!$C$305:$L$321, MATCH( Year, CALCS│Outcomes!$C$2:$L$2, 0 ), 0 )</f>
        <v>0.76666666666666672</v>
      </c>
    </row>
    <row r="42" spans="2:16" s="84" customFormat="1" ht="15.95" customHeight="1" outlineLevel="1" x14ac:dyDescent="0.2">
      <c r="C42" s="210" t="s">
        <v>103</v>
      </c>
      <c r="D42" s="196">
        <f xml:space="preserve"> VLOOKUP($C42, CALCS│Outcomes!$C$305:$L$321, MATCH( Last_year, CALCS│Outcomes!$C$2:$L$2, 0 ), 0 )</f>
        <v>0.7</v>
      </c>
      <c r="E42" s="149">
        <f t="shared" si="1"/>
        <v>0.28571428571428581</v>
      </c>
      <c r="F42" s="266"/>
      <c r="G42" s="266"/>
      <c r="H42" s="266"/>
      <c r="I42" s="266"/>
      <c r="J42" s="266"/>
      <c r="K42" s="350" t="str">
        <f>VLOOKUP( C42, 'Map &amp; Key'!$C$70:$D$90, 2, 0 )</f>
        <v>Affinity Water</v>
      </c>
      <c r="L42" s="358" t="str">
        <f xml:space="preserve"> IFERROR( IF( ABS( E42 ) &lt;= 0.01, 'Map &amp; Key'!$C$63, IF( E42 &lt; 0, 'Map &amp; Key'!$C$65, 'Map &amp; Key'!$C$64 ) ), "-" )</f>
        <v>▲</v>
      </c>
      <c r="M42" s="140">
        <f xml:space="preserve"> VLOOKUP($C42, CALCS│Outcomes!$C$305:$L$321, MATCH( Year, CALCS│Outcomes!$C$2:$L$2, 0 ), 0 )</f>
        <v>0.9</v>
      </c>
    </row>
    <row r="43" spans="2:16" s="84" customFormat="1" ht="15.95" customHeight="1" outlineLevel="1" x14ac:dyDescent="0.2">
      <c r="C43" s="210" t="s">
        <v>105</v>
      </c>
      <c r="D43" s="196">
        <f xml:space="preserve"> VLOOKUP($C43, CALCS│Outcomes!$C$305:$L$321, MATCH( Last_year, CALCS│Outcomes!$C$2:$L$2, 0 ), 0 )</f>
        <v>0.42857142857142855</v>
      </c>
      <c r="E43" s="149">
        <f t="shared" si="1"/>
        <v>0</v>
      </c>
      <c r="F43" s="266"/>
      <c r="G43" s="266"/>
      <c r="H43" s="266"/>
      <c r="I43" s="266"/>
      <c r="J43" s="266"/>
      <c r="K43" s="350" t="str">
        <f>VLOOKUP( C43, 'Map &amp; Key'!$C$70:$D$90, 2, 0 )</f>
        <v>Bristol Water</v>
      </c>
      <c r="L43" s="292" t="str">
        <f xml:space="preserve"> IFERROR( IF( ABS( E43 ) &lt;= 0.01, 'Map &amp; Key'!$C$63, IF( E43 &lt; 0, 'Map &amp; Key'!$C$65, 'Map &amp; Key'!$C$64 ) ), "-" )</f>
        <v>◄►</v>
      </c>
      <c r="M43" s="140">
        <f xml:space="preserve"> VLOOKUP($C43, CALCS│Outcomes!$C$305:$L$321, MATCH( Year, CALCS│Outcomes!$C$2:$L$2, 0 ), 0 )</f>
        <v>0.42857142857142855</v>
      </c>
    </row>
    <row r="44" spans="2:16" s="84" customFormat="1" ht="15.95" customHeight="1" outlineLevel="1" x14ac:dyDescent="0.2">
      <c r="C44" s="210" t="s">
        <v>107</v>
      </c>
      <c r="D44" s="196">
        <f xml:space="preserve"> VLOOKUP($C44, CALCS│Outcomes!$C$305:$L$321, MATCH( Last_year, CALCS│Outcomes!$C$2:$L$2, 0 ), 0 )</f>
        <v>0.7</v>
      </c>
      <c r="E44" s="149">
        <f t="shared" si="1"/>
        <v>0.14285714285714299</v>
      </c>
      <c r="F44" s="266"/>
      <c r="G44" s="266"/>
      <c r="H44" s="266"/>
      <c r="I44" s="266"/>
      <c r="J44" s="266"/>
      <c r="K44" s="350" t="str">
        <f>VLOOKUP( C44, 'Map &amp; Key'!$C$70:$D$90, 2, 0 )</f>
        <v>Portsmouth Water</v>
      </c>
      <c r="L44" s="358" t="str">
        <f xml:space="preserve"> IFERROR( IF( ABS( E44 ) &lt;= 0.01, 'Map &amp; Key'!$C$63, IF( E44 &lt; 0, 'Map &amp; Key'!$C$65, 'Map &amp; Key'!$C$64 ) ), "-" )</f>
        <v>▲</v>
      </c>
      <c r="M44" s="140">
        <f xml:space="preserve"> VLOOKUP($C44, CALCS│Outcomes!$C$305:$L$321, MATCH( Year, CALCS│Outcomes!$C$2:$L$2, 0 ), 0 )</f>
        <v>0.8</v>
      </c>
    </row>
    <row r="45" spans="2:16" s="84" customFormat="1" ht="15.95" customHeight="1" outlineLevel="1" x14ac:dyDescent="0.2">
      <c r="C45" s="210" t="s">
        <v>111</v>
      </c>
      <c r="D45" s="196">
        <f xml:space="preserve"> VLOOKUP($C45, CALCS│Outcomes!$C$305:$L$321, MATCH( Last_year, CALCS│Outcomes!$C$2:$L$2, 0 ), 0 )</f>
        <v>0.35714285714285715</v>
      </c>
      <c r="E45" s="149">
        <f t="shared" si="1"/>
        <v>-9.999999999999995E-2</v>
      </c>
      <c r="F45" s="266"/>
      <c r="G45" s="266"/>
      <c r="H45" s="266"/>
      <c r="I45" s="266"/>
      <c r="J45" s="266"/>
      <c r="K45" s="350" t="str">
        <f>VLOOKUP( C45, 'Map &amp; Key'!$C$70:$D$90, 2, 0 )</f>
        <v>South East Water</v>
      </c>
      <c r="L45" s="292" t="str">
        <f xml:space="preserve"> IFERROR( IF( ABS( E45 ) &lt;= 0.01, 'Map &amp; Key'!$C$63, IF( E45 &lt; 0, 'Map &amp; Key'!$C$65, 'Map &amp; Key'!$C$64 ) ), "-" )</f>
        <v>▼</v>
      </c>
      <c r="M45" s="140">
        <f xml:space="preserve"> VLOOKUP($C45, CALCS│Outcomes!$C$305:$L$321, MATCH( Year, CALCS│Outcomes!$C$2:$L$2, 0 ), 0 )</f>
        <v>0.32142857142857145</v>
      </c>
    </row>
    <row r="46" spans="2:16" s="84" customFormat="1" ht="15.95" customHeight="1" outlineLevel="1" x14ac:dyDescent="0.2">
      <c r="C46" s="210" t="s">
        <v>113</v>
      </c>
      <c r="D46" s="196">
        <f xml:space="preserve"> VLOOKUP($C46, CALCS│Outcomes!$C$305:$L$321, MATCH( Last_year, CALCS│Outcomes!$C$2:$L$2, 0 ), 0 )</f>
        <v>0.46666666666666667</v>
      </c>
      <c r="E46" s="149">
        <f t="shared" si="1"/>
        <v>0.42857142857142849</v>
      </c>
      <c r="F46" s="266"/>
      <c r="G46" s="266"/>
      <c r="H46" s="266"/>
      <c r="I46" s="266"/>
      <c r="J46" s="266"/>
      <c r="K46" s="350" t="str">
        <f>VLOOKUP( C46, 'Map &amp; Key'!$C$70:$D$90, 2, 0 )</f>
        <v>South Staffs Water</v>
      </c>
      <c r="L46" s="358" t="str">
        <f xml:space="preserve"> IFERROR( IF( ABS( E46 ) &lt;= 0.01, 'Map &amp; Key'!$C$63, IF( E46 &lt; 0, 'Map &amp; Key'!$C$65, 'Map &amp; Key'!$C$64 ) ), "-" )</f>
        <v>▲</v>
      </c>
      <c r="M46" s="140">
        <f xml:space="preserve"> VLOOKUP($C46, CALCS│Outcomes!$C$305:$L$321, MATCH( Year, CALCS│Outcomes!$C$2:$L$2, 0 ), 0 )</f>
        <v>0.66666666666666663</v>
      </c>
    </row>
    <row r="47" spans="2:16" s="84" customFormat="1" ht="15.95" customHeight="1" outlineLevel="1" x14ac:dyDescent="0.2">
      <c r="C47" s="210" t="s">
        <v>109</v>
      </c>
      <c r="D47" s="196">
        <f xml:space="preserve"> VLOOKUP($C47, CALCS│Outcomes!$C$305:$L$321, MATCH( Last_year, CALCS│Outcomes!$C$2:$L$2, 0 ), 0 )</f>
        <v>0.76190476190476186</v>
      </c>
      <c r="E47" s="149">
        <f t="shared" si="1"/>
        <v>-6.2499999999999924E-2</v>
      </c>
      <c r="F47" s="266"/>
      <c r="G47" s="266"/>
      <c r="H47" s="266"/>
      <c r="I47" s="266"/>
      <c r="J47" s="266"/>
      <c r="K47" s="350" t="str">
        <f>VLOOKUP( C47, 'Map &amp; Key'!$C$70:$D$90, 2, 0 )</f>
        <v>SES Water</v>
      </c>
      <c r="L47" s="292" t="str">
        <f xml:space="preserve"> IFERROR( IF( ABS( E47 ) &lt;= 0.01, 'Map &amp; Key'!$C$63, IF( E47 &lt; 0, 'Map &amp; Key'!$C$65, 'Map &amp; Key'!$C$64 ) ), "-" )</f>
        <v>▼</v>
      </c>
      <c r="M47" s="140">
        <f xml:space="preserve"> VLOOKUP($C47, CALCS│Outcomes!$C$305:$L$321, MATCH( Year, CALCS│Outcomes!$C$2:$L$2, 0 ), 0 )</f>
        <v>0.7142857142857143</v>
      </c>
    </row>
    <row r="48" spans="2:16" outlineLevel="1" x14ac:dyDescent="0.2"/>
    <row r="49" spans="2:16" outlineLevel="1" x14ac:dyDescent="0.2">
      <c r="L49" s="8" t="s">
        <v>531</v>
      </c>
      <c r="M49" s="139">
        <f>_xlfn.PERCENTILE.INC(M31:M47, 0.75)</f>
        <v>0.76666666666666672</v>
      </c>
    </row>
    <row r="50" spans="2:16" outlineLevel="1" x14ac:dyDescent="0.2">
      <c r="L50" s="8" t="s">
        <v>532</v>
      </c>
      <c r="M50" s="139">
        <f>_xlfn.PERCENTILE.INC(M31:M47, 0.25)</f>
        <v>0.58536585365853655</v>
      </c>
    </row>
    <row r="52" spans="2:16" ht="13.5" x14ac:dyDescent="0.25">
      <c r="B52" s="9" t="s">
        <v>534</v>
      </c>
      <c r="C52" s="9"/>
      <c r="D52" s="9"/>
      <c r="E52" s="10"/>
      <c r="F52" s="9"/>
      <c r="G52" s="9"/>
      <c r="H52" s="9"/>
      <c r="I52" s="9"/>
      <c r="J52" s="9"/>
      <c r="K52" s="9" t="s">
        <v>576</v>
      </c>
      <c r="L52" s="9"/>
      <c r="M52" s="9"/>
      <c r="N52" s="9"/>
      <c r="O52" s="9"/>
      <c r="P52" s="9"/>
    </row>
    <row r="53" spans="2:16" outlineLevel="1" x14ac:dyDescent="0.2"/>
    <row r="54" spans="2:16" ht="13.5" outlineLevel="1" x14ac:dyDescent="0.25">
      <c r="L54" s="348" t="s">
        <v>568</v>
      </c>
      <c r="M54" s="348"/>
    </row>
    <row r="55" spans="2:16" ht="67.5" outlineLevel="1" x14ac:dyDescent="0.2">
      <c r="C55" s="354" t="s">
        <v>344</v>
      </c>
      <c r="D55" s="354" t="str">
        <f xml:space="preserve"> "ODI RoRE " &amp; Last_year</f>
        <v>ODI RoRE 2017-18</v>
      </c>
      <c r="E55" s="354" t="str">
        <f xml:space="preserve"> "Change to " &amp; Year</f>
        <v>Change to 2018-19</v>
      </c>
      <c r="K55" s="291"/>
      <c r="L55" s="374" t="str">
        <f xml:space="preserve"> "In " &amp; Year &amp; " compared to " &amp; Last_year</f>
        <v>In 2018-19 compared to 2017-18</v>
      </c>
      <c r="M55" s="374" t="s">
        <v>590</v>
      </c>
    </row>
    <row r="56" spans="2:16" s="84" customFormat="1" ht="15.95" customHeight="1" outlineLevel="1" x14ac:dyDescent="0.2">
      <c r="B56" s="266"/>
      <c r="C56" s="210" t="s">
        <v>79</v>
      </c>
      <c r="D56" s="213">
        <f xml:space="preserve"> VLOOKUP($C56, CALCS│Outcomes!$C$373:$L$389, MATCH( Last_year, CALCS│Outcomes!$C$2:$L$2, 0 ), 0 )</f>
        <v>5.2806212859576431E-3</v>
      </c>
      <c r="E56" s="214">
        <f xml:space="preserve"> IFERROR( ( M56 - D56 ) / ABS( D56 ), "-" )</f>
        <v>-9.557493646510519E-2</v>
      </c>
      <c r="F56" s="266"/>
      <c r="G56" s="266"/>
      <c r="H56" s="266"/>
      <c r="I56" s="266"/>
      <c r="J56" s="266"/>
      <c r="K56" s="350" t="str">
        <f>VLOOKUP( C56, 'Map &amp; Key'!$C$70:$D$90, 2, 0 )</f>
        <v>Anglian Water</v>
      </c>
      <c r="L56" s="292" t="str">
        <f xml:space="preserve"> IFERROR( IF( ABS( E56 ) &lt;= 0.01, 'Map &amp; Key'!$C$63, IF( E56 &lt; 0, 'Map &amp; Key'!$C$65, 'Map &amp; Key'!$C$64 ) ), "-" )</f>
        <v>▼</v>
      </c>
      <c r="M56" s="146">
        <f xml:space="preserve"> VLOOKUP($C56, CALCS│Outcomes!$C$373:$L$389, MATCH( Year, CALCS│Outcomes!$C$2:$L$2, 0 ), 0 )</f>
        <v>4.7759262420559593E-3</v>
      </c>
      <c r="N56" s="266"/>
      <c r="O56" s="266"/>
      <c r="P56" s="266"/>
    </row>
    <row r="57" spans="2:16" s="84" customFormat="1" ht="15.95" customHeight="1" outlineLevel="1" x14ac:dyDescent="0.2">
      <c r="B57" s="266"/>
      <c r="C57" s="210" t="s">
        <v>81</v>
      </c>
      <c r="D57" s="148">
        <f xml:space="preserve"> VLOOKUP($C57, CALCS│Outcomes!$C$373:$L$389, MATCH( Last_year, CALCS│Outcomes!$C$2:$L$2, 0 ), 0 )</f>
        <v>-1.8872799732474561E-3</v>
      </c>
      <c r="E57" s="126">
        <f t="shared" ref="E57:E72" si="2" xml:space="preserve"> IFERROR( ( M57 - D57 ) / ABS( D57 ), "-" )</f>
        <v>0.89632454094225633</v>
      </c>
      <c r="F57" s="266"/>
      <c r="G57" s="266"/>
      <c r="H57" s="266"/>
      <c r="I57" s="266"/>
      <c r="J57" s="266"/>
      <c r="K57" s="350" t="str">
        <f>VLOOKUP( C57, 'Map &amp; Key'!$C$70:$D$90, 2, 0 )</f>
        <v>Dŵr Cymru</v>
      </c>
      <c r="L57" s="358" t="str">
        <f xml:space="preserve"> IFERROR( IF( ABS( E57 ) &lt;= 0.01, 'Map &amp; Key'!$C$63, IF( E57 &lt; 0, 'Map &amp; Key'!$C$65, 'Map &amp; Key'!$C$64 ) ), "-" )</f>
        <v>▲</v>
      </c>
      <c r="M57" s="146">
        <f xml:space="preserve"> VLOOKUP($C57, CALCS│Outcomes!$C$373:$L$389, MATCH( Year, CALCS│Outcomes!$C$2:$L$2, 0 ), 0 )</f>
        <v>-1.9566461759691617E-4</v>
      </c>
      <c r="N57" s="266"/>
      <c r="O57" s="266"/>
      <c r="P57" s="266"/>
    </row>
    <row r="58" spans="2:16" s="84" customFormat="1" ht="15.95" customHeight="1" outlineLevel="1" x14ac:dyDescent="0.2">
      <c r="B58" s="266"/>
      <c r="C58" s="210" t="s">
        <v>84</v>
      </c>
      <c r="D58" s="148">
        <f xml:space="preserve"> VLOOKUP($C58, CALCS│Outcomes!$C$373:$L$389, MATCH( Last_year, CALCS│Outcomes!$C$2:$L$2, 0 ), 0 )</f>
        <v>4.6528163959095047E-4</v>
      </c>
      <c r="E58" s="126">
        <f t="shared" si="2"/>
        <v>-40.024549262354498</v>
      </c>
      <c r="F58" s="266"/>
      <c r="G58" s="266"/>
      <c r="H58" s="266"/>
      <c r="I58" s="266"/>
      <c r="J58" s="266"/>
      <c r="K58" s="350" t="str">
        <f>VLOOKUP( C58, 'Map &amp; Key'!$C$70:$D$90, 2, 0 )</f>
        <v>Hafren Dyfrdwy</v>
      </c>
      <c r="L58" s="292" t="s">
        <v>322</v>
      </c>
      <c r="M58" s="146">
        <f xml:space="preserve"> VLOOKUP($C58, CALCS│Outcomes!$C$373:$L$389, MATCH( Year, CALCS│Outcomes!$C$2:$L$2, 0 ), 0 )</f>
        <v>-1.8157406265086117E-2</v>
      </c>
      <c r="N58" s="266"/>
      <c r="O58" s="266"/>
      <c r="P58" s="266"/>
    </row>
    <row r="59" spans="2:16" s="84" customFormat="1" ht="15.95" customHeight="1" outlineLevel="1" x14ac:dyDescent="0.2">
      <c r="B59" s="266"/>
      <c r="C59" s="210" t="s">
        <v>86</v>
      </c>
      <c r="D59" s="148">
        <f xml:space="preserve"> VLOOKUP($C59, CALCS│Outcomes!$C$373:$L$389, MATCH( Last_year, CALCS│Outcomes!$C$2:$L$2, 0 ), 0 )</f>
        <v>2.7501875335065214E-3</v>
      </c>
      <c r="E59" s="126">
        <f t="shared" si="2"/>
        <v>-1.8420854670695859</v>
      </c>
      <c r="F59" s="266"/>
      <c r="G59" s="266"/>
      <c r="H59" s="266"/>
      <c r="I59" s="266"/>
      <c r="J59" s="266"/>
      <c r="K59" s="350" t="str">
        <f>VLOOKUP( C59, 'Map &amp; Key'!$C$70:$D$90, 2, 0 )</f>
        <v>Northumbrian Water</v>
      </c>
      <c r="L59" s="358" t="str">
        <f xml:space="preserve"> IFERROR( IF( ABS( E59 ) &lt;= 0.01, 'Map &amp; Key'!$C$63, IF( E59 &lt; 0, 'Map &amp; Key'!$C$65, 'Map &amp; Key'!$C$64 ) ), "-" )</f>
        <v>▼</v>
      </c>
      <c r="M59" s="146">
        <f xml:space="preserve"> VLOOKUP($C59, CALCS│Outcomes!$C$373:$L$389, MATCH( Year, CALCS│Outcomes!$C$2:$L$2, 0 ), 0 )</f>
        <v>-2.315892953681791E-3</v>
      </c>
      <c r="N59" s="266"/>
      <c r="O59" s="266"/>
      <c r="P59" s="266"/>
    </row>
    <row r="60" spans="2:16" s="84" customFormat="1" ht="15.95" customHeight="1" outlineLevel="1" x14ac:dyDescent="0.2">
      <c r="B60" s="266"/>
      <c r="C60" s="210" t="s">
        <v>88</v>
      </c>
      <c r="D60" s="148">
        <f xml:space="preserve"> VLOOKUP($C60, CALCS│Outcomes!$C$373:$L$389, MATCH( Last_year, CALCS│Outcomes!$C$2:$L$2, 0 ), 0 )</f>
        <v>2.0387562899867682E-2</v>
      </c>
      <c r="E60" s="126">
        <f t="shared" si="2"/>
        <v>-1.0553876828524467</v>
      </c>
      <c r="F60" s="266"/>
      <c r="G60" s="266"/>
      <c r="H60" s="266"/>
      <c r="I60" s="266"/>
      <c r="J60" s="266"/>
      <c r="K60" s="350" t="str">
        <f>VLOOKUP( C60, 'Map &amp; Key'!$C$70:$D$90, 2, 0 )</f>
        <v>Severn Trent Water</v>
      </c>
      <c r="L60" s="292" t="s">
        <v>322</v>
      </c>
      <c r="M60" s="146">
        <f xml:space="preserve"> VLOOKUP($C60, CALCS│Outcomes!$C$373:$L$389, MATCH( Year, CALCS│Outcomes!$C$2:$L$2, 0 ), 0 )</f>
        <v>-1.1292198680321771E-3</v>
      </c>
      <c r="N60" s="266"/>
      <c r="O60" s="266"/>
      <c r="P60" s="266"/>
    </row>
    <row r="61" spans="2:16" s="84" customFormat="1" ht="15.95" customHeight="1" outlineLevel="1" x14ac:dyDescent="0.2">
      <c r="B61" s="266"/>
      <c r="C61" s="212" t="s">
        <v>90</v>
      </c>
      <c r="D61" s="148">
        <f xml:space="preserve"> VLOOKUP($C61, CALCS│Outcomes!$C$373:$L$389, MATCH( Last_year, CALCS│Outcomes!$C$2:$L$2, 0 ), 0 )</f>
        <v>5.4787166951721893E-5</v>
      </c>
      <c r="E61" s="126">
        <f t="shared" si="2"/>
        <v>65.755232287971708</v>
      </c>
      <c r="F61" s="266"/>
      <c r="G61" s="266"/>
      <c r="H61" s="266"/>
      <c r="I61" s="266"/>
      <c r="J61" s="266"/>
      <c r="K61" s="350" t="str">
        <f>VLOOKUP( C61, 'Map &amp; Key'!$C$70:$D$90, 2, 0 )</f>
        <v>South West Water</v>
      </c>
      <c r="L61" s="358" t="str">
        <f xml:space="preserve"> IFERROR( IF( ABS( E61 ) &lt;= 0.01, 'Map &amp; Key'!$C$63, IF( E61 &lt; 0, 'Map &amp; Key'!$C$65, 'Map &amp; Key'!$C$64 ) ), "-" )</f>
        <v>▲</v>
      </c>
      <c r="M61" s="146">
        <f xml:space="preserve"> VLOOKUP($C61, CALCS│Outcomes!$C$373:$L$389, MATCH( Year, CALCS│Outcomes!$C$2:$L$2, 0 ), 0 )</f>
        <v>3.6573300562620817E-3</v>
      </c>
      <c r="N61" s="266"/>
      <c r="O61" s="266"/>
      <c r="P61" s="266"/>
    </row>
    <row r="62" spans="2:16" s="84" customFormat="1" ht="15.95" customHeight="1" outlineLevel="1" x14ac:dyDescent="0.2">
      <c r="B62" s="266"/>
      <c r="C62" s="210" t="s">
        <v>93</v>
      </c>
      <c r="D62" s="148">
        <f xml:space="preserve"> VLOOKUP($C62, CALCS│Outcomes!$C$373:$L$389, MATCH( Last_year, CALCS│Outcomes!$C$2:$L$2, 0 ), 0 )</f>
        <v>-1.8063239381394525E-4</v>
      </c>
      <c r="E62" s="126">
        <f t="shared" si="2"/>
        <v>-0.18824162918706303</v>
      </c>
      <c r="F62" s="266"/>
      <c r="G62" s="266"/>
      <c r="H62" s="266"/>
      <c r="I62" s="266"/>
      <c r="J62" s="266"/>
      <c r="K62" s="350" t="str">
        <f>VLOOKUP( C62, 'Map &amp; Key'!$C$70:$D$90, 2, 0 )</f>
        <v>Southern Water</v>
      </c>
      <c r="L62" s="292" t="str">
        <f xml:space="preserve"> IFERROR( IF( ABS( E62 ) &lt;= 0.01, 'Map &amp; Key'!$C$63, IF( E62 &lt; 0, 'Map &amp; Key'!$C$65, 'Map &amp; Key'!$C$64 ) ), "-" )</f>
        <v>▼</v>
      </c>
      <c r="M62" s="146">
        <f xml:space="preserve"> VLOOKUP($C62, CALCS│Outcomes!$C$373:$L$389, MATCH( Year, CALCS│Outcomes!$C$2:$L$2, 0 ), 0 )</f>
        <v>-2.1463492990944147E-4</v>
      </c>
      <c r="N62" s="266"/>
      <c r="O62" s="266"/>
      <c r="P62" s="266"/>
    </row>
    <row r="63" spans="2:16" s="84" customFormat="1" ht="15.95" customHeight="1" outlineLevel="1" x14ac:dyDescent="0.2">
      <c r="B63" s="266"/>
      <c r="C63" s="210" t="s">
        <v>95</v>
      </c>
      <c r="D63" s="148">
        <f xml:space="preserve"> VLOOKUP($C63, CALCS│Outcomes!$C$373:$L$389, MATCH( Last_year, CALCS│Outcomes!$C$2:$L$2, 0 ), 0 )</f>
        <v>-7.5880085928923067E-3</v>
      </c>
      <c r="E63" s="126">
        <f t="shared" si="2"/>
        <v>-0.49415357503713025</v>
      </c>
      <c r="F63" s="266"/>
      <c r="G63" s="266"/>
      <c r="H63" s="266"/>
      <c r="I63" s="266"/>
      <c r="J63" s="266"/>
      <c r="K63" s="350" t="str">
        <f>VLOOKUP( C63, 'Map &amp; Key'!$C$70:$D$90, 2, 0 )</f>
        <v>Thames Water</v>
      </c>
      <c r="L63" s="358" t="str">
        <f xml:space="preserve"> IFERROR( IF( ABS( E63 ) &lt;= 0.01, 'Map &amp; Key'!$C$63, IF( E63 &lt; 0, 'Map &amp; Key'!$C$65, 'Map &amp; Key'!$C$64 ) ), "-" )</f>
        <v>▼</v>
      </c>
      <c r="M63" s="146">
        <f xml:space="preserve"> VLOOKUP($C63, CALCS│Outcomes!$C$373:$L$389, MATCH( Year, CALCS│Outcomes!$C$2:$L$2, 0 ), 0 )</f>
        <v>-1.1337650166482504E-2</v>
      </c>
      <c r="N63" s="266"/>
      <c r="O63" s="266"/>
      <c r="P63" s="266"/>
    </row>
    <row r="64" spans="2:16" s="84" customFormat="1" ht="15.95" customHeight="1" outlineLevel="1" x14ac:dyDescent="0.2">
      <c r="B64" s="266"/>
      <c r="C64" s="210" t="s">
        <v>97</v>
      </c>
      <c r="D64" s="148">
        <f xml:space="preserve"> VLOOKUP($C64, CALCS│Outcomes!$C$373:$L$389, MATCH( Last_year, CALCS│Outcomes!$C$2:$L$2, 0 ), 0 )</f>
        <v>-1.9447227929787344E-3</v>
      </c>
      <c r="E64" s="126">
        <f t="shared" si="2"/>
        <v>3.7110909027672121</v>
      </c>
      <c r="F64" s="266"/>
      <c r="G64" s="266"/>
      <c r="H64" s="266"/>
      <c r="I64" s="266"/>
      <c r="J64" s="266"/>
      <c r="K64" s="350" t="str">
        <f>VLOOKUP( C64, 'Map &amp; Key'!$C$70:$D$90, 2, 0 )</f>
        <v>United Utilities</v>
      </c>
      <c r="L64" s="292" t="str">
        <f xml:space="preserve"> IFERROR( IF( ABS( E64 ) &lt;= 0.01, 'Map &amp; Key'!$C$63, IF( E64 &lt; 0, 'Map &amp; Key'!$C$65, 'Map &amp; Key'!$C$64 ) ), "-" )</f>
        <v>▲</v>
      </c>
      <c r="M64" s="146">
        <f xml:space="preserve"> VLOOKUP($C64, CALCS│Outcomes!$C$373:$L$389, MATCH( Year, CALCS│Outcomes!$C$2:$L$2, 0 ), 0 )</f>
        <v>5.2723202724486917E-3</v>
      </c>
      <c r="N64" s="266"/>
      <c r="O64" s="266"/>
      <c r="P64" s="266"/>
    </row>
    <row r="65" spans="2:16" s="84" customFormat="1" ht="15.95" customHeight="1" outlineLevel="1" x14ac:dyDescent="0.2">
      <c r="B65" s="266"/>
      <c r="C65" s="210" t="s">
        <v>99</v>
      </c>
      <c r="D65" s="148">
        <f xml:space="preserve"> VLOOKUP($C65, CALCS│Outcomes!$C$373:$L$389, MATCH( Last_year, CALCS│Outcomes!$C$2:$L$2, 0 ), 0 )</f>
        <v>6.5083626542294251E-3</v>
      </c>
      <c r="E65" s="126">
        <f t="shared" si="2"/>
        <v>-0.6278716108933976</v>
      </c>
      <c r="F65" s="266"/>
      <c r="G65" s="266"/>
      <c r="H65" s="266"/>
      <c r="I65" s="266"/>
      <c r="J65" s="266"/>
      <c r="K65" s="350" t="str">
        <f>VLOOKUP( C65, 'Map &amp; Key'!$C$70:$D$90, 2, 0 )</f>
        <v>Wessex Water</v>
      </c>
      <c r="L65" s="358" t="str">
        <f xml:space="preserve"> IFERROR( IF( ABS( E65 ) &lt;= 0.01, 'Map &amp; Key'!$C$63, IF( E65 &lt; 0, 'Map &amp; Key'!$C$65, 'Map &amp; Key'!$C$64 ) ), "-" )</f>
        <v>▼</v>
      </c>
      <c r="M65" s="146">
        <f xml:space="preserve"> VLOOKUP($C65, CALCS│Outcomes!$C$373:$L$389, MATCH( Year, CALCS│Outcomes!$C$2:$L$2, 0 ), 0 )</f>
        <v>2.4219465102399674E-3</v>
      </c>
      <c r="N65" s="266"/>
      <c r="O65" s="266"/>
      <c r="P65" s="266"/>
    </row>
    <row r="66" spans="2:16" s="84" customFormat="1" ht="15.95" customHeight="1" outlineLevel="1" x14ac:dyDescent="0.2">
      <c r="B66" s="266"/>
      <c r="C66" s="210" t="s">
        <v>101</v>
      </c>
      <c r="D66" s="148">
        <f xml:space="preserve"> VLOOKUP($C66, CALCS│Outcomes!$C$373:$L$389, MATCH( Last_year, CALCS│Outcomes!$C$2:$L$2, 0 ), 0 )</f>
        <v>5.9992990928232912E-3</v>
      </c>
      <c r="E66" s="126">
        <f t="shared" si="2"/>
        <v>-0.31139475244574161</v>
      </c>
      <c r="F66" s="266"/>
      <c r="G66" s="266"/>
      <c r="H66" s="266"/>
      <c r="I66" s="266"/>
      <c r="J66" s="266"/>
      <c r="K66" s="350" t="str">
        <f>VLOOKUP( C66, 'Map &amp; Key'!$C$70:$D$90, 2, 0 )</f>
        <v>Yorkshire Water</v>
      </c>
      <c r="L66" s="292" t="str">
        <f xml:space="preserve"> IFERROR( IF( ABS( E66 ) &lt;= 0.01, 'Map &amp; Key'!$C$63, IF( E66 &lt; 0, 'Map &amp; Key'!$C$65, 'Map &amp; Key'!$C$64 ) ), "-" )</f>
        <v>▼</v>
      </c>
      <c r="M66" s="146">
        <f xml:space="preserve"> VLOOKUP($C66, CALCS│Outcomes!$C$373:$L$389, MATCH( Year, CALCS│Outcomes!$C$2:$L$2, 0 ), 0 )</f>
        <v>4.1311488369656204E-3</v>
      </c>
      <c r="N66" s="266"/>
      <c r="O66" s="266"/>
      <c r="P66" s="266"/>
    </row>
    <row r="67" spans="2:16" s="84" customFormat="1" ht="15.95" customHeight="1" outlineLevel="1" x14ac:dyDescent="0.2">
      <c r="B67" s="266"/>
      <c r="C67" s="210" t="s">
        <v>103</v>
      </c>
      <c r="D67" s="148">
        <f xml:space="preserve"> VLOOKUP($C67, CALCS│Outcomes!$C$373:$L$389, MATCH( Last_year, CALCS│Outcomes!$C$2:$L$2, 0 ), 0 )</f>
        <v>-3.5195482100201588E-3</v>
      </c>
      <c r="E67" s="126">
        <f t="shared" si="2"/>
        <v>-3.9982230738274502</v>
      </c>
      <c r="F67" s="266"/>
      <c r="G67" s="266"/>
      <c r="H67" s="266"/>
      <c r="I67" s="266"/>
      <c r="J67" s="266"/>
      <c r="K67" s="350" t="str">
        <f>VLOOKUP( C67, 'Map &amp; Key'!$C$70:$D$90, 2, 0 )</f>
        <v>Affinity Water</v>
      </c>
      <c r="L67" s="358" t="str">
        <f xml:space="preserve"> IFERROR( IF( ABS( E67 ) &lt;= 0.01, 'Map &amp; Key'!$C$63, IF( E67 &lt; 0, 'Map &amp; Key'!$C$65, 'Map &amp; Key'!$C$64 ) ), "-" )</f>
        <v>▼</v>
      </c>
      <c r="M67" s="146">
        <f xml:space="preserve"> VLOOKUP($C67, CALCS│Outcomes!$C$373:$L$389, MATCH( Year, CALCS│Outcomes!$C$2:$L$2, 0 ), 0 )</f>
        <v>-1.7591487072770858E-2</v>
      </c>
      <c r="N67" s="266"/>
      <c r="O67" s="266"/>
      <c r="P67" s="266"/>
    </row>
    <row r="68" spans="2:16" s="84" customFormat="1" ht="15.95" customHeight="1" outlineLevel="1" x14ac:dyDescent="0.2">
      <c r="B68" s="266"/>
      <c r="C68" s="210" t="s">
        <v>105</v>
      </c>
      <c r="D68" s="148">
        <f xml:space="preserve"> VLOOKUP($C68, CALCS│Outcomes!$C$373:$L$389, MATCH( Last_year, CALCS│Outcomes!$C$2:$L$2, 0 ), 0 )</f>
        <v>-1.3848919482363985E-2</v>
      </c>
      <c r="E68" s="126">
        <f t="shared" si="2"/>
        <v>-0.45144353817638516</v>
      </c>
      <c r="F68" s="266"/>
      <c r="G68" s="266"/>
      <c r="H68" s="266"/>
      <c r="I68" s="266"/>
      <c r="J68" s="266"/>
      <c r="K68" s="350" t="str">
        <f>VLOOKUP( C68, 'Map &amp; Key'!$C$70:$D$90, 2, 0 )</f>
        <v>Bristol Water</v>
      </c>
      <c r="L68" s="292" t="str">
        <f xml:space="preserve"> IFERROR( IF( ABS( E68 ) &lt;= 0.01, 'Map &amp; Key'!$C$63, IF( E68 &lt; 0, 'Map &amp; Key'!$C$65, 'Map &amp; Key'!$C$64 ) ), "-" )</f>
        <v>▼</v>
      </c>
      <c r="M68" s="146">
        <f xml:space="preserve"> VLOOKUP($C68, CALCS│Outcomes!$C$373:$L$389, MATCH( Year, CALCS│Outcomes!$C$2:$L$2, 0 ), 0 )</f>
        <v>-2.0100924693402255E-2</v>
      </c>
      <c r="N68" s="266"/>
      <c r="O68" s="266"/>
      <c r="P68" s="266"/>
    </row>
    <row r="69" spans="2:16" s="84" customFormat="1" ht="15.95" customHeight="1" outlineLevel="1" x14ac:dyDescent="0.2">
      <c r="B69" s="266"/>
      <c r="C69" s="210" t="s">
        <v>107</v>
      </c>
      <c r="D69" s="148">
        <f xml:space="preserve"> VLOOKUP($C69, CALCS│Outcomes!$C$373:$L$389, MATCH( Last_year, CALCS│Outcomes!$C$2:$L$2, 0 ), 0 )</f>
        <v>-6.8106987495565969E-3</v>
      </c>
      <c r="E69" s="126">
        <f t="shared" si="2"/>
        <v>-0.1288722795629394</v>
      </c>
      <c r="F69" s="266"/>
      <c r="G69" s="266"/>
      <c r="H69" s="266"/>
      <c r="I69" s="266"/>
      <c r="J69" s="266"/>
      <c r="K69" s="350" t="str">
        <f>VLOOKUP( C69, 'Map &amp; Key'!$C$70:$D$90, 2, 0 )</f>
        <v>Portsmouth Water</v>
      </c>
      <c r="L69" s="358" t="str">
        <f xml:space="preserve"> IFERROR( IF( ABS( E69 ) &lt;= 0.01, 'Map &amp; Key'!$C$63, IF( E69 &lt; 0, 'Map &amp; Key'!$C$65, 'Map &amp; Key'!$C$64 ) ), "-" )</f>
        <v>▼</v>
      </c>
      <c r="M69" s="146">
        <f xml:space="preserve"> VLOOKUP($C69, CALCS│Outcomes!$C$373:$L$389, MATCH( Year, CALCS│Outcomes!$C$2:$L$2, 0 ), 0 )</f>
        <v>-7.6884090228284165E-3</v>
      </c>
      <c r="N69" s="266"/>
      <c r="O69" s="266"/>
      <c r="P69" s="266"/>
    </row>
    <row r="70" spans="2:16" s="84" customFormat="1" ht="15.95" customHeight="1" outlineLevel="1" x14ac:dyDescent="0.2">
      <c r="B70" s="266"/>
      <c r="C70" s="210" t="s">
        <v>111</v>
      </c>
      <c r="D70" s="148">
        <f xml:space="preserve"> VLOOKUP($C70, CALCS│Outcomes!$C$373:$L$389, MATCH( Last_year, CALCS│Outcomes!$C$2:$L$2, 0 ), 0 )</f>
        <v>-3.5578551199056717E-3</v>
      </c>
      <c r="E70" s="126">
        <f t="shared" si="2"/>
        <v>0.96996849887589121</v>
      </c>
      <c r="F70" s="266"/>
      <c r="G70" s="266"/>
      <c r="H70" s="266"/>
      <c r="I70" s="266"/>
      <c r="J70" s="266"/>
      <c r="K70" s="350" t="str">
        <f>VLOOKUP( C70, 'Map &amp; Key'!$C$70:$D$90, 2, 0 )</f>
        <v>South East Water</v>
      </c>
      <c r="L70" s="292" t="str">
        <f xml:space="preserve"> IFERROR( IF( ABS( E70 ) &lt;= 0.01, 'Map &amp; Key'!$C$63, IF( E70 &lt; 0, 'Map &amp; Key'!$C$65, 'Map &amp; Key'!$C$64 ) ), "-" )</f>
        <v>▲</v>
      </c>
      <c r="M70" s="146">
        <f xml:space="preserve"> VLOOKUP($C70, CALCS│Outcomes!$C$373:$L$389, MATCH( Year, CALCS│Outcomes!$C$2:$L$2, 0 ), 0 )</f>
        <v>-1.0684773003286329E-4</v>
      </c>
      <c r="N70" s="266"/>
      <c r="O70" s="266"/>
      <c r="P70" s="266"/>
    </row>
    <row r="71" spans="2:16" s="84" customFormat="1" ht="15.95" customHeight="1" outlineLevel="1" x14ac:dyDescent="0.2">
      <c r="B71" s="266"/>
      <c r="C71" s="210" t="s">
        <v>113</v>
      </c>
      <c r="D71" s="148">
        <f xml:space="preserve"> VLOOKUP($C71, CALCS│Outcomes!$C$373:$L$389, MATCH( Last_year, CALCS│Outcomes!$C$2:$L$2, 0 ), 0 )</f>
        <v>-2.0202433382524778E-3</v>
      </c>
      <c r="E71" s="126">
        <f t="shared" si="2"/>
        <v>1.9427384009372366</v>
      </c>
      <c r="F71" s="266"/>
      <c r="G71" s="266"/>
      <c r="H71" s="266"/>
      <c r="I71" s="266"/>
      <c r="J71" s="266"/>
      <c r="K71" s="350" t="str">
        <f>VLOOKUP( C71, 'Map &amp; Key'!$C$70:$D$90, 2, 0 )</f>
        <v>South Staffs Water</v>
      </c>
      <c r="L71" s="358" t="str">
        <f xml:space="preserve"> IFERROR( IF( ABS( E71 ) &lt;= 0.01, 'Map &amp; Key'!$C$63, IF( E71 &lt; 0, 'Map &amp; Key'!$C$65, 'Map &amp; Key'!$C$64 ) ), "-" )</f>
        <v>▲</v>
      </c>
      <c r="M71" s="146">
        <f xml:space="preserve"> VLOOKUP($C71, CALCS│Outcomes!$C$373:$L$389, MATCH( Year, CALCS│Outcomes!$C$2:$L$2, 0 ), 0 )</f>
        <v>1.9045609742082456E-3</v>
      </c>
      <c r="N71" s="266"/>
      <c r="O71" s="266"/>
      <c r="P71" s="266"/>
    </row>
    <row r="72" spans="2:16" s="84" customFormat="1" ht="15.95" customHeight="1" outlineLevel="1" x14ac:dyDescent="0.2">
      <c r="B72" s="266"/>
      <c r="C72" s="210" t="s">
        <v>109</v>
      </c>
      <c r="D72" s="148">
        <f xml:space="preserve"> VLOOKUP($C72, CALCS│Outcomes!$C$373:$L$389, MATCH( Last_year, CALCS│Outcomes!$C$2:$L$2, 0 ), 0 )</f>
        <v>3.6054614231974267E-3</v>
      </c>
      <c r="E72" s="126">
        <f t="shared" si="2"/>
        <v>-1.5007824982693934</v>
      </c>
      <c r="F72" s="266"/>
      <c r="G72" s="266"/>
      <c r="H72" s="266"/>
      <c r="I72" s="266"/>
      <c r="J72" s="266"/>
      <c r="K72" s="350" t="str">
        <f>VLOOKUP( C72, 'Map &amp; Key'!$C$70:$D$90, 2, 0 )</f>
        <v>SES Water</v>
      </c>
      <c r="L72" s="292" t="str">
        <f xml:space="preserve"> IFERROR( IF( ABS( E72 ) &lt;= 0.01, 'Map &amp; Key'!$C$63, IF( E72 &lt; 0, 'Map &amp; Key'!$C$65, 'Map &amp; Key'!$C$64 ) ), "-" )</f>
        <v>▼</v>
      </c>
      <c r="M72" s="146">
        <f xml:space="preserve"> VLOOKUP($C72, CALCS│Outcomes!$C$373:$L$389, MATCH( Year, CALCS│Outcomes!$C$2:$L$2, 0 ), 0 )</f>
        <v>-1.8055519789227303E-3</v>
      </c>
      <c r="N72" s="266"/>
      <c r="O72" s="266"/>
      <c r="P72" s="266"/>
    </row>
    <row r="73" spans="2:16" outlineLevel="1" x14ac:dyDescent="0.2"/>
    <row r="74" spans="2:16" outlineLevel="1" x14ac:dyDescent="0.2">
      <c r="L74" s="8" t="s">
        <v>531</v>
      </c>
      <c r="M74" s="147">
        <f>_xlfn.PERCENTILE.INC(M56:M72, 0.75)</f>
        <v>2.4219465102399674E-3</v>
      </c>
    </row>
    <row r="75" spans="2:16" outlineLevel="1" x14ac:dyDescent="0.2">
      <c r="L75" s="8" t="s">
        <v>532</v>
      </c>
      <c r="M75" s="147">
        <f>_xlfn.PERCENTILE.INC(M56:M72, 0.25)</f>
        <v>-7.6884090228284165E-3</v>
      </c>
    </row>
    <row r="77" spans="2:16" ht="13.5" x14ac:dyDescent="0.25">
      <c r="B77" s="9" t="s">
        <v>160</v>
      </c>
      <c r="C77" s="9"/>
      <c r="D77" s="9"/>
      <c r="E77" s="10"/>
      <c r="F77" s="9"/>
      <c r="G77" s="9"/>
      <c r="H77" s="9"/>
      <c r="I77" s="9"/>
      <c r="J77" s="9"/>
      <c r="K77" s="9" t="s">
        <v>577</v>
      </c>
      <c r="L77" s="9"/>
      <c r="M77" s="9"/>
      <c r="N77" s="9"/>
      <c r="O77" s="9"/>
      <c r="P77" s="9"/>
    </row>
    <row r="78" spans="2:16" outlineLevel="1" x14ac:dyDescent="0.2"/>
    <row r="79" spans="2:16" ht="40.5" outlineLevel="1" x14ac:dyDescent="0.25">
      <c r="L79" s="347" t="s">
        <v>569</v>
      </c>
      <c r="M79" s="347"/>
      <c r="N79" s="347"/>
      <c r="O79" s="296" t="str">
        <f xml:space="preserve"> "Relative performance (" &amp; Year &amp; ")"</f>
        <v>Relative performance (2018-19)</v>
      </c>
    </row>
    <row r="80" spans="2:16" ht="51" customHeight="1" outlineLevel="1" x14ac:dyDescent="0.2">
      <c r="C80" s="354" t="s">
        <v>344</v>
      </c>
      <c r="D80" s="354" t="str">
        <f xml:space="preserve"> "PCs met " &amp; Last_year</f>
        <v>PCs met 2017-18</v>
      </c>
      <c r="E80" s="354" t="str">
        <f xml:space="preserve"> "PCs met " &amp; Year</f>
        <v>PCs met 2018-19</v>
      </c>
      <c r="F80" s="354" t="str">
        <f xml:space="preserve"> Year &amp; " actual PC1"</f>
        <v>2018-19 actual PC1</v>
      </c>
      <c r="G80" s="354" t="str">
        <f xml:space="preserve"> Year &amp; " actual PC2"</f>
        <v>2018-19 actual PC2</v>
      </c>
      <c r="H80" s="354" t="str">
        <f xml:space="preserve"> Year &amp; " target PC1"</f>
        <v>2018-19 target PC1</v>
      </c>
      <c r="I80" s="354" t="str">
        <f xml:space="preserve"> Year &amp; " target PC2"</f>
        <v>2018-19 target PC2</v>
      </c>
      <c r="K80" s="291"/>
      <c r="L80" s="374" t="s">
        <v>535</v>
      </c>
      <c r="M80" s="374" t="s">
        <v>536</v>
      </c>
      <c r="N80" s="374" t="s">
        <v>537</v>
      </c>
      <c r="O80" s="374" t="s">
        <v>538</v>
      </c>
    </row>
    <row r="81" spans="2:16" s="84" customFormat="1" ht="15.95" customHeight="1" outlineLevel="1" x14ac:dyDescent="0.2">
      <c r="B81" s="266"/>
      <c r="C81" s="211" t="s">
        <v>79</v>
      </c>
      <c r="D81" s="98">
        <f ca="1">'CALCS│Performance Commitments'!L10</f>
        <v>1</v>
      </c>
      <c r="E81" s="98">
        <f ca="1">'CALCS│Performance Commitments'!T10</f>
        <v>1</v>
      </c>
      <c r="F81" s="99">
        <f>'CALCS│Performance Commitments'!V10</f>
        <v>186</v>
      </c>
      <c r="G81" s="99" t="str">
        <f ca="1">'CALCS│Performance Commitments'!W10</f>
        <v>-</v>
      </c>
      <c r="H81" s="99">
        <f>'CALCS│Performance Commitments'!X10</f>
        <v>192</v>
      </c>
      <c r="I81" s="99" t="str">
        <f ca="1">'CALCS│Performance Commitments'!Y10</f>
        <v>-</v>
      </c>
      <c r="J81" s="266"/>
      <c r="K81" s="350" t="str">
        <f>VLOOKUP( C81, 'Map &amp; Key'!$C$70:$D$90, 2, 0 )</f>
        <v>Anglian Water</v>
      </c>
      <c r="L81" s="142" t="str">
        <f ca="1" xml:space="preserve"> _xlfn.IFNA( IF( OR( H81 = "-", D81 = "-" ), "-", IF( E81 = D81, 'Map &amp; Key'!$C$63, IF( E81 &gt; D81, 'Map &amp; Key'!$C$64, 'Map &amp; Key'!$C$65 ) ) ), "-" )</f>
        <v>◄►</v>
      </c>
      <c r="M81" s="359">
        <f ca="1" xml:space="preserve"> IF( OR( G81 = "-", I81 = "-" ), F81, TEXT( F81, "0.00" ) &amp; " (" &amp; TEXT( G81, "0.00" ) &amp; ")" )</f>
        <v>186</v>
      </c>
      <c r="N81" s="359">
        <f ca="1" xml:space="preserve"> IF( OR( G81 = "-", I81 = "-" ), H81, TEXT( H81, "0.00" ) &amp; " (" &amp; TEXT( I81, "0.00" ) &amp; ")" )</f>
        <v>192</v>
      </c>
      <c r="O81" s="143">
        <f xml:space="preserve"> VLOOKUP( C81, CALCS│Outcomes!$C$55:$L$71, MATCH( Year, CALCS│Outcomes!$C$2:$L$2, 0), 0 )</f>
        <v>4.9564129941698409</v>
      </c>
      <c r="P81" s="266"/>
    </row>
    <row r="82" spans="2:16" s="84" customFormat="1" ht="15.95" customHeight="1" outlineLevel="1" x14ac:dyDescent="0.2">
      <c r="B82" s="266"/>
      <c r="C82" s="210" t="s">
        <v>81</v>
      </c>
      <c r="D82" s="98">
        <f ca="1">'CALCS│Performance Commitments'!L11</f>
        <v>1</v>
      </c>
      <c r="E82" s="98">
        <f ca="1">'CALCS│Performance Commitments'!T11</f>
        <v>1</v>
      </c>
      <c r="F82" s="99">
        <f>'CALCS│Performance Commitments'!V11</f>
        <v>170</v>
      </c>
      <c r="G82" s="99" t="str">
        <f ca="1">'CALCS│Performance Commitments'!W11</f>
        <v>-</v>
      </c>
      <c r="H82" s="99">
        <f>'CALCS│Performance Commitments'!X11</f>
        <v>171</v>
      </c>
      <c r="I82" s="99" t="str">
        <f ca="1">'CALCS│Performance Commitments'!Y11</f>
        <v>-</v>
      </c>
      <c r="J82" s="266"/>
      <c r="K82" s="350" t="str">
        <f>VLOOKUP( C82, 'Map &amp; Key'!$C$70:$D$90, 2, 0 )</f>
        <v>Dŵr Cymru</v>
      </c>
      <c r="L82" s="144" t="str">
        <f ca="1" xml:space="preserve"> _xlfn.IFNA( IF( OR( H82 = "-", D82 = "-" ), "-", IF( E82 = D82, 'Map &amp; Key'!$C$63, IF( E82 &gt; D82, 'Map &amp; Key'!$C$64, 'Map &amp; Key'!$C$65 ) ) ), "-" )</f>
        <v>◄►</v>
      </c>
      <c r="M82" s="359">
        <f t="shared" ref="M82:M96" ca="1" si="3" xml:space="preserve"> IF( OR( G82 = "-", I82 = "-" ), F82, TEXT( F82, "0.00" ) &amp; " (" &amp; TEXT( G82, "0.00" ) &amp; ")" )</f>
        <v>170</v>
      </c>
      <c r="N82" s="359">
        <f ca="1" xml:space="preserve"> IF( OR( G82 = "-", I82 = "-" ), H82, TEXT( H82, "0.00" ) &amp; " (" &amp; TEXT( I82, "0.00" ) &amp; ")" )</f>
        <v>171</v>
      </c>
      <c r="O82" s="143">
        <f xml:space="preserve"> VLOOKUP( C82, CALCS│Outcomes!$C$55:$L$71, MATCH( Year, CALCS│Outcomes!$C$2:$L$2, 0), 0 )</f>
        <v>6.132887673452851</v>
      </c>
      <c r="P82" s="266"/>
    </row>
    <row r="83" spans="2:16" s="84" customFormat="1" ht="15.95" customHeight="1" outlineLevel="1" x14ac:dyDescent="0.2">
      <c r="B83" s="266"/>
      <c r="C83" s="210" t="s">
        <v>84</v>
      </c>
      <c r="D83" s="132" t="str">
        <f>'CALCS│Performance Commitments'!L12</f>
        <v>-</v>
      </c>
      <c r="E83" s="98">
        <f ca="1">'CALCS│Performance Commitments'!T12</f>
        <v>0</v>
      </c>
      <c r="F83" s="99">
        <f>'CALCS│Performance Commitments'!V12</f>
        <v>15.271547781797601</v>
      </c>
      <c r="G83" s="99" t="str">
        <f ca="1">'CALCS│Performance Commitments'!W12</f>
        <v>-</v>
      </c>
      <c r="H83" s="99">
        <f>'CALCS│Performance Commitments'!X12</f>
        <v>11.72</v>
      </c>
      <c r="I83" s="99" t="str">
        <f ca="1">'CALCS│Performance Commitments'!Y12</f>
        <v>-</v>
      </c>
      <c r="J83" s="266"/>
      <c r="K83" s="350" t="str">
        <f>VLOOKUP( C83, 'Map &amp; Key'!$C$70:$D$90, 2, 0 )</f>
        <v>Hafren Dyfrdwy</v>
      </c>
      <c r="L83" s="144" t="str">
        <f xml:space="preserve"> _xlfn.IFNA( IF( OR( H83 = "-", D83 = "-" ), "-", IF( E83 = D83, 'Map &amp; Key'!$C$63, IF( E83 &gt; D83, 'Map &amp; Key'!$C$64, 'Map &amp; Key'!$C$65 ) ) ), "-" )</f>
        <v>-</v>
      </c>
      <c r="M83" s="359">
        <f t="shared" ca="1" si="3"/>
        <v>15.271547781797601</v>
      </c>
      <c r="N83" s="359">
        <f t="shared" ref="N83:N97" ca="1" si="4" xml:space="preserve"> IF( OR( G83 = "-", I83 = "-" ), H83, TEXT( H83, "0.00" ) &amp; " (" &amp; TEXT( I83, "0.00" ) &amp; ")" )</f>
        <v>11.72</v>
      </c>
      <c r="O83" s="143">
        <f xml:space="preserve"> VLOOKUP( C83, CALCS│Outcomes!$C$55:$L$71, MATCH( Year, CALCS│Outcomes!$C$2:$L$2, 0), 0 )</f>
        <v>5.8599585931543228</v>
      </c>
      <c r="P83" s="266"/>
    </row>
    <row r="84" spans="2:16" s="84" customFormat="1" ht="15.95" customHeight="1" outlineLevel="1" x14ac:dyDescent="0.2">
      <c r="B84" s="266"/>
      <c r="C84" s="210" t="s">
        <v>86</v>
      </c>
      <c r="D84" s="98">
        <f ca="1">'CALCS│Performance Commitments'!L13</f>
        <v>0</v>
      </c>
      <c r="E84" s="98">
        <f ca="1">'CALCS│Performance Commitments'!T13</f>
        <v>1</v>
      </c>
      <c r="F84" s="99">
        <f>'CALCS│Performance Commitments'!V13</f>
        <v>200.44</v>
      </c>
      <c r="G84" s="99" t="str">
        <f ca="1">'CALCS│Performance Commitments'!W13</f>
        <v>-</v>
      </c>
      <c r="H84" s="99">
        <f>'CALCS│Performance Commitments'!X13</f>
        <v>203</v>
      </c>
      <c r="I84" s="99" t="str">
        <f ca="1">'CALCS│Performance Commitments'!Y13</f>
        <v>-</v>
      </c>
      <c r="J84" s="266"/>
      <c r="K84" s="350" t="str">
        <f>VLOOKUP( C84, 'Map &amp; Key'!$C$70:$D$90, 2, 0 )</f>
        <v>Northumbrian Water</v>
      </c>
      <c r="L84" s="144" t="str">
        <f ca="1" xml:space="preserve"> _xlfn.IFNA( IF( OR( H84 = "-", D84 = "-" ), "-", IF( E84 = D84, 'Map &amp; Key'!$C$63, IF( E84 &gt; D84, 'Map &amp; Key'!$C$64, 'Map &amp; Key'!$C$65 ) ) ), "-" )</f>
        <v>▲</v>
      </c>
      <c r="M84" s="359">
        <f t="shared" ca="1" si="3"/>
        <v>200.44</v>
      </c>
      <c r="N84" s="359">
        <f t="shared" ca="1" si="4"/>
        <v>203</v>
      </c>
      <c r="O84" s="143">
        <f xml:space="preserve"> VLOOKUP( C84, CALCS│Outcomes!$C$55:$L$71, MATCH( Year, CALCS│Outcomes!$C$2:$L$2, 0), 0 )</f>
        <v>7.6996654156567033</v>
      </c>
      <c r="P84" s="266"/>
    </row>
    <row r="85" spans="2:16" s="84" customFormat="1" ht="15.95" customHeight="1" outlineLevel="1" x14ac:dyDescent="0.2">
      <c r="C85" s="210" t="s">
        <v>88</v>
      </c>
      <c r="D85" s="98" t="str">
        <f>'CALCS│Performance Commitments'!L14</f>
        <v>-</v>
      </c>
      <c r="E85" s="98">
        <f ca="1">'CALCS│Performance Commitments'!T14</f>
        <v>1</v>
      </c>
      <c r="F85" s="99">
        <f>'CALCS│Performance Commitments'!V14</f>
        <v>424.36652485424281</v>
      </c>
      <c r="G85" s="99" t="str">
        <f ca="1">'CALCS│Performance Commitments'!W14</f>
        <v>-</v>
      </c>
      <c r="H85" s="99">
        <f>'CALCS│Performance Commitments'!X14</f>
        <v>428.02</v>
      </c>
      <c r="I85" s="99" t="str">
        <f ca="1">'CALCS│Performance Commitments'!Y14</f>
        <v>-</v>
      </c>
      <c r="J85" s="266"/>
      <c r="K85" s="350" t="str">
        <f>VLOOKUP( C85, 'Map &amp; Key'!$C$70:$D$90, 2, 0 )</f>
        <v>Severn Trent Water</v>
      </c>
      <c r="L85" s="144" t="str">
        <f xml:space="preserve"> _xlfn.IFNA( IF( OR( H85 = "-", D85 = "-" ), "-", IF( E85 = D85, 'Map &amp; Key'!$C$63, IF( E85 &gt; D85, 'Map &amp; Key'!$C$64, 'Map &amp; Key'!$C$65 ) ) ), "-" )</f>
        <v>-</v>
      </c>
      <c r="M85" s="359">
        <f t="shared" ca="1" si="3"/>
        <v>424.36652485424281</v>
      </c>
      <c r="N85" s="359">
        <f t="shared" ca="1" si="4"/>
        <v>428.02</v>
      </c>
      <c r="O85" s="143">
        <f xml:space="preserve"> VLOOKUP( C85, CALCS│Outcomes!$C$55:$L$71, MATCH( Year, CALCS│Outcomes!$C$2:$L$2, 0), 0 )</f>
        <v>9.0647717467195612</v>
      </c>
    </row>
    <row r="86" spans="2:16" s="84" customFormat="1" ht="15.95" customHeight="1" outlineLevel="1" x14ac:dyDescent="0.2">
      <c r="C86" s="212" t="s">
        <v>90</v>
      </c>
      <c r="D86" s="132">
        <f ca="1">'CALCS│Performance Commitments'!L15</f>
        <v>1</v>
      </c>
      <c r="E86" s="98">
        <f ca="1">'CALCS│Performance Commitments'!T15</f>
        <v>1</v>
      </c>
      <c r="F86" s="99">
        <f>'CALCS│Performance Commitments'!V15</f>
        <v>84</v>
      </c>
      <c r="G86" s="99">
        <f>'CALCS│Performance Commitments'!W15</f>
        <v>18.279320362470102</v>
      </c>
      <c r="H86" s="99">
        <f>'CALCS│Performance Commitments'!X15</f>
        <v>84</v>
      </c>
      <c r="I86" s="99" t="str">
        <f>'CALCS│Performance Commitments'!Y15</f>
        <v>-</v>
      </c>
      <c r="J86" s="266"/>
      <c r="K86" s="350" t="str">
        <f>VLOOKUP( C86, 'Map &amp; Key'!$C$70:$D$90, 2, 0 )</f>
        <v>South West Water</v>
      </c>
      <c r="L86" s="144" t="str">
        <f ca="1" xml:space="preserve"> _xlfn.IFNA( IF( OR( H86 = "-", D86 = "-" ), "-", IF( E86 = D86, 'Map &amp; Key'!$C$63, IF( E86 &gt; D86, 'Map &amp; Key'!$C$64, 'Map &amp; Key'!$C$65 ) ) ), "-" )</f>
        <v>◄►</v>
      </c>
      <c r="M86" s="359">
        <f t="shared" si="3"/>
        <v>84</v>
      </c>
      <c r="N86" s="359">
        <f t="shared" si="4"/>
        <v>84</v>
      </c>
      <c r="O86" s="143">
        <f xml:space="preserve"> VLOOKUP( C86, CALCS│Outcomes!$C$55:$L$71, MATCH( Year, CALCS│Outcomes!$C$2:$L$2, 0), 0 )</f>
        <v>5.6632236631823778</v>
      </c>
    </row>
    <row r="87" spans="2:16" s="84" customFormat="1" ht="15.95" customHeight="1" outlineLevel="1" x14ac:dyDescent="0.2">
      <c r="C87" s="210" t="s">
        <v>93</v>
      </c>
      <c r="D87" s="98" t="str">
        <f>'CALCS│Performance Commitments'!L16</f>
        <v>-</v>
      </c>
      <c r="E87" s="98" t="str">
        <f>'CALCS│Performance Commitments'!T16</f>
        <v>-</v>
      </c>
      <c r="F87" s="99">
        <f>'CALCS│Performance Commitments'!V16</f>
        <v>101.8</v>
      </c>
      <c r="G87" s="99" t="str">
        <f ca="1">'CALCS│Performance Commitments'!W16</f>
        <v>-</v>
      </c>
      <c r="H87" s="99" t="str">
        <f>'CALCS│Performance Commitments'!X16</f>
        <v>-</v>
      </c>
      <c r="I87" s="99" t="str">
        <f ca="1">'CALCS│Performance Commitments'!Y16</f>
        <v>-</v>
      </c>
      <c r="J87" s="266"/>
      <c r="K87" s="350" t="str">
        <f>VLOOKUP( C87, 'Map &amp; Key'!$C$70:$D$90, 2, 0 )</f>
        <v>Southern Water</v>
      </c>
      <c r="L87" s="144" t="str">
        <f xml:space="preserve"> _xlfn.IFNA( IF( OR( H87 = "-", D87 = "-" ), "-", IF( E87 = D87, 'Map &amp; Key'!$C$63, IF( E87 &gt; D87, 'Map &amp; Key'!$C$64, 'Map &amp; Key'!$C$65 ) ) ), "-" )</f>
        <v>-</v>
      </c>
      <c r="M87" s="359">
        <f t="shared" ca="1" si="3"/>
        <v>101.8</v>
      </c>
      <c r="N87" s="359" t="str">
        <f t="shared" ca="1" si="4"/>
        <v>-</v>
      </c>
      <c r="O87" s="143">
        <f xml:space="preserve"> VLOOKUP( C87, CALCS│Outcomes!$C$55:$L$71, MATCH( Year, CALCS│Outcomes!$C$2:$L$2, 0), 0 )</f>
        <v>7.3103922556333396</v>
      </c>
    </row>
    <row r="88" spans="2:16" s="84" customFormat="1" ht="15.95" customHeight="1" outlineLevel="1" x14ac:dyDescent="0.2">
      <c r="C88" s="210" t="s">
        <v>95</v>
      </c>
      <c r="D88" s="98">
        <f ca="1">'CALCS│Performance Commitments'!L17</f>
        <v>0</v>
      </c>
      <c r="E88" s="98">
        <f ca="1">'CALCS│Performance Commitments'!T17</f>
        <v>0</v>
      </c>
      <c r="F88" s="99">
        <f>'CALCS│Performance Commitments'!V17</f>
        <v>690</v>
      </c>
      <c r="G88" s="99" t="str">
        <f ca="1">'CALCS│Performance Commitments'!W17</f>
        <v>-</v>
      </c>
      <c r="H88" s="99">
        <f>'CALCS│Performance Commitments'!X17</f>
        <v>612</v>
      </c>
      <c r="I88" s="99" t="str">
        <f ca="1">'CALCS│Performance Commitments'!Y17</f>
        <v>-</v>
      </c>
      <c r="J88" s="266"/>
      <c r="K88" s="350" t="str">
        <f>VLOOKUP( C88, 'Map &amp; Key'!$C$70:$D$90, 2, 0 )</f>
        <v>Thames Water</v>
      </c>
      <c r="L88" s="144" t="str">
        <f ca="1" xml:space="preserve"> _xlfn.IFNA( IF( OR( H88 = "-", D88 = "-" ), "-", IF( E88 = D88, 'Map &amp; Key'!$C$63, IF( E88 &gt; D88, 'Map &amp; Key'!$C$64, 'Map &amp; Key'!$C$65 ) ) ), "-" )</f>
        <v>◄►</v>
      </c>
      <c r="M88" s="359">
        <f t="shared" ca="1" si="3"/>
        <v>690</v>
      </c>
      <c r="N88" s="359">
        <f t="shared" ca="1" si="4"/>
        <v>612</v>
      </c>
      <c r="O88" s="143">
        <f xml:space="preserve"> VLOOKUP( C88, CALCS│Outcomes!$C$55:$L$71, MATCH( Year, CALCS│Outcomes!$C$2:$L$2, 0), 0 )</f>
        <v>21.882411155978417</v>
      </c>
    </row>
    <row r="89" spans="2:16" s="84" customFormat="1" ht="15.95" customHeight="1" outlineLevel="1" x14ac:dyDescent="0.2">
      <c r="C89" s="210" t="s">
        <v>97</v>
      </c>
      <c r="D89" s="98">
        <f ca="1">'CALCS│Performance Commitments'!L18</f>
        <v>1</v>
      </c>
      <c r="E89" s="98">
        <f ca="1">'CALCS│Performance Commitments'!T18</f>
        <v>1</v>
      </c>
      <c r="F89" s="99">
        <f>'CALCS│Performance Commitments'!V18</f>
        <v>455.95</v>
      </c>
      <c r="G89" s="99" t="str">
        <f ca="1">'CALCS│Performance Commitments'!W18</f>
        <v>-</v>
      </c>
      <c r="H89" s="99">
        <f>'CALCS│Performance Commitments'!X18</f>
        <v>462.65</v>
      </c>
      <c r="I89" s="99" t="str">
        <f ca="1">'CALCS│Performance Commitments'!Y18</f>
        <v>-</v>
      </c>
      <c r="J89" s="266"/>
      <c r="K89" s="350" t="str">
        <f>VLOOKUP( C89, 'Map &amp; Key'!$C$70:$D$90, 2, 0 )</f>
        <v>United Utilities</v>
      </c>
      <c r="L89" s="144" t="str">
        <f ca="1" xml:space="preserve"> _xlfn.IFNA( IF( OR( H89 = "-", D89 = "-" ), "-", IF( E89 = D89, 'Map &amp; Key'!$C$63, IF( E89 &gt; D89, 'Map &amp; Key'!$C$64, 'Map &amp; Key'!$C$65 ) ) ), "-" )</f>
        <v>◄►</v>
      </c>
      <c r="M89" s="359">
        <f t="shared" ca="1" si="3"/>
        <v>455.95</v>
      </c>
      <c r="N89" s="359">
        <f t="shared" ca="1" si="4"/>
        <v>462.65</v>
      </c>
      <c r="O89" s="143">
        <f xml:space="preserve"> VLOOKUP( C89, CALCS│Outcomes!$C$55:$L$71, MATCH( Year, CALCS│Outcomes!$C$2:$L$2, 0), 0 )</f>
        <v>10.805577297917344</v>
      </c>
    </row>
    <row r="90" spans="2:16" s="84" customFormat="1" ht="15.95" customHeight="1" outlineLevel="1" x14ac:dyDescent="0.2">
      <c r="C90" s="210" t="s">
        <v>99</v>
      </c>
      <c r="D90" s="98">
        <f ca="1">'CALCS│Performance Commitments'!L19</f>
        <v>1</v>
      </c>
      <c r="E90" s="98">
        <f ca="1">'CALCS│Performance Commitments'!T19</f>
        <v>1</v>
      </c>
      <c r="F90" s="99">
        <f>'CALCS│Performance Commitments'!V19</f>
        <v>66.400000000000006</v>
      </c>
      <c r="G90" s="99" t="str">
        <f ca="1">'CALCS│Performance Commitments'!W19</f>
        <v>-</v>
      </c>
      <c r="H90" s="99">
        <f>'CALCS│Performance Commitments'!X19</f>
        <v>67.2</v>
      </c>
      <c r="I90" s="99" t="str">
        <f ca="1">'CALCS│Performance Commitments'!Y19</f>
        <v>-</v>
      </c>
      <c r="J90" s="266"/>
      <c r="K90" s="350" t="str">
        <f>VLOOKUP( C90, 'Map &amp; Key'!$C$70:$D$90, 2, 0 )</f>
        <v>Wessex Water</v>
      </c>
      <c r="L90" s="144" t="str">
        <f ca="1" xml:space="preserve"> _xlfn.IFNA( IF( OR( H90 = "-", D90 = "-" ), "-", IF( E90 = D90, 'Map &amp; Key'!$C$63, IF( E90 &gt; D90, 'Map &amp; Key'!$C$64, 'Map &amp; Key'!$C$65 ) ) ), "-" )</f>
        <v>◄►</v>
      </c>
      <c r="M90" s="359">
        <f t="shared" ca="1" si="3"/>
        <v>66.400000000000006</v>
      </c>
      <c r="N90" s="359">
        <f t="shared" ca="1" si="4"/>
        <v>67.2</v>
      </c>
      <c r="O90" s="143">
        <f xml:space="preserve"> VLOOKUP( C90, CALCS│Outcomes!$C$55:$L$71, MATCH( Year, CALCS│Outcomes!$C$2:$L$2, 0), 0 )</f>
        <v>5.543296030961633</v>
      </c>
    </row>
    <row r="91" spans="2:16" s="84" customFormat="1" ht="15.95" customHeight="1" outlineLevel="1" x14ac:dyDescent="0.2">
      <c r="C91" s="210" t="s">
        <v>101</v>
      </c>
      <c r="D91" s="98">
        <f ca="1">'CALCS│Performance Commitments'!L20</f>
        <v>0</v>
      </c>
      <c r="E91" s="98">
        <f ca="1">'CALCS│Performance Commitments'!T20</f>
        <v>1</v>
      </c>
      <c r="F91" s="99">
        <f>'CALCS│Performance Commitments'!V20</f>
        <v>289.8</v>
      </c>
      <c r="G91" s="99" t="str">
        <f ca="1">'CALCS│Performance Commitments'!W20</f>
        <v>-</v>
      </c>
      <c r="H91" s="99">
        <f>'CALCS│Performance Commitments'!X20</f>
        <v>292.10000000000002</v>
      </c>
      <c r="I91" s="99" t="str">
        <f ca="1">'CALCS│Performance Commitments'!Y20</f>
        <v>-</v>
      </c>
      <c r="J91" s="266"/>
      <c r="K91" s="350" t="str">
        <f>VLOOKUP( C91, 'Map &amp; Key'!$C$70:$D$90, 2, 0 )</f>
        <v>Yorkshire Water</v>
      </c>
      <c r="L91" s="144" t="str">
        <f ca="1" xml:space="preserve"> _xlfn.IFNA( IF( OR( H91 = "-", D91 = "-" ), "-", IF( E91 = D91, 'Map &amp; Key'!$C$63, IF( E91 &gt; D91, 'Map &amp; Key'!$C$64, 'Map &amp; Key'!$C$65 ) ) ), "-" )</f>
        <v>▲</v>
      </c>
      <c r="M91" s="359">
        <f t="shared" ca="1" si="3"/>
        <v>289.8</v>
      </c>
      <c r="N91" s="359">
        <f t="shared" ca="1" si="4"/>
        <v>292.10000000000002</v>
      </c>
      <c r="O91" s="143">
        <f xml:space="preserve"> VLOOKUP( C91, CALCS│Outcomes!$C$55:$L$71, MATCH( Year, CALCS│Outcomes!$C$2:$L$2, 0), 0 )</f>
        <v>9.1151018713373038</v>
      </c>
    </row>
    <row r="92" spans="2:16" s="84" customFormat="1" ht="15.95" customHeight="1" outlineLevel="1" x14ac:dyDescent="0.2">
      <c r="C92" s="210" t="s">
        <v>103</v>
      </c>
      <c r="D92" s="98">
        <f ca="1">'CALCS│Performance Commitments'!L21</f>
        <v>0</v>
      </c>
      <c r="E92" s="98">
        <f ca="1">'CALCS│Performance Commitments'!T21</f>
        <v>0</v>
      </c>
      <c r="F92" s="99">
        <f>'CALCS│Performance Commitments'!V21</f>
        <v>196.1</v>
      </c>
      <c r="G92" s="99" t="str">
        <f ca="1">'CALCS│Performance Commitments'!W21</f>
        <v>-</v>
      </c>
      <c r="H92" s="99">
        <f>'CALCS│Performance Commitments'!X21</f>
        <v>167.7</v>
      </c>
      <c r="I92" s="99" t="str">
        <f ca="1">'CALCS│Performance Commitments'!Y21</f>
        <v>-</v>
      </c>
      <c r="J92" s="266"/>
      <c r="K92" s="350" t="str">
        <f>VLOOKUP( C92, 'Map &amp; Key'!$C$70:$D$90, 2, 0 )</f>
        <v>Affinity Water</v>
      </c>
      <c r="L92" s="144" t="str">
        <f ca="1" xml:space="preserve"> _xlfn.IFNA( IF( OR( H92 = "-", D92 = "-" ), "-", IF( E92 = D92, 'Map &amp; Key'!$C$63, IF( E92 &gt; D92, 'Map &amp; Key'!$C$64, 'Map &amp; Key'!$C$65 ) ) ), "-" )</f>
        <v>◄►</v>
      </c>
      <c r="M92" s="359">
        <f t="shared" ca="1" si="3"/>
        <v>196.1</v>
      </c>
      <c r="N92" s="359">
        <f t="shared" ca="1" si="4"/>
        <v>167.7</v>
      </c>
      <c r="O92" s="143">
        <f xml:space="preserve"> VLOOKUP( C92, CALCS│Outcomes!$C$55:$L$71, MATCH( Year, CALCS│Outcomes!$C$2:$L$2, 0), 0 )</f>
        <v>11.720889107515424</v>
      </c>
    </row>
    <row r="93" spans="2:16" s="84" customFormat="1" ht="15.95" customHeight="1" outlineLevel="1" x14ac:dyDescent="0.2">
      <c r="C93" s="210" t="s">
        <v>105</v>
      </c>
      <c r="D93" s="98">
        <f ca="1">'CALCS│Performance Commitments'!L22</f>
        <v>0</v>
      </c>
      <c r="E93" s="98">
        <f ca="1">'CALCS│Performance Commitments'!T22</f>
        <v>0</v>
      </c>
      <c r="F93" s="99">
        <f>'CALCS│Performance Commitments'!V22</f>
        <v>45.83</v>
      </c>
      <c r="G93" s="99" t="str">
        <f ca="1">'CALCS│Performance Commitments'!W22</f>
        <v>-</v>
      </c>
      <c r="H93" s="99">
        <f>'CALCS│Performance Commitments'!X22</f>
        <v>44</v>
      </c>
      <c r="I93" s="99" t="str">
        <f ca="1">'CALCS│Performance Commitments'!Y22</f>
        <v>-</v>
      </c>
      <c r="J93" s="266"/>
      <c r="K93" s="350" t="str">
        <f>VLOOKUP( C93, 'Map &amp; Key'!$C$70:$D$90, 2, 0 )</f>
        <v>Bristol Water</v>
      </c>
      <c r="L93" s="144" t="s">
        <v>322</v>
      </c>
      <c r="M93" s="359">
        <f t="shared" ca="1" si="3"/>
        <v>45.83</v>
      </c>
      <c r="N93" s="359">
        <f t="shared" ca="1" si="4"/>
        <v>44</v>
      </c>
      <c r="O93" s="143">
        <f xml:space="preserve"> VLOOKUP( C93, CALCS│Outcomes!$C$55:$L$71, MATCH( Year, CALCS│Outcomes!$C$2:$L$2, 0), 0 )</f>
        <v>6.0908294392523361</v>
      </c>
    </row>
    <row r="94" spans="2:16" s="84" customFormat="1" ht="15.95" customHeight="1" outlineLevel="1" x14ac:dyDescent="0.2">
      <c r="C94" s="210" t="s">
        <v>107</v>
      </c>
      <c r="D94" s="98">
        <f ca="1">'CALCS│Performance Commitments'!L23</f>
        <v>0</v>
      </c>
      <c r="E94" s="98">
        <f ca="1">'CALCS│Performance Commitments'!T23</f>
        <v>1</v>
      </c>
      <c r="F94" s="99">
        <f>'CALCS│Performance Commitments'!V23</f>
        <v>28.12</v>
      </c>
      <c r="G94" s="99" t="str">
        <f ca="1">'CALCS│Performance Commitments'!W23</f>
        <v>-</v>
      </c>
      <c r="H94" s="99">
        <f>'CALCS│Performance Commitments'!X23</f>
        <v>29.85</v>
      </c>
      <c r="I94" s="99" t="str">
        <f ca="1">'CALCS│Performance Commitments'!Y23</f>
        <v>-</v>
      </c>
      <c r="J94" s="266"/>
      <c r="K94" s="350" t="str">
        <f>VLOOKUP( C94, 'Map &amp; Key'!$C$70:$D$90, 2, 0 )</f>
        <v>Portsmouth Water</v>
      </c>
      <c r="L94" s="144" t="s">
        <v>322</v>
      </c>
      <c r="M94" s="359">
        <f t="shared" ca="1" si="3"/>
        <v>28.12</v>
      </c>
      <c r="N94" s="359">
        <f t="shared" ca="1" si="4"/>
        <v>29.85</v>
      </c>
      <c r="O94" s="143">
        <f xml:space="preserve"> VLOOKUP( C94, CALCS│Outcomes!$C$55:$L$71, MATCH( Year, CALCS│Outcomes!$C$2:$L$2, 0), 0 )</f>
        <v>8.3975392701427456</v>
      </c>
    </row>
    <row r="95" spans="2:16" s="84" customFormat="1" ht="15.95" customHeight="1" outlineLevel="1" x14ac:dyDescent="0.2">
      <c r="C95" s="210" t="s">
        <v>111</v>
      </c>
      <c r="D95" s="98">
        <f ca="1">'CALCS│Performance Commitments'!L24</f>
        <v>1</v>
      </c>
      <c r="E95" s="98">
        <f ca="1">'CALCS│Performance Commitments'!T24</f>
        <v>1</v>
      </c>
      <c r="F95" s="99">
        <f>'CALCS│Performance Commitments'!V24</f>
        <v>86.884250225089886</v>
      </c>
      <c r="G95" s="99" t="str">
        <f ca="1">'CALCS│Performance Commitments'!W24</f>
        <v>-</v>
      </c>
      <c r="H95" s="99">
        <f>'CALCS│Performance Commitments'!X24</f>
        <v>89.1</v>
      </c>
      <c r="I95" s="99" t="str">
        <f ca="1">'CALCS│Performance Commitments'!Y24</f>
        <v>-</v>
      </c>
      <c r="J95" s="266"/>
      <c r="K95" s="350" t="str">
        <f>VLOOKUP( C95, 'Map &amp; Key'!$C$70:$D$90, 2, 0 )</f>
        <v>South East Water</v>
      </c>
      <c r="L95" s="144" t="str">
        <f ca="1" xml:space="preserve"> _xlfn.IFNA( IF( OR( H95 = "-", D95 = "-" ), "-", IF( E95 = D95, 'Map &amp; Key'!$C$63, IF( E95 &gt; D95, 'Map &amp; Key'!$C$64, 'Map &amp; Key'!$C$65 ) ) ), "-" )</f>
        <v>◄►</v>
      </c>
      <c r="M95" s="359">
        <f t="shared" ca="1" si="3"/>
        <v>86.884250225089886</v>
      </c>
      <c r="N95" s="359">
        <f t="shared" ca="1" si="4"/>
        <v>89.1</v>
      </c>
      <c r="O95" s="143">
        <f xml:space="preserve"> VLOOKUP( C95, CALCS│Outcomes!$C$55:$L$71, MATCH( Year, CALCS│Outcomes!$C$2:$L$2, 0), 0 )</f>
        <v>5.9294040566733095</v>
      </c>
    </row>
    <row r="96" spans="2:16" s="84" customFormat="1" ht="15.95" customHeight="1" outlineLevel="1" x14ac:dyDescent="0.2">
      <c r="C96" s="210" t="s">
        <v>113</v>
      </c>
      <c r="D96" s="98">
        <f ca="1">'CALCS│Performance Commitments'!L25</f>
        <v>0</v>
      </c>
      <c r="E96" s="98">
        <f ca="1">'CALCS│Performance Commitments'!T25</f>
        <v>1</v>
      </c>
      <c r="F96" s="99">
        <f>'CALCS│Performance Commitments'!V25</f>
        <v>83.7</v>
      </c>
      <c r="G96" s="99" t="str">
        <f ca="1">'CALCS│Performance Commitments'!W25</f>
        <v>-</v>
      </c>
      <c r="H96" s="99">
        <f>'CALCS│Performance Commitments'!X25</f>
        <v>84</v>
      </c>
      <c r="I96" s="99" t="str">
        <f ca="1">'CALCS│Performance Commitments'!Y25</f>
        <v>-</v>
      </c>
      <c r="J96" s="266"/>
      <c r="K96" s="350" t="str">
        <f>VLOOKUP( C96, 'Map &amp; Key'!$C$70:$D$90, 2, 0 )</f>
        <v>South Staffs Water</v>
      </c>
      <c r="L96" s="144" t="str">
        <f ca="1" xml:space="preserve"> _xlfn.IFNA( IF( OR( H96 = "-", D96 = "-" ), "-", IF( E96 = D96, 'Map &amp; Key'!$C$63, IF( E96 &gt; D96, 'Map &amp; Key'!$C$64, 'Map &amp; Key'!$C$65 ) ) ), "-" )</f>
        <v>▲</v>
      </c>
      <c r="M96" s="359">
        <f t="shared" ca="1" si="3"/>
        <v>83.7</v>
      </c>
      <c r="N96" s="359">
        <f t="shared" ca="1" si="4"/>
        <v>84</v>
      </c>
      <c r="O96" s="143">
        <f xml:space="preserve"> VLOOKUP( C96, CALCS│Outcomes!$C$55:$L$71, MATCH( Year, CALCS│Outcomes!$C$2:$L$2, 0), 0 )</f>
        <v>9.8172656793128148</v>
      </c>
    </row>
    <row r="97" spans="2:16" s="84" customFormat="1" ht="15.95" customHeight="1" outlineLevel="1" x14ac:dyDescent="0.2">
      <c r="C97" s="210" t="s">
        <v>109</v>
      </c>
      <c r="D97" s="132">
        <f ca="1">'CALCS│Performance Commitments'!L26</f>
        <v>1</v>
      </c>
      <c r="E97" s="132">
        <f ca="1">'CALCS│Performance Commitments'!T26</f>
        <v>1</v>
      </c>
      <c r="F97" s="99">
        <f>'CALCS│Performance Commitments'!V26</f>
        <v>24.1</v>
      </c>
      <c r="G97" s="99" t="str">
        <f ca="1">'CALCS│Performance Commitments'!W26</f>
        <v>-</v>
      </c>
      <c r="H97" s="99">
        <f>'CALCS│Performance Commitments'!X26</f>
        <v>24.1</v>
      </c>
      <c r="I97" s="99" t="str">
        <f ca="1">'CALCS│Performance Commitments'!Y26</f>
        <v>-</v>
      </c>
      <c r="J97" s="266"/>
      <c r="K97" s="350" t="str">
        <f>VLOOKUP( C97, 'Map &amp; Key'!$C$70:$D$90, 2, 0 )</f>
        <v>SES Water</v>
      </c>
      <c r="L97" s="142" t="str">
        <f ca="1" xml:space="preserve"> _xlfn.IFNA( IF( OR( H97 = "-", D97 = "-" ), "-", IF( E97 = D97, 'Map &amp; Key'!$C$63, IF( E97 &gt; D97, 'Map &amp; Key'!$C$64, 'Map &amp; Key'!$C$65 ) ) ), "-" )</f>
        <v>◄►</v>
      </c>
      <c r="M97" s="359">
        <f ca="1" xml:space="preserve"> IF( OR( G97 = "-", I97 = "-" ), F97, TEXT( F97, "0.00" ) &amp; " (" &amp; TEXT( G97, "0.00" ) &amp; ")" )</f>
        <v>24.1</v>
      </c>
      <c r="N97" s="359">
        <f t="shared" ca="1" si="4"/>
        <v>24.1</v>
      </c>
      <c r="O97" s="143">
        <f xml:space="preserve"> VLOOKUP( C97, CALCS│Outcomes!$C$55:$L$71, MATCH( Year, CALCS│Outcomes!$C$2:$L$2, 0), 0 )</f>
        <v>6.9005520441635335</v>
      </c>
    </row>
    <row r="98" spans="2:16" outlineLevel="1" x14ac:dyDescent="0.2"/>
    <row r="99" spans="2:16" outlineLevel="1" x14ac:dyDescent="0.2">
      <c r="N99" s="8" t="s">
        <v>531</v>
      </c>
      <c r="O99" s="87">
        <f>_xlfn.PERCENTILE.INC(O81:O97, 0.25)</f>
        <v>5.9294040566733095</v>
      </c>
    </row>
    <row r="100" spans="2:16" outlineLevel="1" x14ac:dyDescent="0.2">
      <c r="N100" s="8" t="s">
        <v>532</v>
      </c>
      <c r="O100" s="87">
        <f>_xlfn.PERCENTILE.INC(O81:O97, 0.75)</f>
        <v>9.1151018713373038</v>
      </c>
    </row>
    <row r="102" spans="2:16" ht="13.5" x14ac:dyDescent="0.25">
      <c r="B102" s="9" t="s">
        <v>261</v>
      </c>
      <c r="C102" s="9"/>
      <c r="D102" s="9"/>
      <c r="E102" s="10"/>
      <c r="F102" s="9"/>
      <c r="G102" s="9"/>
      <c r="H102" s="9"/>
      <c r="I102" s="9"/>
      <c r="J102" s="9"/>
      <c r="K102" s="9" t="s">
        <v>578</v>
      </c>
      <c r="L102" s="9"/>
      <c r="M102" s="9"/>
      <c r="N102" s="9"/>
      <c r="O102" s="9"/>
      <c r="P102" s="9"/>
    </row>
    <row r="103" spans="2:16" outlineLevel="1" x14ac:dyDescent="0.2"/>
    <row r="104" spans="2:16" ht="40.5" outlineLevel="1" x14ac:dyDescent="0.25">
      <c r="L104" s="347" t="s">
        <v>569</v>
      </c>
      <c r="M104" s="347"/>
      <c r="N104" s="347"/>
      <c r="O104" s="296" t="str">
        <f xml:space="preserve"> "Relative performance (" &amp; Year &amp; ")"</f>
        <v>Relative performance (2018-19)</v>
      </c>
    </row>
    <row r="105" spans="2:16" ht="54" outlineLevel="1" x14ac:dyDescent="0.2">
      <c r="C105" s="354" t="s">
        <v>344</v>
      </c>
      <c r="D105" s="354" t="str">
        <f xml:space="preserve"> "PCs met " &amp; Last_year</f>
        <v>PCs met 2017-18</v>
      </c>
      <c r="E105" s="354" t="str">
        <f xml:space="preserve"> "PCs met " &amp; Year</f>
        <v>PCs met 2018-19</v>
      </c>
      <c r="F105" s="354" t="str">
        <f xml:space="preserve"> Year &amp; " actual PC1"</f>
        <v>2018-19 actual PC1</v>
      </c>
      <c r="G105" s="354" t="str">
        <f xml:space="preserve"> Year &amp; " actual PC2"</f>
        <v>2018-19 actual PC2</v>
      </c>
      <c r="H105" s="354" t="str">
        <f xml:space="preserve"> Year &amp; " target PC1"</f>
        <v>2018-19 target PC1</v>
      </c>
      <c r="I105" s="354" t="str">
        <f xml:space="preserve"> Year &amp; " target PC2"</f>
        <v>2018-19 target PC2</v>
      </c>
      <c r="K105" s="291"/>
      <c r="L105" s="374" t="s">
        <v>535</v>
      </c>
      <c r="M105" s="374" t="s">
        <v>539</v>
      </c>
      <c r="N105" s="374" t="s">
        <v>540</v>
      </c>
      <c r="O105" s="374" t="s">
        <v>139</v>
      </c>
    </row>
    <row r="106" spans="2:16" s="84" customFormat="1" ht="15.95" customHeight="1" outlineLevel="1" x14ac:dyDescent="0.2">
      <c r="B106" s="266"/>
      <c r="C106" s="211" t="s">
        <v>79</v>
      </c>
      <c r="D106" s="98">
        <f ca="1">'CALCS│Performance Commitments'!L33</f>
        <v>1</v>
      </c>
      <c r="E106" s="98">
        <f ca="1">'CALCS│Performance Commitments'!T33</f>
        <v>1</v>
      </c>
      <c r="F106" s="99">
        <f>'CALCS│Performance Commitments'!V33</f>
        <v>8.73</v>
      </c>
      <c r="G106" s="99" t="str">
        <f ca="1">'CALCS│Performance Commitments'!W33</f>
        <v>-</v>
      </c>
      <c r="H106" s="99">
        <f>'CALCS│Performance Commitments'!X33</f>
        <v>12</v>
      </c>
      <c r="I106" s="99" t="str">
        <f ca="1">'CALCS│Performance Commitments'!Y33</f>
        <v>-</v>
      </c>
      <c r="J106" s="266"/>
      <c r="K106" s="350" t="str">
        <f>VLOOKUP( C106, 'Map &amp; Key'!$C$70:$D$90, 2, 0 )</f>
        <v>Anglian Water</v>
      </c>
      <c r="L106" s="142" t="str">
        <f ca="1" xml:space="preserve"> _xlfn.IFNA( IF( OR( H106 = "-", D106 = "-" ), "-", IF( E106 = D106, 'Map &amp; Key'!$C$63, IF( E106 &gt; D106, 'Map &amp; Key'!$C$64, 'Map &amp; Key'!$C$65 ) ) ), "-" )</f>
        <v>◄►</v>
      </c>
      <c r="M106" s="359">
        <f t="shared" ref="M106:M121" ca="1" si="5" xml:space="preserve"> IF( OR( G106 = "-", I106 = "-" ), F106, TEXT( F106, "0.00" ) &amp; " (" &amp; TEXT( G106, "0.00" ) &amp; ")" )</f>
        <v>8.73</v>
      </c>
      <c r="N106" s="359">
        <f t="shared" ref="N106:N121" ca="1" si="6" xml:space="preserve"> IF( OR( G106 = "-", I106 = "-" ), H106, TEXT( H106, "0.00" ) &amp; " (" &amp; TEXT( I106, "0.00" ) &amp; ")" )</f>
        <v>12</v>
      </c>
      <c r="O106" s="143">
        <f xml:space="preserve"> VLOOKUP( C106, CALCS│Outcomes!$C$80:$L$96, MATCH( Year, CALCS│Outcomes!$C$2:$L$2, 0), 0 )</f>
        <v>8.73</v>
      </c>
      <c r="P106" s="266"/>
    </row>
    <row r="107" spans="2:16" s="84" customFormat="1" ht="15.95" customHeight="1" outlineLevel="1" x14ac:dyDescent="0.2">
      <c r="B107" s="266"/>
      <c r="C107" s="210" t="s">
        <v>81</v>
      </c>
      <c r="D107" s="98">
        <f ca="1">'CALCS│Performance Commitments'!L34</f>
        <v>0</v>
      </c>
      <c r="E107" s="98">
        <f ca="1">'CALCS│Performance Commitments'!T34</f>
        <v>0</v>
      </c>
      <c r="F107" s="99">
        <f>'CALCS│Performance Commitments'!V34</f>
        <v>16</v>
      </c>
      <c r="G107" s="99" t="str">
        <f ca="1">'CALCS│Performance Commitments'!W34</f>
        <v>-</v>
      </c>
      <c r="H107" s="99">
        <f>'CALCS│Performance Commitments'!X34</f>
        <v>12</v>
      </c>
      <c r="I107" s="99" t="str">
        <f ca="1">'CALCS│Performance Commitments'!Y34</f>
        <v>-</v>
      </c>
      <c r="J107" s="266"/>
      <c r="K107" s="350" t="str">
        <f>VLOOKUP( C107, 'Map &amp; Key'!$C$70:$D$90, 2, 0 )</f>
        <v>Dŵr Cymru</v>
      </c>
      <c r="L107" s="144" t="str">
        <f ca="1" xml:space="preserve"> _xlfn.IFNA( IF( OR( H107 = "-", D107 = "-" ), "-", IF( E107 = D107, 'Map &amp; Key'!$C$63, IF( E107 &gt; D107, 'Map &amp; Key'!$C$64, 'Map &amp; Key'!$C$65 ) ) ), "-" )</f>
        <v>◄►</v>
      </c>
      <c r="M107" s="359">
        <f t="shared" ca="1" si="5"/>
        <v>16</v>
      </c>
      <c r="N107" s="359">
        <f t="shared" ca="1" si="6"/>
        <v>12</v>
      </c>
      <c r="O107" s="143">
        <f xml:space="preserve"> VLOOKUP( C107, CALCS│Outcomes!$C$80:$L$96, MATCH( Year, CALCS│Outcomes!$C$2:$L$2, 0), 0 )</f>
        <v>16</v>
      </c>
      <c r="P107" s="266"/>
    </row>
    <row r="108" spans="2:16" s="84" customFormat="1" ht="15.95" customHeight="1" outlineLevel="1" x14ac:dyDescent="0.2">
      <c r="B108" s="266"/>
      <c r="C108" s="210" t="s">
        <v>84</v>
      </c>
      <c r="D108" s="98" t="str">
        <f>'CALCS│Performance Commitments'!L35</f>
        <v>-</v>
      </c>
      <c r="E108" s="98">
        <f ca="1">'CALCS│Performance Commitments'!T35</f>
        <v>0.5</v>
      </c>
      <c r="F108" s="99">
        <f>'CALCS│Performance Commitments'!V35</f>
        <v>7.1999999999999993</v>
      </c>
      <c r="G108" s="99">
        <f ca="1">'CALCS│Performance Commitments'!W35</f>
        <v>93.744790337089739</v>
      </c>
      <c r="H108" s="99">
        <f>'CALCS│Performance Commitments'!X35</f>
        <v>12</v>
      </c>
      <c r="I108" s="99">
        <f ca="1">'CALCS│Performance Commitments'!Y35</f>
        <v>7.1</v>
      </c>
      <c r="J108" s="266"/>
      <c r="K108" s="350" t="str">
        <f>VLOOKUP( C108, 'Map &amp; Key'!$C$70:$D$90, 2, 0 )</f>
        <v>Hafren Dyfrdwy</v>
      </c>
      <c r="L108" s="144" t="str">
        <f xml:space="preserve"> _xlfn.IFNA( IF( OR( H108 = "-", D108 = "-" ), "-", IF( E108 = D108, 'Map &amp; Key'!$C$63, IF( E108 &gt; D108, 'Map &amp; Key'!$C$64, 'Map &amp; Key'!$C$65 ) ) ), "-" )</f>
        <v>-</v>
      </c>
      <c r="M108" s="359" t="str">
        <f t="shared" ca="1" si="5"/>
        <v>7.20 (93.74)</v>
      </c>
      <c r="N108" s="359" t="str">
        <f t="shared" ca="1" si="6"/>
        <v>12.00 (7.10)</v>
      </c>
      <c r="O108" s="143">
        <f xml:space="preserve"> VLOOKUP( C108, CALCS│Outcomes!$C$80:$L$96, MATCH( Year, CALCS│Outcomes!$C$2:$L$2, 0), 0 )</f>
        <v>29.166666666666668</v>
      </c>
      <c r="P108" s="266"/>
    </row>
    <row r="109" spans="2:16" s="84" customFormat="1" ht="15.95" customHeight="1" outlineLevel="1" x14ac:dyDescent="0.2">
      <c r="B109" s="266"/>
      <c r="C109" s="210" t="s">
        <v>86</v>
      </c>
      <c r="D109" s="98">
        <f ca="1">'CALCS│Performance Commitments'!L36</f>
        <v>1</v>
      </c>
      <c r="E109" s="98">
        <f ca="1">'CALCS│Performance Commitments'!T36</f>
        <v>0</v>
      </c>
      <c r="F109" s="99">
        <f>'CALCS│Performance Commitments'!V36</f>
        <v>9.1999999999999993</v>
      </c>
      <c r="G109" s="99" t="str">
        <f ca="1">'CALCS│Performance Commitments'!W36</f>
        <v>-</v>
      </c>
      <c r="H109" s="99">
        <f>'CALCS│Performance Commitments'!X36</f>
        <v>5.4833333333333334</v>
      </c>
      <c r="I109" s="99" t="str">
        <f ca="1">'CALCS│Performance Commitments'!Y36</f>
        <v>-</v>
      </c>
      <c r="J109" s="266"/>
      <c r="K109" s="350" t="str">
        <f>VLOOKUP( C109, 'Map &amp; Key'!$C$70:$D$90, 2, 0 )</f>
        <v>Northumbrian Water</v>
      </c>
      <c r="L109" s="144" t="str">
        <f ca="1" xml:space="preserve"> _xlfn.IFNA( IF( OR( H109 = "-", D109 = "-" ), "-", IF( E109 = D109, 'Map &amp; Key'!$C$63, IF( E109 &gt; D109, 'Map &amp; Key'!$C$64, 'Map &amp; Key'!$C$65 ) ) ), "-" )</f>
        <v>▼</v>
      </c>
      <c r="M109" s="359">
        <f t="shared" ca="1" si="5"/>
        <v>9.1999999999999993</v>
      </c>
      <c r="N109" s="359">
        <f t="shared" ca="1" si="6"/>
        <v>5.4833333333333334</v>
      </c>
      <c r="O109" s="143">
        <f xml:space="preserve"> VLOOKUP( C109, CALCS│Outcomes!$C$80:$L$96, MATCH( Year, CALCS│Outcomes!$C$2:$L$2, 0), 0 )</f>
        <v>9.1999999999999993</v>
      </c>
      <c r="P109" s="266"/>
    </row>
    <row r="110" spans="2:16" s="84" customFormat="1" ht="15.95" customHeight="1" outlineLevel="1" x14ac:dyDescent="0.2">
      <c r="B110" s="266"/>
      <c r="C110" s="210" t="s">
        <v>88</v>
      </c>
      <c r="D110" s="98" t="str">
        <f>'CALCS│Performance Commitments'!L37</f>
        <v>-</v>
      </c>
      <c r="E110" s="98">
        <f ca="1">'CALCS│Performance Commitments'!T37</f>
        <v>0.5</v>
      </c>
      <c r="F110" s="99">
        <f>'CALCS│Performance Commitments'!V37</f>
        <v>19.059999999999999</v>
      </c>
      <c r="G110" s="99">
        <f ca="1">'CALCS│Performance Commitments'!W37</f>
        <v>1.7999999999999998</v>
      </c>
      <c r="H110" s="99">
        <f>'CALCS│Performance Commitments'!X37</f>
        <v>9.4</v>
      </c>
      <c r="I110" s="99">
        <f ca="1">'CALCS│Performance Commitments'!Y37</f>
        <v>12</v>
      </c>
      <c r="J110" s="266"/>
      <c r="K110" s="350" t="str">
        <f>VLOOKUP( C110, 'Map &amp; Key'!$C$70:$D$90, 2, 0 )</f>
        <v>Severn Trent Water</v>
      </c>
      <c r="L110" s="144" t="str">
        <f xml:space="preserve"> _xlfn.IFNA( IF( OR( H110 = "-", D110 = "-" ), "-", IF( E110 = D110, 'Map &amp; Key'!$C$63, IF( E110 &gt; D110, 'Map &amp; Key'!$C$64, 'Map &amp; Key'!$C$65 ) ) ), "-" )</f>
        <v>-</v>
      </c>
      <c r="M110" s="359" t="str">
        <f t="shared" ca="1" si="5"/>
        <v>19.06 (1.80)</v>
      </c>
      <c r="N110" s="359" t="str">
        <f t="shared" ca="1" si="6"/>
        <v>9.40 (12.00)</v>
      </c>
      <c r="O110" s="143">
        <f xml:space="preserve"> VLOOKUP( C110, CALCS│Outcomes!$C$80:$L$96, MATCH( Year, CALCS│Outcomes!$C$2:$L$2, 0), 0 )</f>
        <v>18.883333333333333</v>
      </c>
      <c r="P110" s="266"/>
    </row>
    <row r="111" spans="2:16" s="84" customFormat="1" ht="15.95" customHeight="1" outlineLevel="1" x14ac:dyDescent="0.2">
      <c r="B111" s="266"/>
      <c r="C111" s="212" t="s">
        <v>90</v>
      </c>
      <c r="D111" s="98">
        <f ca="1">'CALCS│Performance Commitments'!L38</f>
        <v>0.5</v>
      </c>
      <c r="E111" s="98">
        <f ca="1">'CALCS│Performance Commitments'!T38</f>
        <v>1</v>
      </c>
      <c r="F111" s="99">
        <f>'CALCS│Performance Commitments'!V38</f>
        <v>9.66</v>
      </c>
      <c r="G111" s="99">
        <f>'CALCS│Performance Commitments'!W38</f>
        <v>0.66</v>
      </c>
      <c r="H111" s="99">
        <f>'CALCS│Performance Commitments'!X38</f>
        <v>12.84</v>
      </c>
      <c r="I111" s="99">
        <f>'CALCS│Performance Commitments'!Y38</f>
        <v>4.4000000000000004</v>
      </c>
      <c r="J111" s="266"/>
      <c r="K111" s="350" t="str">
        <f>VLOOKUP( C111, 'Map &amp; Key'!$C$70:$D$90, 2, 0 )</f>
        <v>South West Water</v>
      </c>
      <c r="L111" s="144" t="str">
        <f ca="1" xml:space="preserve"> _xlfn.IFNA( IF( OR( H111 = "-", D111 = "-" ), "-", IF( E111 = D111, 'Map &amp; Key'!$C$63, IF( E111 &gt; D111, 'Map &amp; Key'!$C$64, 'Map &amp; Key'!$C$65 ) ) ), "-" )</f>
        <v>▲</v>
      </c>
      <c r="M111" s="359" t="str">
        <f t="shared" si="5"/>
        <v>9.66 (0.66)</v>
      </c>
      <c r="N111" s="359" t="str">
        <f t="shared" si="6"/>
        <v>12.84 (4.40)</v>
      </c>
      <c r="O111" s="143">
        <f xml:space="preserve"> VLOOKUP( C111, CALCS│Outcomes!$C$80:$L$96, MATCH( Year, CALCS│Outcomes!$C$2:$L$2, 0), 0 )</f>
        <v>7.8795756149407836</v>
      </c>
      <c r="P111" s="266"/>
    </row>
    <row r="112" spans="2:16" s="84" customFormat="1" ht="15.95" customHeight="1" outlineLevel="1" x14ac:dyDescent="0.2">
      <c r="B112" s="266"/>
      <c r="C112" s="210" t="s">
        <v>93</v>
      </c>
      <c r="D112" s="98">
        <f ca="1">'CALCS│Performance Commitments'!L39</f>
        <v>0</v>
      </c>
      <c r="E112" s="98">
        <f ca="1">'CALCS│Performance Commitments'!T39</f>
        <v>1</v>
      </c>
      <c r="F112" s="99">
        <f>'CALCS│Performance Commitments'!V39</f>
        <v>7.38</v>
      </c>
      <c r="G112" s="99" t="str">
        <f ca="1">'CALCS│Performance Commitments'!W39</f>
        <v>-</v>
      </c>
      <c r="H112" s="99">
        <f>'CALCS│Performance Commitments'!X39</f>
        <v>9</v>
      </c>
      <c r="I112" s="99" t="str">
        <f ca="1">'CALCS│Performance Commitments'!Y39</f>
        <v>-</v>
      </c>
      <c r="J112" s="266"/>
      <c r="K112" s="350" t="str">
        <f>VLOOKUP( C112, 'Map &amp; Key'!$C$70:$D$90, 2, 0 )</f>
        <v>Southern Water</v>
      </c>
      <c r="L112" s="144" t="str">
        <f ca="1" xml:space="preserve"> _xlfn.IFNA( IF( OR( H112 = "-", D112 = "-" ), "-", IF( E112 = D112, 'Map &amp; Key'!$C$63, IF( E112 &gt; D112, 'Map &amp; Key'!$C$64, 'Map &amp; Key'!$C$65 ) ) ), "-" )</f>
        <v>▲</v>
      </c>
      <c r="M112" s="359">
        <f t="shared" ca="1" si="5"/>
        <v>7.38</v>
      </c>
      <c r="N112" s="359">
        <f t="shared" ca="1" si="6"/>
        <v>9</v>
      </c>
      <c r="O112" s="143">
        <f xml:space="preserve"> VLOOKUP( C112, CALCS│Outcomes!$C$80:$L$96, MATCH( Year, CALCS│Outcomes!$C$2:$L$2, 0), 0 )</f>
        <v>7.38</v>
      </c>
      <c r="P112" s="266"/>
    </row>
    <row r="113" spans="2:16" s="84" customFormat="1" ht="15.95" customHeight="1" outlineLevel="1" x14ac:dyDescent="0.2">
      <c r="B113" s="266"/>
      <c r="C113" s="210" t="s">
        <v>95</v>
      </c>
      <c r="D113" s="98">
        <f ca="1">'CALCS│Performance Commitments'!L40</f>
        <v>0</v>
      </c>
      <c r="E113" s="98">
        <f ca="1">'CALCS│Performance Commitments'!T40</f>
        <v>0</v>
      </c>
      <c r="F113" s="99">
        <f>'CALCS│Performance Commitments'!V40</f>
        <v>15.600000000000001</v>
      </c>
      <c r="G113" s="99" t="str">
        <f ca="1">'CALCS│Performance Commitments'!W40</f>
        <v>-</v>
      </c>
      <c r="H113" s="99">
        <f>'CALCS│Performance Commitments'!X40</f>
        <v>7.8000000000000007</v>
      </c>
      <c r="I113" s="99" t="str">
        <f ca="1">'CALCS│Performance Commitments'!Y40</f>
        <v>-</v>
      </c>
      <c r="J113" s="266"/>
      <c r="K113" s="350" t="str">
        <f>VLOOKUP( C113, 'Map &amp; Key'!$C$70:$D$90, 2, 0 )</f>
        <v>Thames Water</v>
      </c>
      <c r="L113" s="144" t="str">
        <f ca="1" xml:space="preserve"> _xlfn.IFNA( IF( OR( H113 = "-", D113 = "-" ), "-", IF( E113 = D113, 'Map &amp; Key'!$C$63, IF( E113 &gt; D113, 'Map &amp; Key'!$C$64, 'Map &amp; Key'!$C$65 ) ) ), "-" )</f>
        <v>◄►</v>
      </c>
      <c r="M113" s="359">
        <f t="shared" ca="1" si="5"/>
        <v>15.600000000000001</v>
      </c>
      <c r="N113" s="359">
        <f t="shared" ca="1" si="6"/>
        <v>7.8000000000000007</v>
      </c>
      <c r="O113" s="143">
        <f xml:space="preserve"> VLOOKUP( C113, CALCS│Outcomes!$C$80:$L$96, MATCH( Year, CALCS│Outcomes!$C$2:$L$2, 0), 0 )</f>
        <v>22.05</v>
      </c>
      <c r="P113" s="266"/>
    </row>
    <row r="114" spans="2:16" s="84" customFormat="1" ht="15.95" customHeight="1" outlineLevel="1" x14ac:dyDescent="0.2">
      <c r="B114" s="266"/>
      <c r="C114" s="210" t="s">
        <v>97</v>
      </c>
      <c r="D114" s="98">
        <f ca="1">'CALCS│Performance Commitments'!L41</f>
        <v>0</v>
      </c>
      <c r="E114" s="98">
        <f ca="1">'CALCS│Performance Commitments'!T41</f>
        <v>1</v>
      </c>
      <c r="F114" s="99">
        <f>'CALCS│Performance Commitments'!V41</f>
        <v>9.1666666666666661</v>
      </c>
      <c r="G114" s="99" t="str">
        <f ca="1">'CALCS│Performance Commitments'!W41</f>
        <v>-</v>
      </c>
      <c r="H114" s="99">
        <f>'CALCS│Performance Commitments'!X41</f>
        <v>12</v>
      </c>
      <c r="I114" s="99" t="str">
        <f ca="1">'CALCS│Performance Commitments'!Y41</f>
        <v>-</v>
      </c>
      <c r="J114" s="266"/>
      <c r="K114" s="350" t="str">
        <f>VLOOKUP( C114, 'Map &amp; Key'!$C$70:$D$90, 2, 0 )</f>
        <v>United Utilities</v>
      </c>
      <c r="L114" s="144" t="str">
        <f ca="1" xml:space="preserve"> _xlfn.IFNA( IF( OR( H114 = "-", D114 = "-" ), "-", IF( E114 = D114, 'Map &amp; Key'!$C$63, IF( E114 &gt; D114, 'Map &amp; Key'!$C$64, 'Map &amp; Key'!$C$65 ) ) ), "-" )</f>
        <v>▲</v>
      </c>
      <c r="M114" s="359">
        <f t="shared" ca="1" si="5"/>
        <v>9.1666666666666661</v>
      </c>
      <c r="N114" s="359">
        <f t="shared" ca="1" si="6"/>
        <v>12</v>
      </c>
      <c r="O114" s="143">
        <f xml:space="preserve"> VLOOKUP( C114, CALCS│Outcomes!$C$80:$L$96, MATCH( Year, CALCS│Outcomes!$C$2:$L$2, 0), 0 )</f>
        <v>9.1666666666666661</v>
      </c>
      <c r="P114" s="266"/>
    </row>
    <row r="115" spans="2:16" s="84" customFormat="1" ht="15.95" customHeight="1" outlineLevel="1" x14ac:dyDescent="0.2">
      <c r="B115" s="266"/>
      <c r="C115" s="210" t="s">
        <v>99</v>
      </c>
      <c r="D115" s="98">
        <f ca="1">'CALCS│Performance Commitments'!L42</f>
        <v>0</v>
      </c>
      <c r="E115" s="98">
        <f ca="1">'CALCS│Performance Commitments'!T42</f>
        <v>1</v>
      </c>
      <c r="F115" s="99">
        <f>'CALCS│Performance Commitments'!V42</f>
        <v>5.85</v>
      </c>
      <c r="G115" s="99" t="str">
        <f ca="1">'CALCS│Performance Commitments'!W42</f>
        <v>-</v>
      </c>
      <c r="H115" s="99">
        <f>'CALCS│Performance Commitments'!X42</f>
        <v>12</v>
      </c>
      <c r="I115" s="99" t="str">
        <f ca="1">'CALCS│Performance Commitments'!Y42</f>
        <v>-</v>
      </c>
      <c r="J115" s="266"/>
      <c r="K115" s="350" t="str">
        <f>VLOOKUP( C115, 'Map &amp; Key'!$C$70:$D$90, 2, 0 )</f>
        <v>Wessex Water</v>
      </c>
      <c r="L115" s="144" t="str">
        <f ca="1" xml:space="preserve"> _xlfn.IFNA( IF( OR( H115 = "-", D115 = "-" ), "-", IF( E115 = D115, 'Map &amp; Key'!$C$63, IF( E115 &gt; D115, 'Map &amp; Key'!$C$64, 'Map &amp; Key'!$C$65 ) ) ), "-" )</f>
        <v>▲</v>
      </c>
      <c r="M115" s="359">
        <f t="shared" ca="1" si="5"/>
        <v>5.85</v>
      </c>
      <c r="N115" s="359">
        <f t="shared" ca="1" si="6"/>
        <v>12</v>
      </c>
      <c r="O115" s="143">
        <f xml:space="preserve"> VLOOKUP( C115, CALCS│Outcomes!$C$80:$L$96, MATCH( Year, CALCS│Outcomes!$C$2:$L$2, 0), 0 )</f>
        <v>5.85</v>
      </c>
      <c r="P115" s="266"/>
    </row>
    <row r="116" spans="2:16" s="84" customFormat="1" ht="15.95" customHeight="1" outlineLevel="1" x14ac:dyDescent="0.2">
      <c r="B116" s="266"/>
      <c r="C116" s="210" t="s">
        <v>101</v>
      </c>
      <c r="D116" s="98">
        <f ca="1">'CALCS│Performance Commitments'!L43</f>
        <v>1</v>
      </c>
      <c r="E116" s="98">
        <f ca="1">'CALCS│Performance Commitments'!T43</f>
        <v>1</v>
      </c>
      <c r="F116" s="99">
        <f>'CALCS│Performance Commitments'!V43</f>
        <v>10.46</v>
      </c>
      <c r="G116" s="99" t="str">
        <f ca="1">'CALCS│Performance Commitments'!W43</f>
        <v>-</v>
      </c>
      <c r="H116" s="99">
        <f>'CALCS│Performance Commitments'!X43</f>
        <v>12</v>
      </c>
      <c r="I116" s="99" t="str">
        <f ca="1">'CALCS│Performance Commitments'!Y43</f>
        <v>-</v>
      </c>
      <c r="J116" s="266"/>
      <c r="K116" s="350" t="str">
        <f>VLOOKUP( C116, 'Map &amp; Key'!$C$70:$D$90, 2, 0 )</f>
        <v>Yorkshire Water</v>
      </c>
      <c r="L116" s="144" t="str">
        <f ca="1" xml:space="preserve"> _xlfn.IFNA( IF( OR( H116 = "-", D116 = "-" ), "-", IF( E116 = D116, 'Map &amp; Key'!$C$63, IF( E116 &gt; D116, 'Map &amp; Key'!$C$64, 'Map &amp; Key'!$C$65 ) ) ), "-" )</f>
        <v>◄►</v>
      </c>
      <c r="M116" s="359">
        <f t="shared" ca="1" si="5"/>
        <v>10.46</v>
      </c>
      <c r="N116" s="359">
        <f t="shared" ca="1" si="6"/>
        <v>12</v>
      </c>
      <c r="O116" s="143">
        <f xml:space="preserve"> VLOOKUP( C116, CALCS│Outcomes!$C$80:$L$96, MATCH( Year, CALCS│Outcomes!$C$2:$L$2, 0), 0 )</f>
        <v>10.46</v>
      </c>
      <c r="P116" s="266"/>
    </row>
    <row r="117" spans="2:16" s="84" customFormat="1" ht="15.95" customHeight="1" outlineLevel="1" x14ac:dyDescent="0.2">
      <c r="B117" s="266"/>
      <c r="C117" s="210" t="s">
        <v>103</v>
      </c>
      <c r="D117" s="98" t="str">
        <f>'CALCS│Performance Commitments'!L44</f>
        <v>-</v>
      </c>
      <c r="E117" s="98" t="str">
        <f>'CALCS│Performance Commitments'!T44</f>
        <v>-</v>
      </c>
      <c r="F117" s="99" t="str">
        <f>'CALCS│Performance Commitments'!V44</f>
        <v>-</v>
      </c>
      <c r="G117" s="99" t="str">
        <f ca="1">'CALCS│Performance Commitments'!W44</f>
        <v>-</v>
      </c>
      <c r="H117" s="99" t="str">
        <f>'CALCS│Performance Commitments'!X44</f>
        <v>-</v>
      </c>
      <c r="I117" s="99" t="str">
        <f ca="1">'CALCS│Performance Commitments'!Y44</f>
        <v>-</v>
      </c>
      <c r="J117" s="266"/>
      <c r="K117" s="350" t="str">
        <f>VLOOKUP( C117, 'Map &amp; Key'!$C$70:$D$90, 2, 0 )</f>
        <v>Affinity Water</v>
      </c>
      <c r="L117" s="144" t="str">
        <f xml:space="preserve"> _xlfn.IFNA( IF( OR( H117 = "-", D117 = "-" ), "-", IF( E117 = D117, 'Map &amp; Key'!$C$63, IF( E117 &gt; D117, 'Map &amp; Key'!$C$64, 'Map &amp; Key'!$C$65 ) ) ), "-" )</f>
        <v>-</v>
      </c>
      <c r="M117" s="359" t="str">
        <f t="shared" ca="1" si="5"/>
        <v>-</v>
      </c>
      <c r="N117" s="359" t="str">
        <f t="shared" ca="1" si="6"/>
        <v>-</v>
      </c>
      <c r="O117" s="143">
        <f xml:space="preserve"> VLOOKUP( C117, CALCS│Outcomes!$C$80:$L$96, MATCH( Year, CALCS│Outcomes!$C$2:$L$2, 0), 0 )</f>
        <v>12.7</v>
      </c>
      <c r="P117" s="266"/>
    </row>
    <row r="118" spans="2:16" s="84" customFormat="1" ht="15.95" customHeight="1" outlineLevel="1" x14ac:dyDescent="0.2">
      <c r="B118" s="266"/>
      <c r="C118" s="210" t="s">
        <v>105</v>
      </c>
      <c r="D118" s="98">
        <f ca="1">'CALCS│Performance Commitments'!L45</f>
        <v>0</v>
      </c>
      <c r="E118" s="98">
        <f ca="1">'CALCS│Performance Commitments'!T45</f>
        <v>0</v>
      </c>
      <c r="F118" s="99">
        <f>'CALCS│Performance Commitments'!V45</f>
        <v>14.67</v>
      </c>
      <c r="G118" s="99" t="str">
        <f ca="1">'CALCS│Performance Commitments'!W45</f>
        <v>-</v>
      </c>
      <c r="H118" s="99">
        <f>'CALCS│Performance Commitments'!X45</f>
        <v>12.5</v>
      </c>
      <c r="I118" s="99" t="str">
        <f ca="1">'CALCS│Performance Commitments'!Y45</f>
        <v>-</v>
      </c>
      <c r="J118" s="266"/>
      <c r="K118" s="350" t="str">
        <f>VLOOKUP( C118, 'Map &amp; Key'!$C$70:$D$90, 2, 0 )</f>
        <v>Bristol Water</v>
      </c>
      <c r="L118" s="144" t="str">
        <f ca="1" xml:space="preserve"> _xlfn.IFNA( IF( OR( H118 = "-", D118 = "-" ), "-", IF( E118 = D118, 'Map &amp; Key'!$C$63, IF( E118 &gt; D118, 'Map &amp; Key'!$C$64, 'Map &amp; Key'!$C$65 ) ) ), "-" )</f>
        <v>◄►</v>
      </c>
      <c r="M118" s="359">
        <f t="shared" ca="1" si="5"/>
        <v>14.67</v>
      </c>
      <c r="N118" s="359">
        <f t="shared" ca="1" si="6"/>
        <v>12.5</v>
      </c>
      <c r="O118" s="143">
        <f xml:space="preserve"> VLOOKUP( C118, CALCS│Outcomes!$C$80:$L$96, MATCH( Year, CALCS│Outcomes!$C$2:$L$2, 0), 0 )</f>
        <v>15.016666666666667</v>
      </c>
      <c r="P118" s="266"/>
    </row>
    <row r="119" spans="2:16" s="84" customFormat="1" ht="15.95" customHeight="1" outlineLevel="1" x14ac:dyDescent="0.2">
      <c r="B119" s="266"/>
      <c r="C119" s="210" t="s">
        <v>107</v>
      </c>
      <c r="D119" s="98">
        <f ca="1">'CALCS│Performance Commitments'!L46</f>
        <v>1</v>
      </c>
      <c r="E119" s="98">
        <f ca="1">'CALCS│Performance Commitments'!T46</f>
        <v>1</v>
      </c>
      <c r="F119" s="99">
        <f>'CALCS│Performance Commitments'!V46</f>
        <v>3.9000000000000004</v>
      </c>
      <c r="G119" s="99" t="str">
        <f ca="1">'CALCS│Performance Commitments'!W46</f>
        <v>-</v>
      </c>
      <c r="H119" s="99">
        <f>'CALCS│Performance Commitments'!X46</f>
        <v>5</v>
      </c>
      <c r="I119" s="99" t="str">
        <f ca="1">'CALCS│Performance Commitments'!Y46</f>
        <v>-</v>
      </c>
      <c r="J119" s="266"/>
      <c r="K119" s="350" t="str">
        <f>VLOOKUP( C119, 'Map &amp; Key'!$C$70:$D$90, 2, 0 )</f>
        <v>Portsmouth Water</v>
      </c>
      <c r="L119" s="144" t="str">
        <f ca="1" xml:space="preserve"> _xlfn.IFNA( IF( OR( H119 = "-", D119 = "-" ), "-", IF( E119 = D119, 'Map &amp; Key'!$C$63, IF( E119 &gt; D119, 'Map &amp; Key'!$C$64, 'Map &amp; Key'!$C$65 ) ) ), "-" )</f>
        <v>◄►</v>
      </c>
      <c r="M119" s="359">
        <f t="shared" ca="1" si="5"/>
        <v>3.9000000000000004</v>
      </c>
      <c r="N119" s="359">
        <f t="shared" ca="1" si="6"/>
        <v>5</v>
      </c>
      <c r="O119" s="143">
        <f xml:space="preserve"> VLOOKUP( C119, CALCS│Outcomes!$C$80:$L$96, MATCH( Year, CALCS│Outcomes!$C$2:$L$2, 0), 0 )</f>
        <v>3.9</v>
      </c>
      <c r="P119" s="266"/>
    </row>
    <row r="120" spans="2:16" s="84" customFormat="1" ht="15.95" customHeight="1" outlineLevel="1" x14ac:dyDescent="0.2">
      <c r="B120" s="266"/>
      <c r="C120" s="210" t="s">
        <v>111</v>
      </c>
      <c r="D120" s="98">
        <f ca="1">'CALCS│Performance Commitments'!L47</f>
        <v>0</v>
      </c>
      <c r="E120" s="98">
        <f ca="1">'CALCS│Performance Commitments'!T47</f>
        <v>0</v>
      </c>
      <c r="F120" s="99">
        <f>'CALCS│Performance Commitments'!V47</f>
        <v>14.2</v>
      </c>
      <c r="G120" s="99" t="str">
        <f ca="1">'CALCS│Performance Commitments'!W47</f>
        <v>-</v>
      </c>
      <c r="H120" s="99">
        <f>'CALCS│Performance Commitments'!X47</f>
        <v>12</v>
      </c>
      <c r="I120" s="99" t="str">
        <f ca="1">'CALCS│Performance Commitments'!Y47</f>
        <v>-</v>
      </c>
      <c r="J120" s="266"/>
      <c r="K120" s="350" t="str">
        <f>VLOOKUP( C120, 'Map &amp; Key'!$C$70:$D$90, 2, 0 )</f>
        <v>South East Water</v>
      </c>
      <c r="L120" s="144" t="str">
        <f ca="1" xml:space="preserve"> _xlfn.IFNA( IF( OR( H120 = "-", D120 = "-" ), "-", IF( E120 = D120, 'Map &amp; Key'!$C$63, IF( E120 &gt; D120, 'Map &amp; Key'!$C$64, 'Map &amp; Key'!$C$65 ) ) ), "-" )</f>
        <v>◄►</v>
      </c>
      <c r="M120" s="359">
        <f t="shared" ca="1" si="5"/>
        <v>14.2</v>
      </c>
      <c r="N120" s="359">
        <f t="shared" ca="1" si="6"/>
        <v>12</v>
      </c>
      <c r="O120" s="143">
        <f xml:space="preserve"> VLOOKUP( C120, CALCS│Outcomes!$C$80:$L$96, MATCH( Year, CALCS│Outcomes!$C$2:$L$2, 0), 0 )</f>
        <v>14.2</v>
      </c>
      <c r="P120" s="266"/>
    </row>
    <row r="121" spans="2:16" s="84" customFormat="1" ht="15.95" customHeight="1" outlineLevel="1" x14ac:dyDescent="0.2">
      <c r="B121" s="266"/>
      <c r="C121" s="210" t="s">
        <v>113</v>
      </c>
      <c r="D121" s="98">
        <f ca="1">'CALCS│Performance Commitments'!L48</f>
        <v>1</v>
      </c>
      <c r="E121" s="98">
        <f ca="1">'CALCS│Performance Commitments'!T48</f>
        <v>1</v>
      </c>
      <c r="F121" s="99">
        <f>'CALCS│Performance Commitments'!V48</f>
        <v>7.15</v>
      </c>
      <c r="G121" s="99" t="str">
        <f ca="1">'CALCS│Performance Commitments'!W48</f>
        <v>-</v>
      </c>
      <c r="H121" s="99">
        <f>'CALCS│Performance Commitments'!X48</f>
        <v>10</v>
      </c>
      <c r="I121" s="99" t="str">
        <f ca="1">'CALCS│Performance Commitments'!Y48</f>
        <v>-</v>
      </c>
      <c r="J121" s="266"/>
      <c r="K121" s="350" t="str">
        <f>VLOOKUP( C121, 'Map &amp; Key'!$C$70:$D$90, 2, 0 )</f>
        <v>South Staffs Water</v>
      </c>
      <c r="L121" s="144" t="str">
        <f ca="1" xml:space="preserve"> _xlfn.IFNA( IF( OR( H121 = "-", D121 = "-" ), "-", IF( E121 = D121, 'Map &amp; Key'!$C$63, IF( E121 &gt; D121, 'Map &amp; Key'!$C$64, 'Map &amp; Key'!$C$65 ) ) ), "-" )</f>
        <v>◄►</v>
      </c>
      <c r="M121" s="359">
        <f t="shared" ca="1" si="5"/>
        <v>7.15</v>
      </c>
      <c r="N121" s="359">
        <f t="shared" ca="1" si="6"/>
        <v>10</v>
      </c>
      <c r="O121" s="143">
        <f xml:space="preserve"> VLOOKUP( C121, CALCS│Outcomes!$C$80:$L$96, MATCH( Year, CALCS│Outcomes!$C$2:$L$2, 0), 0 )</f>
        <v>7.15</v>
      </c>
      <c r="P121" s="266"/>
    </row>
    <row r="122" spans="2:16" s="84" customFormat="1" ht="15.95" customHeight="1" outlineLevel="1" x14ac:dyDescent="0.2">
      <c r="B122" s="266"/>
      <c r="C122" s="210" t="s">
        <v>109</v>
      </c>
      <c r="D122" s="98">
        <f ca="1">'CALCS│Performance Commitments'!L49</f>
        <v>1</v>
      </c>
      <c r="E122" s="98">
        <f ca="1">'CALCS│Performance Commitments'!T49</f>
        <v>0</v>
      </c>
      <c r="F122" s="99">
        <f>'CALCS│Performance Commitments'!V49</f>
        <v>16.200000000000003</v>
      </c>
      <c r="G122" s="99" t="str">
        <f ca="1">'CALCS│Performance Commitments'!W49</f>
        <v>-</v>
      </c>
      <c r="H122" s="99">
        <f>'CALCS│Performance Commitments'!X49</f>
        <v>12</v>
      </c>
      <c r="I122" s="99" t="str">
        <f ca="1">'CALCS│Performance Commitments'!Y49</f>
        <v>-</v>
      </c>
      <c r="J122" s="266"/>
      <c r="K122" s="350" t="str">
        <f>VLOOKUP( C122, 'Map &amp; Key'!$C$70:$D$90, 2, 0 )</f>
        <v>SES Water</v>
      </c>
      <c r="L122" s="144" t="str">
        <f ca="1" xml:space="preserve"> _xlfn.IFNA( IF( OR( H122 = "-", D122 = "-" ), "-", IF( E122 = D122, 'Map &amp; Key'!$C$63, IF( E122 &gt; D122, 'Map &amp; Key'!$C$64, 'Map &amp; Key'!$C$65 ) ) ), "-" )</f>
        <v>▼</v>
      </c>
      <c r="M122" s="359">
        <f ca="1" xml:space="preserve"> IF( OR( G122 = "-", I122 = "-" ), F122, TEXT( F122, "0.00" ) &amp; " (" &amp; TEXT( G122, "0.00" ) &amp; ")" )</f>
        <v>16.200000000000003</v>
      </c>
      <c r="N122" s="359">
        <f ca="1" xml:space="preserve"> IF( OR( G122 = "-", I122 = "-" ), H122, TEXT( H122, "0.00" ) &amp; " (" &amp; TEXT( I122, "0.00" ) &amp; ")" )</f>
        <v>12</v>
      </c>
      <c r="O122" s="143">
        <f xml:space="preserve"> VLOOKUP( C122, CALCS│Outcomes!$C$80:$L$96, MATCH( Year, CALCS│Outcomes!$C$2:$L$2, 0), 0 )</f>
        <v>16.200000000000003</v>
      </c>
      <c r="P122" s="266"/>
    </row>
    <row r="123" spans="2:16" outlineLevel="1" x14ac:dyDescent="0.2"/>
    <row r="124" spans="2:16" outlineLevel="1" x14ac:dyDescent="0.2">
      <c r="N124" s="8" t="s">
        <v>531</v>
      </c>
      <c r="O124" s="87">
        <f>_xlfn.PERCENTILE.INC(O106:O122, 0.25)</f>
        <v>7.8795756149407836</v>
      </c>
    </row>
    <row r="125" spans="2:16" outlineLevel="1" x14ac:dyDescent="0.2">
      <c r="N125" s="8" t="s">
        <v>532</v>
      </c>
      <c r="O125" s="87">
        <f>_xlfn.PERCENTILE.INC(O106:O122, 0.75)</f>
        <v>16</v>
      </c>
    </row>
    <row r="127" spans="2:16" ht="13.5" x14ac:dyDescent="0.25">
      <c r="B127" s="9" t="s">
        <v>162</v>
      </c>
      <c r="C127" s="9"/>
      <c r="D127" s="9"/>
      <c r="E127" s="10"/>
      <c r="F127" s="9"/>
      <c r="G127" s="9"/>
      <c r="H127" s="9"/>
      <c r="I127" s="9"/>
      <c r="J127" s="9"/>
      <c r="K127" s="9" t="s">
        <v>579</v>
      </c>
      <c r="L127" s="9"/>
      <c r="M127" s="9"/>
      <c r="N127" s="9"/>
      <c r="O127" s="9"/>
      <c r="P127" s="9"/>
    </row>
    <row r="128" spans="2:16" outlineLevel="1" x14ac:dyDescent="0.2"/>
    <row r="129" spans="2:16" ht="40.5" outlineLevel="1" x14ac:dyDescent="0.25">
      <c r="L129" s="347" t="s">
        <v>569</v>
      </c>
      <c r="M129" s="347"/>
      <c r="N129" s="347"/>
      <c r="O129" s="296" t="str">
        <f xml:space="preserve"> "Relative performance (" &amp; Year &amp; ")"</f>
        <v>Relative performance (2018-19)</v>
      </c>
    </row>
    <row r="130" spans="2:16" ht="67.5" outlineLevel="1" x14ac:dyDescent="0.2">
      <c r="C130" s="354" t="s">
        <v>344</v>
      </c>
      <c r="D130" s="354" t="str">
        <f xml:space="preserve"> "PCs met " &amp; Last_year</f>
        <v>PCs met 2017-18</v>
      </c>
      <c r="E130" s="354" t="str">
        <f xml:space="preserve"> "PCs met " &amp; Year</f>
        <v>PCs met 2018-19</v>
      </c>
      <c r="F130" s="354" t="str">
        <f xml:space="preserve"> Year &amp; " actual PC1"</f>
        <v>2018-19 actual PC1</v>
      </c>
      <c r="G130" s="354" t="str">
        <f xml:space="preserve"> Year &amp; " actual PC2"</f>
        <v>2018-19 actual PC2</v>
      </c>
      <c r="H130" s="354" t="str">
        <f xml:space="preserve"> Year &amp; " target PC1"</f>
        <v>2018-19 target PC1</v>
      </c>
      <c r="I130" s="354" t="str">
        <f xml:space="preserve"> Year &amp; " target PC2"</f>
        <v>2018-19 target PC2</v>
      </c>
      <c r="K130" s="291"/>
      <c r="L130" s="374" t="s">
        <v>535</v>
      </c>
      <c r="M130" s="374" t="s">
        <v>541</v>
      </c>
      <c r="N130" s="374" t="s">
        <v>542</v>
      </c>
      <c r="O130" s="374" t="s">
        <v>543</v>
      </c>
    </row>
    <row r="131" spans="2:16" s="84" customFormat="1" ht="15.95" customHeight="1" outlineLevel="1" x14ac:dyDescent="0.2">
      <c r="B131" s="266"/>
      <c r="C131" s="211" t="s">
        <v>79</v>
      </c>
      <c r="D131" s="98">
        <f ca="1">'CALCS│Performance Commitments'!L56</f>
        <v>1</v>
      </c>
      <c r="E131" s="98">
        <f ca="1">'CALCS│Performance Commitments'!T56</f>
        <v>1</v>
      </c>
      <c r="F131" s="99">
        <f>'CALCS│Performance Commitments'!V56</f>
        <v>1.18</v>
      </c>
      <c r="G131" s="99" t="str">
        <f ca="1">'CALCS│Performance Commitments'!W56</f>
        <v>-</v>
      </c>
      <c r="H131" s="99">
        <f>'CALCS│Performance Commitments'!X56</f>
        <v>1.23</v>
      </c>
      <c r="I131" s="99" t="str">
        <f ca="1">'CALCS│Performance Commitments'!Y56</f>
        <v>-</v>
      </c>
      <c r="J131" s="266"/>
      <c r="K131" s="350" t="str">
        <f>VLOOKUP( C131, 'Map &amp; Key'!$C$70:$D$90, 2, 0 )</f>
        <v>Anglian Water</v>
      </c>
      <c r="L131" s="142" t="str">
        <f ca="1" xml:space="preserve"> _xlfn.IFNA( IF( OR( H131 = "-", D131 = "-" ), "-", IF( E131 = D131, 'Map &amp; Key'!$C$63, IF( E131 &gt; D131, 'Map &amp; Key'!$C$64, 'Map &amp; Key'!$C$65 ) ) ), "-" )</f>
        <v>◄►</v>
      </c>
      <c r="M131" s="359">
        <f t="shared" ref="M131:M146" ca="1" si="7" xml:space="preserve"> IF( OR( G131 = "-", I131 = "-" ), F131, TEXT( F131, "0.00" ) &amp; " (" &amp; TEXT( G131, "0.00" ) &amp; ")" )</f>
        <v>1.18</v>
      </c>
      <c r="N131" s="359">
        <f t="shared" ref="N131:N146" ca="1" si="8" xml:space="preserve"> IF( OR( G131 = "-", I131 = "-" ), H131, TEXT( H131, "0.00" ) &amp; " (" &amp; TEXT( I131, "0.00" ) &amp; ")" )</f>
        <v>1.23</v>
      </c>
      <c r="O131" s="143">
        <f xml:space="preserve"> VLOOKUP( C131, CALCS│Outcomes!$C$150:$L$166, MATCH( Year, CALCS│Outcomes!$C$2:$L$2, 0), 0 )</f>
        <v>1.18</v>
      </c>
      <c r="P131" s="266"/>
    </row>
    <row r="132" spans="2:16" s="84" customFormat="1" ht="15.95" customHeight="1" outlineLevel="1" x14ac:dyDescent="0.2">
      <c r="B132" s="266"/>
      <c r="C132" s="210" t="s">
        <v>81</v>
      </c>
      <c r="D132" s="98">
        <f ca="1">'CALCS│Performance Commitments'!L57</f>
        <v>0</v>
      </c>
      <c r="E132" s="98">
        <f ca="1">'CALCS│Performance Commitments'!T57</f>
        <v>0</v>
      </c>
      <c r="F132" s="99">
        <f>'CALCS│Performance Commitments'!V57</f>
        <v>3.28</v>
      </c>
      <c r="G132" s="99" t="str">
        <f ca="1">'CALCS│Performance Commitments'!W57</f>
        <v>-</v>
      </c>
      <c r="H132" s="99">
        <f>'CALCS│Performance Commitments'!X57</f>
        <v>1.23</v>
      </c>
      <c r="I132" s="99" t="str">
        <f ca="1">'CALCS│Performance Commitments'!Y57</f>
        <v>-</v>
      </c>
      <c r="J132" s="266"/>
      <c r="K132" s="350" t="str">
        <f>VLOOKUP( C132, 'Map &amp; Key'!$C$70:$D$90, 2, 0 )</f>
        <v>Dŵr Cymru</v>
      </c>
      <c r="L132" s="144" t="str">
        <f ca="1" xml:space="preserve"> _xlfn.IFNA( IF( OR( H132 = "-", D132 = "-" ), "-", IF( E132 = D132, 'Map &amp; Key'!$C$63, IF( E132 &gt; D132, 'Map &amp; Key'!$C$64, 'Map &amp; Key'!$C$65 ) ) ), "-" )</f>
        <v>◄►</v>
      </c>
      <c r="M132" s="359">
        <f t="shared" ca="1" si="7"/>
        <v>3.28</v>
      </c>
      <c r="N132" s="359">
        <f t="shared" ca="1" si="8"/>
        <v>1.23</v>
      </c>
      <c r="O132" s="143">
        <f xml:space="preserve"> VLOOKUP( C132, CALCS│Outcomes!$C$150:$L$166, MATCH( Year, CALCS│Outcomes!$C$2:$L$2, 0), 0 )</f>
        <v>3.42</v>
      </c>
      <c r="P132" s="266"/>
    </row>
    <row r="133" spans="2:16" s="84" customFormat="1" ht="15.95" customHeight="1" outlineLevel="1" x14ac:dyDescent="0.2">
      <c r="B133" s="266"/>
      <c r="C133" s="210" t="s">
        <v>84</v>
      </c>
      <c r="D133" s="98" t="str">
        <f>'CALCS│Performance Commitments'!L58</f>
        <v>-</v>
      </c>
      <c r="E133" s="98">
        <f ca="1">'CALCS│Performance Commitments'!T58</f>
        <v>0</v>
      </c>
      <c r="F133" s="99">
        <f>'CALCS│Performance Commitments'!V58</f>
        <v>1.02</v>
      </c>
      <c r="G133" s="99">
        <f ca="1">'CALCS│Performance Commitments'!W58</f>
        <v>1.2197342071727653</v>
      </c>
      <c r="H133" s="99">
        <f>'CALCS│Performance Commitments'!X58</f>
        <v>1.01</v>
      </c>
      <c r="I133" s="99">
        <f ca="1">'CALCS│Performance Commitments'!Y58</f>
        <v>0.69178955033679224</v>
      </c>
      <c r="J133" s="266"/>
      <c r="K133" s="350" t="str">
        <f>VLOOKUP( C133, 'Map &amp; Key'!$C$70:$D$90, 2, 0 )</f>
        <v>Hafren Dyfrdwy</v>
      </c>
      <c r="L133" s="144" t="str">
        <f xml:space="preserve"> _xlfn.IFNA( IF( OR( H133 = "-", D133 = "-" ), "-", IF( E133 = D133, 'Map &amp; Key'!$C$63, IF( E133 &gt; D133, 'Map &amp; Key'!$C$64, 'Map &amp; Key'!$C$65 ) ) ), "-" )</f>
        <v>-</v>
      </c>
      <c r="M133" s="359" t="str">
        <f t="shared" ca="1" si="7"/>
        <v>1.02 (1.22)</v>
      </c>
      <c r="N133" s="359" t="str">
        <f t="shared" ca="1" si="8"/>
        <v>1.01 (0.69)</v>
      </c>
      <c r="O133" s="143">
        <f xml:space="preserve"> VLOOKUP( C133, CALCS│Outcomes!$C$150:$L$166, MATCH( Year, CALCS│Outcomes!$C$2:$L$2, 0), 0 )</f>
        <v>2.87</v>
      </c>
      <c r="P133" s="266"/>
    </row>
    <row r="134" spans="2:16" s="84" customFormat="1" ht="15.95" customHeight="1" outlineLevel="1" x14ac:dyDescent="0.2">
      <c r="B134" s="266"/>
      <c r="C134" s="210" t="s">
        <v>86</v>
      </c>
      <c r="D134" s="98">
        <f ca="1">'CALCS│Performance Commitments'!L59</f>
        <v>1</v>
      </c>
      <c r="E134" s="98">
        <f ca="1">'CALCS│Performance Commitments'!T59</f>
        <v>0.5</v>
      </c>
      <c r="F134" s="99">
        <f>'CALCS│Performance Commitments'!V59</f>
        <v>0.23375104939887392</v>
      </c>
      <c r="G134" s="99">
        <f ca="1">'CALCS│Performance Commitments'!W59</f>
        <v>0.58812646108188371</v>
      </c>
      <c r="H134" s="99">
        <f>'CALCS│Performance Commitments'!X59</f>
        <v>0.21765309977046091</v>
      </c>
      <c r="I134" s="99">
        <f ca="1">'CALCS│Performance Commitments'!Y59</f>
        <v>0.68537571842613221</v>
      </c>
      <c r="J134" s="266"/>
      <c r="K134" s="350" t="str">
        <f>VLOOKUP( C134, 'Map &amp; Key'!$C$70:$D$90, 2, 0 )</f>
        <v>Northumbrian Water</v>
      </c>
      <c r="L134" s="144" t="str">
        <f ca="1" xml:space="preserve"> _xlfn.IFNA( IF( OR( H134 = "-", D134 = "-" ), "-", IF( E134 = D134, 'Map &amp; Key'!$C$63, IF( E134 &gt; D134, 'Map &amp; Key'!$C$64, 'Map &amp; Key'!$C$65 ) ) ), "-" )</f>
        <v>▼</v>
      </c>
      <c r="M134" s="359" t="str">
        <f t="shared" ca="1" si="7"/>
        <v>0.23 (0.59)</v>
      </c>
      <c r="N134" s="359" t="str">
        <f t="shared" ca="1" si="8"/>
        <v>0.22 (0.69)</v>
      </c>
      <c r="O134" s="143">
        <f xml:space="preserve"> VLOOKUP( C134, CALCS│Outcomes!$C$150:$L$166, MATCH( Year, CALCS│Outcomes!$C$2:$L$2, 0), 0 )</f>
        <v>1.3425628323507699</v>
      </c>
      <c r="P134" s="266"/>
    </row>
    <row r="135" spans="2:16" s="84" customFormat="1" ht="15.95" customHeight="1" outlineLevel="1" x14ac:dyDescent="0.2">
      <c r="C135" s="210" t="s">
        <v>88</v>
      </c>
      <c r="D135" s="98" t="str">
        <f>'CALCS│Performance Commitments'!L60</f>
        <v>-</v>
      </c>
      <c r="E135" s="98">
        <f ca="1">'CALCS│Performance Commitments'!T60</f>
        <v>0.5</v>
      </c>
      <c r="F135" s="99">
        <f>'CALCS│Performance Commitments'!V60</f>
        <v>1.5432182126302441</v>
      </c>
      <c r="G135" s="99">
        <f ca="1">'CALCS│Performance Commitments'!W60</f>
        <v>0.45</v>
      </c>
      <c r="H135" s="99">
        <f>'CALCS│Performance Commitments'!X60</f>
        <v>1.2956472746728618</v>
      </c>
      <c r="I135" s="99">
        <f ca="1">'CALCS│Performance Commitments'!Y60</f>
        <v>1.01</v>
      </c>
      <c r="J135" s="266"/>
      <c r="K135" s="350" t="str">
        <f>VLOOKUP( C135, 'Map &amp; Key'!$C$70:$D$90, 2, 0 )</f>
        <v>Severn Trent Water</v>
      </c>
      <c r="L135" s="144" t="str">
        <f xml:space="preserve"> _xlfn.IFNA( IF( OR( H135 = "-", D135 = "-" ), "-", IF( E135 = D135, 'Map &amp; Key'!$C$63, IF( E135 &gt; D135, 'Map &amp; Key'!$C$64, 'Map &amp; Key'!$C$65 ) ) ), "-" )</f>
        <v>-</v>
      </c>
      <c r="M135" s="359" t="str">
        <f t="shared" ca="1" si="7"/>
        <v>1.54 (0.45)</v>
      </c>
      <c r="N135" s="359" t="str">
        <f t="shared" ca="1" si="8"/>
        <v>1.30 (1.01)</v>
      </c>
      <c r="O135" s="143">
        <f xml:space="preserve"> VLOOKUP( C135, CALCS│Outcomes!$C$150:$L$166, MATCH( Year, CALCS│Outcomes!$C$2:$L$2, 0), 0 )</f>
        <v>1.64</v>
      </c>
    </row>
    <row r="136" spans="2:16" s="84" customFormat="1" ht="15.95" customHeight="1" outlineLevel="1" x14ac:dyDescent="0.2">
      <c r="C136" s="212" t="s">
        <v>90</v>
      </c>
      <c r="D136" s="98">
        <f ca="1">'CALCS│Performance Commitments'!L61</f>
        <v>1</v>
      </c>
      <c r="E136" s="98">
        <f ca="1">'CALCS│Performance Commitments'!T61</f>
        <v>1</v>
      </c>
      <c r="F136" s="99">
        <f>'CALCS│Performance Commitments'!V61</f>
        <v>2.13</v>
      </c>
      <c r="G136" s="99">
        <f>'CALCS│Performance Commitments'!W61</f>
        <v>0.71</v>
      </c>
      <c r="H136" s="99">
        <f>'CALCS│Performance Commitments'!X61</f>
        <v>3.3</v>
      </c>
      <c r="I136" s="99">
        <f>'CALCS│Performance Commitments'!Y61</f>
        <v>1.23</v>
      </c>
      <c r="J136" s="266"/>
      <c r="K136" s="350" t="str">
        <f>VLOOKUP( C136, 'Map &amp; Key'!$C$70:$D$90, 2, 0 )</f>
        <v>South West Water</v>
      </c>
      <c r="L136" s="144" t="str">
        <f ca="1" xml:space="preserve"> _xlfn.IFNA( IF( OR( H136 = "-", D136 = "-" ), "-", IF( E136 = D136, 'Map &amp; Key'!$C$63, IF( E136 &gt; D136, 'Map &amp; Key'!$C$64, 'Map &amp; Key'!$C$65 ) ) ), "-" )</f>
        <v>◄►</v>
      </c>
      <c r="M136" s="359" t="str">
        <f t="shared" si="7"/>
        <v>2.13 (0.71)</v>
      </c>
      <c r="N136" s="359" t="str">
        <f t="shared" si="8"/>
        <v>3.30 (1.23)</v>
      </c>
      <c r="O136" s="143">
        <f xml:space="preserve"> VLOOKUP( C136, CALCS│Outcomes!$C$150:$L$166, MATCH( Year, CALCS│Outcomes!$C$2:$L$2, 0), 0 )</f>
        <v>2.4178379147778002</v>
      </c>
    </row>
    <row r="137" spans="2:16" s="84" customFormat="1" ht="15.95" customHeight="1" outlineLevel="1" x14ac:dyDescent="0.2">
      <c r="C137" s="210" t="s">
        <v>93</v>
      </c>
      <c r="D137" s="98">
        <f ca="1">'CALCS│Performance Commitments'!L62</f>
        <v>1</v>
      </c>
      <c r="E137" s="98">
        <f ca="1">'CALCS│Performance Commitments'!T62</f>
        <v>1</v>
      </c>
      <c r="F137" s="99">
        <f>'CALCS│Performance Commitments'!V62</f>
        <v>0.68</v>
      </c>
      <c r="G137" s="99" t="str">
        <f ca="1">'CALCS│Performance Commitments'!W62</f>
        <v>-</v>
      </c>
      <c r="H137" s="99">
        <f>'CALCS│Performance Commitments'!X62</f>
        <v>0.82</v>
      </c>
      <c r="I137" s="99" t="str">
        <f ca="1">'CALCS│Performance Commitments'!Y62</f>
        <v>-</v>
      </c>
      <c r="J137" s="266"/>
      <c r="K137" s="350" t="str">
        <f>VLOOKUP( C137, 'Map &amp; Key'!$C$70:$D$90, 2, 0 )</f>
        <v>Southern Water</v>
      </c>
      <c r="L137" s="144" t="str">
        <f ca="1" xml:space="preserve"> _xlfn.IFNA( IF( OR( H137 = "-", D137 = "-" ), "-", IF( E137 = D137, 'Map &amp; Key'!$C$63, IF( E137 &gt; D137, 'Map &amp; Key'!$C$64, 'Map &amp; Key'!$C$65 ) ) ), "-" )</f>
        <v>◄►</v>
      </c>
      <c r="M137" s="359">
        <f t="shared" ca="1" si="7"/>
        <v>0.68</v>
      </c>
      <c r="N137" s="359">
        <f t="shared" ca="1" si="8"/>
        <v>0.82</v>
      </c>
      <c r="O137" s="143">
        <f xml:space="preserve"> VLOOKUP( C137, CALCS│Outcomes!$C$150:$L$166, MATCH( Year, CALCS│Outcomes!$C$2:$L$2, 0), 0 )</f>
        <v>1.26</v>
      </c>
    </row>
    <row r="138" spans="2:16" s="84" customFormat="1" ht="15.95" customHeight="1" outlineLevel="1" x14ac:dyDescent="0.2">
      <c r="C138" s="210" t="s">
        <v>95</v>
      </c>
      <c r="D138" s="98" t="str">
        <f>'CALCS│Performance Commitments'!L63</f>
        <v>-</v>
      </c>
      <c r="E138" s="98" t="str">
        <f>'CALCS│Performance Commitments'!T63</f>
        <v>-</v>
      </c>
      <c r="F138" s="99" t="str">
        <f>'CALCS│Performance Commitments'!V63</f>
        <v>-</v>
      </c>
      <c r="G138" s="99" t="str">
        <f ca="1">'CALCS│Performance Commitments'!W63</f>
        <v>-</v>
      </c>
      <c r="H138" s="99" t="str">
        <f>'CALCS│Performance Commitments'!X63</f>
        <v>-</v>
      </c>
      <c r="I138" s="99" t="str">
        <f ca="1">'CALCS│Performance Commitments'!Y63</f>
        <v>-</v>
      </c>
      <c r="J138" s="266"/>
      <c r="K138" s="350" t="str">
        <f>VLOOKUP( C138, 'Map &amp; Key'!$C$70:$D$90, 2, 0 )</f>
        <v>Thames Water</v>
      </c>
      <c r="L138" s="144" t="str">
        <f xml:space="preserve"> _xlfn.IFNA( IF( OR( H138 = "-", D138 = "-" ), "-", IF( E138 = D138, 'Map &amp; Key'!$C$63, IF( E138 &gt; D138, 'Map &amp; Key'!$C$64, 'Map &amp; Key'!$C$65 ) ) ), "-" )</f>
        <v>-</v>
      </c>
      <c r="M138" s="359" t="str">
        <f t="shared" ca="1" si="7"/>
        <v>-</v>
      </c>
      <c r="N138" s="359" t="str">
        <f t="shared" ca="1" si="8"/>
        <v>-</v>
      </c>
      <c r="O138" s="143">
        <f xml:space="preserve"> VLOOKUP( C138, CALCS│Outcomes!$C$150:$L$166, MATCH( Year, CALCS│Outcomes!$C$2:$L$2, 0), 0 )</f>
        <v>0.61</v>
      </c>
    </row>
    <row r="139" spans="2:16" s="84" customFormat="1" ht="15.95" customHeight="1" outlineLevel="1" x14ac:dyDescent="0.2">
      <c r="C139" s="210" t="s">
        <v>97</v>
      </c>
      <c r="D139" s="98">
        <f ca="1">'CALCS│Performance Commitments'!L64</f>
        <v>0</v>
      </c>
      <c r="E139" s="98">
        <f ca="1">'CALCS│Performance Commitments'!T64</f>
        <v>0</v>
      </c>
      <c r="F139" s="99">
        <f>'CALCS│Performance Commitments'!V64</f>
        <v>1.5149115393182162</v>
      </c>
      <c r="G139" s="99" t="str">
        <f ca="1">'CALCS│Performance Commitments'!W64</f>
        <v>-</v>
      </c>
      <c r="H139" s="99">
        <f>'CALCS│Performance Commitments'!X64</f>
        <v>0.95751618304980002</v>
      </c>
      <c r="I139" s="99" t="str">
        <f ca="1">'CALCS│Performance Commitments'!Y64</f>
        <v>-</v>
      </c>
      <c r="J139" s="266"/>
      <c r="K139" s="350" t="str">
        <f>VLOOKUP( C139, 'Map &amp; Key'!$C$70:$D$90, 2, 0 )</f>
        <v>United Utilities</v>
      </c>
      <c r="L139" s="144" t="str">
        <f ca="1" xml:space="preserve"> _xlfn.IFNA( IF( OR( H139 = "-", D139 = "-" ), "-", IF( E139 = D139, 'Map &amp; Key'!$C$63, IF( E139 &gt; D139, 'Map &amp; Key'!$C$64, 'Map &amp; Key'!$C$65 ) ) ), "-" )</f>
        <v>◄►</v>
      </c>
      <c r="M139" s="359">
        <f t="shared" ca="1" si="7"/>
        <v>1.5149115393182162</v>
      </c>
      <c r="N139" s="359">
        <f t="shared" ca="1" si="8"/>
        <v>0.95751618304980002</v>
      </c>
      <c r="O139" s="143">
        <f xml:space="preserve"> VLOOKUP( C139, CALCS│Outcomes!$C$150:$L$166, MATCH( Year, CALCS│Outcomes!$C$2:$L$2, 0), 0 )</f>
        <v>2.06</v>
      </c>
    </row>
    <row r="140" spans="2:16" s="84" customFormat="1" ht="15.95" customHeight="1" outlineLevel="1" x14ac:dyDescent="0.2">
      <c r="C140" s="210" t="s">
        <v>99</v>
      </c>
      <c r="D140" s="98">
        <f ca="1">'CALCS│Performance Commitments'!L65</f>
        <v>0</v>
      </c>
      <c r="E140" s="98">
        <f ca="1">'CALCS│Performance Commitments'!T65</f>
        <v>0</v>
      </c>
      <c r="F140" s="99">
        <f>'CALCS│Performance Commitments'!V65</f>
        <v>1.5402298850574712</v>
      </c>
      <c r="G140" s="99" t="str">
        <f ca="1">'CALCS│Performance Commitments'!W65</f>
        <v>-</v>
      </c>
      <c r="H140" s="99">
        <f>'CALCS│Performance Commitments'!X65</f>
        <v>1.2321839080459771</v>
      </c>
      <c r="I140" s="99" t="str">
        <f ca="1">'CALCS│Performance Commitments'!Y65</f>
        <v>-</v>
      </c>
      <c r="J140" s="266"/>
      <c r="K140" s="350" t="str">
        <f>VLOOKUP( C140, 'Map &amp; Key'!$C$70:$D$90, 2, 0 )</f>
        <v>Wessex Water</v>
      </c>
      <c r="L140" s="144" t="str">
        <f ca="1" xml:space="preserve"> _xlfn.IFNA( IF( OR( H140 = "-", D140 = "-" ), "-", IF( E140 = D140, 'Map &amp; Key'!$C$63, IF( E140 &gt; D140, 'Map &amp; Key'!$C$64, 'Map &amp; Key'!$C$65 ) ) ), "-" )</f>
        <v>◄►</v>
      </c>
      <c r="M140" s="359">
        <f t="shared" ca="1" si="7"/>
        <v>1.5402298850574712</v>
      </c>
      <c r="N140" s="359">
        <f t="shared" ca="1" si="8"/>
        <v>1.2321839080459771</v>
      </c>
      <c r="O140" s="143">
        <f xml:space="preserve"> VLOOKUP( C140, CALCS│Outcomes!$C$150:$L$166, MATCH( Year, CALCS│Outcomes!$C$2:$L$2, 0), 0 )</f>
        <v>1.54</v>
      </c>
    </row>
    <row r="141" spans="2:16" s="84" customFormat="1" ht="15.95" customHeight="1" outlineLevel="1" x14ac:dyDescent="0.2">
      <c r="C141" s="210" t="s">
        <v>101</v>
      </c>
      <c r="D141" s="98">
        <f ca="1">'CALCS│Performance Commitments'!L66</f>
        <v>0</v>
      </c>
      <c r="E141" s="98">
        <f ca="1">'CALCS│Performance Commitments'!T66</f>
        <v>0</v>
      </c>
      <c r="F141" s="99">
        <f>'CALCS│Performance Commitments'!V66</f>
        <v>1.5744133708894053</v>
      </c>
      <c r="G141" s="99" t="str">
        <f ca="1">'CALCS│Performance Commitments'!W66</f>
        <v>-</v>
      </c>
      <c r="H141" s="99">
        <f>'CALCS│Performance Commitments'!X66</f>
        <v>1.2074983512547071</v>
      </c>
      <c r="I141" s="99" t="str">
        <f ca="1">'CALCS│Performance Commitments'!Y66</f>
        <v>-</v>
      </c>
      <c r="J141" s="266"/>
      <c r="K141" s="350" t="str">
        <f>VLOOKUP( C141, 'Map &amp; Key'!$C$70:$D$90, 2, 0 )</f>
        <v>Yorkshire Water</v>
      </c>
      <c r="L141" s="144" t="str">
        <f ca="1" xml:space="preserve"> _xlfn.IFNA( IF( OR( H141 = "-", D141 = "-" ), "-", IF( E141 = D141, 'Map &amp; Key'!$C$63, IF( E141 &gt; D141, 'Map &amp; Key'!$C$64, 'Map &amp; Key'!$C$65 ) ) ), "-" )</f>
        <v>◄►</v>
      </c>
      <c r="M141" s="359">
        <f t="shared" ca="1" si="7"/>
        <v>1.5744133708894053</v>
      </c>
      <c r="N141" s="359">
        <f t="shared" ca="1" si="8"/>
        <v>1.2074983512547071</v>
      </c>
      <c r="O141" s="143">
        <f xml:space="preserve"> VLOOKUP( C141, CALCS│Outcomes!$C$150:$L$166, MATCH( Year, CALCS│Outcomes!$C$2:$L$2, 0), 0 )</f>
        <v>1.64</v>
      </c>
    </row>
    <row r="142" spans="2:16" s="84" customFormat="1" ht="15.95" customHeight="1" outlineLevel="1" x14ac:dyDescent="0.2">
      <c r="C142" s="210" t="s">
        <v>103</v>
      </c>
      <c r="D142" s="98">
        <f ca="1">'CALCS│Performance Commitments'!L67</f>
        <v>1</v>
      </c>
      <c r="E142" s="98">
        <f ca="1">'CALCS│Performance Commitments'!T67</f>
        <v>1</v>
      </c>
      <c r="F142" s="99">
        <f>'CALCS│Performance Commitments'!V67</f>
        <v>0.23</v>
      </c>
      <c r="G142" s="99" t="str">
        <f ca="1">'CALCS│Performance Commitments'!W67</f>
        <v>-</v>
      </c>
      <c r="H142" s="99">
        <f>'CALCS│Performance Commitments'!X67</f>
        <v>0.66</v>
      </c>
      <c r="I142" s="99" t="str">
        <f ca="1">'CALCS│Performance Commitments'!Y67</f>
        <v>-</v>
      </c>
      <c r="J142" s="266"/>
      <c r="K142" s="350" t="str">
        <f>VLOOKUP( C142, 'Map &amp; Key'!$C$70:$D$90, 2, 0 )</f>
        <v>Affinity Water</v>
      </c>
      <c r="L142" s="144" t="str">
        <f ca="1" xml:space="preserve"> _xlfn.IFNA( IF( OR( H142 = "-", D142 = "-" ), "-", IF( E142 = D142, 'Map &amp; Key'!$C$63, IF( E142 &gt; D142, 'Map &amp; Key'!$C$64, 'Map &amp; Key'!$C$65 ) ) ), "-" )</f>
        <v>◄►</v>
      </c>
      <c r="M142" s="359">
        <f t="shared" ca="1" si="7"/>
        <v>0.23</v>
      </c>
      <c r="N142" s="359">
        <f t="shared" ca="1" si="8"/>
        <v>0.66</v>
      </c>
      <c r="O142" s="143">
        <f xml:space="preserve"> VLOOKUP( C142, CALCS│Outcomes!$C$150:$L$166, MATCH( Year, CALCS│Outcomes!$C$2:$L$2, 0), 0 )</f>
        <v>0.82</v>
      </c>
    </row>
    <row r="143" spans="2:16" s="84" customFormat="1" ht="15.95" customHeight="1" outlineLevel="1" x14ac:dyDescent="0.2">
      <c r="C143" s="210" t="s">
        <v>105</v>
      </c>
      <c r="D143" s="98">
        <f ca="1">'CALCS│Performance Commitments'!L68</f>
        <v>1</v>
      </c>
      <c r="E143" s="98">
        <f ca="1">'CALCS│Performance Commitments'!T68</f>
        <v>1</v>
      </c>
      <c r="F143" s="99">
        <f>'CALCS│Performance Commitments'!V68</f>
        <v>1.6186999178095491</v>
      </c>
      <c r="G143" s="99" t="str">
        <f ca="1">'CALCS│Performance Commitments'!W68</f>
        <v>-</v>
      </c>
      <c r="H143" s="99">
        <f>'CALCS│Performance Commitments'!X68</f>
        <v>1.9041066768442214</v>
      </c>
      <c r="I143" s="99" t="str">
        <f ca="1">'CALCS│Performance Commitments'!Y68</f>
        <v>-</v>
      </c>
      <c r="J143" s="266"/>
      <c r="K143" s="350" t="str">
        <f>VLOOKUP( C143, 'Map &amp; Key'!$C$70:$D$90, 2, 0 )</f>
        <v>Bristol Water</v>
      </c>
      <c r="L143" s="144" t="str">
        <f ca="1" xml:space="preserve"> _xlfn.IFNA( IF( OR( H143 = "-", D143 = "-" ), "-", IF( E143 = D143, 'Map &amp; Key'!$C$63, IF( E143 &gt; D143, 'Map &amp; Key'!$C$64, 'Map &amp; Key'!$C$65 ) ) ), "-" )</f>
        <v>◄►</v>
      </c>
      <c r="M143" s="359">
        <f t="shared" ca="1" si="7"/>
        <v>1.6186999178095491</v>
      </c>
      <c r="N143" s="359">
        <f t="shared" ca="1" si="8"/>
        <v>1.9041066768442214</v>
      </c>
      <c r="O143" s="143">
        <f xml:space="preserve"> VLOOKUP( C143, CALCS│Outcomes!$C$150:$L$166, MATCH( Year, CALCS│Outcomes!$C$2:$L$2, 0), 0 )</f>
        <v>1.69</v>
      </c>
    </row>
    <row r="144" spans="2:16" s="84" customFormat="1" ht="15.95" customHeight="1" outlineLevel="1" x14ac:dyDescent="0.2">
      <c r="C144" s="210" t="s">
        <v>107</v>
      </c>
      <c r="D144" s="98">
        <f ca="1">'CALCS│Performance Commitments'!L69</f>
        <v>0</v>
      </c>
      <c r="E144" s="98">
        <f ca="1">'CALCS│Performance Commitments'!T69</f>
        <v>0</v>
      </c>
      <c r="F144" s="99">
        <f>'CALCS│Performance Commitments'!V69</f>
        <v>0.437</v>
      </c>
      <c r="G144" s="99" t="str">
        <f ca="1">'CALCS│Performance Commitments'!W69</f>
        <v>-</v>
      </c>
      <c r="H144" s="99">
        <f>'CALCS│Performance Commitments'!X69</f>
        <v>0.41699999999999998</v>
      </c>
      <c r="I144" s="99" t="str">
        <f ca="1">'CALCS│Performance Commitments'!Y69</f>
        <v>-</v>
      </c>
      <c r="J144" s="266"/>
      <c r="K144" s="350" t="str">
        <f>VLOOKUP( C144, 'Map &amp; Key'!$C$70:$D$90, 2, 0 )</f>
        <v>Portsmouth Water</v>
      </c>
      <c r="L144" s="144" t="str">
        <f ca="1" xml:space="preserve"> _xlfn.IFNA( IF( OR( H144 = "-", D144 = "-" ), "-", IF( E144 = D144, 'Map &amp; Key'!$C$63, IF( E144 &gt; D144, 'Map &amp; Key'!$C$64, 'Map &amp; Key'!$C$65 ) ) ), "-" )</f>
        <v>◄►</v>
      </c>
      <c r="M144" s="359">
        <f t="shared" ca="1" si="7"/>
        <v>0.437</v>
      </c>
      <c r="N144" s="359">
        <f t="shared" ca="1" si="8"/>
        <v>0.41699999999999998</v>
      </c>
      <c r="O144" s="143">
        <f xml:space="preserve"> VLOOKUP( C144, CALCS│Outcomes!$C$150:$L$166, MATCH( Year, CALCS│Outcomes!$C$2:$L$2, 0), 0 )</f>
        <v>0.44</v>
      </c>
    </row>
    <row r="145" spans="2:16" s="84" customFormat="1" ht="15.95" customHeight="1" outlineLevel="1" x14ac:dyDescent="0.2">
      <c r="C145" s="210" t="s">
        <v>111</v>
      </c>
      <c r="D145" s="98">
        <f ca="1">'CALCS│Performance Commitments'!L70</f>
        <v>0</v>
      </c>
      <c r="E145" s="98">
        <f ca="1">'CALCS│Performance Commitments'!T70</f>
        <v>0</v>
      </c>
      <c r="F145" s="99">
        <f>'CALCS│Performance Commitments'!V70</f>
        <v>0.59</v>
      </c>
      <c r="G145" s="99" t="str">
        <f ca="1">'CALCS│Performance Commitments'!W70</f>
        <v>-</v>
      </c>
      <c r="H145" s="99">
        <f>'CALCS│Performance Commitments'!X70</f>
        <v>0.57999999999999996</v>
      </c>
      <c r="I145" s="99" t="str">
        <f ca="1">'CALCS│Performance Commitments'!Y70</f>
        <v>-</v>
      </c>
      <c r="J145" s="266"/>
      <c r="K145" s="350" t="str">
        <f>VLOOKUP( C145, 'Map &amp; Key'!$C$70:$D$90, 2, 0 )</f>
        <v>South East Water</v>
      </c>
      <c r="L145" s="144" t="str">
        <f ca="1" xml:space="preserve"> _xlfn.IFNA( IF( OR( H145 = "-", D145 = "-" ), "-", IF( E145 = D145, 'Map &amp; Key'!$C$63, IF( E145 &gt; D145, 'Map &amp; Key'!$C$64, 'Map &amp; Key'!$C$65 ) ) ), "-" )</f>
        <v>◄►</v>
      </c>
      <c r="M145" s="359">
        <f t="shared" ca="1" si="7"/>
        <v>0.59</v>
      </c>
      <c r="N145" s="359">
        <f t="shared" ca="1" si="8"/>
        <v>0.57999999999999996</v>
      </c>
      <c r="O145" s="143">
        <f xml:space="preserve"> VLOOKUP( C145, CALCS│Outcomes!$C$150:$L$166, MATCH( Year, CALCS│Outcomes!$C$2:$L$2, 0), 0 )</f>
        <v>1.52</v>
      </c>
    </row>
    <row r="146" spans="2:16" s="84" customFormat="1" ht="15.95" customHeight="1" outlineLevel="1" x14ac:dyDescent="0.2">
      <c r="C146" s="210" t="s">
        <v>113</v>
      </c>
      <c r="D146" s="98">
        <f ca="1">'CALCS│Performance Commitments'!L71</f>
        <v>0</v>
      </c>
      <c r="E146" s="98">
        <f ca="1">'CALCS│Performance Commitments'!T71</f>
        <v>0</v>
      </c>
      <c r="F146" s="99">
        <f>'CALCS│Performance Commitments'!V71</f>
        <v>1.51</v>
      </c>
      <c r="G146" s="99" t="str">
        <f ca="1">'CALCS│Performance Commitments'!W71</f>
        <v>-</v>
      </c>
      <c r="H146" s="99">
        <f>'CALCS│Performance Commitments'!X71</f>
        <v>1.23</v>
      </c>
      <c r="I146" s="99" t="str">
        <f ca="1">'CALCS│Performance Commitments'!Y71</f>
        <v>-</v>
      </c>
      <c r="J146" s="266"/>
      <c r="K146" s="350" t="str">
        <f>VLOOKUP( C146, 'Map &amp; Key'!$C$70:$D$90, 2, 0 )</f>
        <v>South Staffs Water</v>
      </c>
      <c r="L146" s="144" t="str">
        <f ca="1" xml:space="preserve"> _xlfn.IFNA( IF( OR( H146 = "-", D146 = "-" ), "-", IF( E146 = D146, 'Map &amp; Key'!$C$63, IF( E146 &gt; D146, 'Map &amp; Key'!$C$64, 'Map &amp; Key'!$C$65 ) ) ), "-" )</f>
        <v>◄►</v>
      </c>
      <c r="M146" s="359">
        <f t="shared" ca="1" si="7"/>
        <v>1.51</v>
      </c>
      <c r="N146" s="359">
        <f t="shared" ca="1" si="8"/>
        <v>1.23</v>
      </c>
      <c r="O146" s="143">
        <f xml:space="preserve"> VLOOKUP( C146, CALCS│Outcomes!$C$150:$L$166, MATCH( Year, CALCS│Outcomes!$C$2:$L$2, 0), 0 )</f>
        <v>1.5069135802469136</v>
      </c>
    </row>
    <row r="147" spans="2:16" s="84" customFormat="1" ht="15.95" customHeight="1" outlineLevel="1" x14ac:dyDescent="0.2">
      <c r="C147" s="210" t="s">
        <v>109</v>
      </c>
      <c r="D147" s="98">
        <f ca="1">'CALCS│Performance Commitments'!L72</f>
        <v>0</v>
      </c>
      <c r="E147" s="98">
        <f ca="1">'CALCS│Performance Commitments'!T72</f>
        <v>0</v>
      </c>
      <c r="F147" s="99">
        <f>'CALCS│Performance Commitments'!V72</f>
        <v>0.54492029147320131</v>
      </c>
      <c r="G147" s="99" t="str">
        <f ca="1">'CALCS│Performance Commitments'!W72</f>
        <v>-</v>
      </c>
      <c r="H147" s="99">
        <f>'CALCS│Performance Commitments'!X72</f>
        <v>0.49155180931860942</v>
      </c>
      <c r="I147" s="99" t="str">
        <f ca="1">'CALCS│Performance Commitments'!Y72</f>
        <v>-</v>
      </c>
      <c r="J147" s="266"/>
      <c r="K147" s="350" t="str">
        <f>VLOOKUP( C147, 'Map &amp; Key'!$C$70:$D$90, 2, 0 )</f>
        <v>SES Water</v>
      </c>
      <c r="L147" s="144" t="str">
        <f ca="1" xml:space="preserve"> _xlfn.IFNA( IF( OR( H147 = "-", D147 = "-" ), "-", IF( E147 = D147, 'Map &amp; Key'!$C$63, IF( E147 &gt; D147, 'Map &amp; Key'!$C$64, 'Map &amp; Key'!$C$65 ) ) ), "-" )</f>
        <v>◄►</v>
      </c>
      <c r="M147" s="359">
        <f ca="1" xml:space="preserve"> IF( OR( G147 = "-", I147 = "-" ), F147, TEXT( F147, "0.00" ) &amp; " (" &amp; TEXT( G147, "0.00" ) &amp; ")" )</f>
        <v>0.54492029147320131</v>
      </c>
      <c r="N147" s="359">
        <f ca="1" xml:space="preserve"> IF( OR( G147 = "-", I147 = "-" ), H147, TEXT( H147, "0.00" ) &amp; " (" &amp; TEXT( I147, "0.00" ) &amp; ")" )</f>
        <v>0.49155180931860942</v>
      </c>
      <c r="O147" s="143">
        <f xml:space="preserve"> VLOOKUP( C147, CALCS│Outcomes!$C$150:$L$166, MATCH( Year, CALCS│Outcomes!$C$2:$L$2, 0), 0 )</f>
        <v>0.59</v>
      </c>
    </row>
    <row r="148" spans="2:16" outlineLevel="1" x14ac:dyDescent="0.2"/>
    <row r="149" spans="2:16" outlineLevel="1" x14ac:dyDescent="0.2">
      <c r="N149" s="8" t="s">
        <v>531</v>
      </c>
      <c r="O149" s="87">
        <f>_xlfn.PERCENTILE.INC(O131:O147, 0.25)</f>
        <v>1.18</v>
      </c>
    </row>
    <row r="150" spans="2:16" outlineLevel="1" x14ac:dyDescent="0.2">
      <c r="N150" s="8" t="s">
        <v>532</v>
      </c>
      <c r="O150" s="87">
        <f>_xlfn.PERCENTILE.INC(O131:O147, 0.75)</f>
        <v>1.69</v>
      </c>
    </row>
    <row r="152" spans="2:16" ht="13.5" x14ac:dyDescent="0.25">
      <c r="B152" s="9" t="s">
        <v>163</v>
      </c>
      <c r="C152" s="9"/>
      <c r="D152" s="9"/>
      <c r="E152" s="10"/>
      <c r="F152" s="9"/>
      <c r="G152" s="9"/>
      <c r="H152" s="9"/>
      <c r="I152" s="9"/>
      <c r="J152" s="9"/>
      <c r="K152" s="9" t="s">
        <v>580</v>
      </c>
      <c r="L152" s="9"/>
      <c r="M152" s="9"/>
      <c r="N152" s="9"/>
      <c r="O152" s="9"/>
      <c r="P152" s="9"/>
    </row>
    <row r="153" spans="2:16" outlineLevel="1" x14ac:dyDescent="0.2"/>
    <row r="154" spans="2:16" ht="40.5" outlineLevel="1" x14ac:dyDescent="0.25">
      <c r="L154" s="347" t="s">
        <v>569</v>
      </c>
      <c r="M154" s="347"/>
      <c r="N154" s="347"/>
      <c r="O154" s="296" t="str">
        <f xml:space="preserve"> "Relative performance (" &amp; Year &amp; ")"</f>
        <v>Relative performance (2018-19)</v>
      </c>
    </row>
    <row r="155" spans="2:16" ht="51" customHeight="1" outlineLevel="1" x14ac:dyDescent="0.2">
      <c r="C155" s="354" t="s">
        <v>344</v>
      </c>
      <c r="D155" s="354" t="str">
        <f xml:space="preserve"> "PCs met " &amp; Last_year</f>
        <v>PCs met 2017-18</v>
      </c>
      <c r="E155" s="354" t="str">
        <f xml:space="preserve"> "PCs met " &amp; Year</f>
        <v>PCs met 2018-19</v>
      </c>
      <c r="F155" s="354" t="str">
        <f xml:space="preserve"> Year &amp; " actual PC1"</f>
        <v>2018-19 actual PC1</v>
      </c>
      <c r="G155" s="354" t="str">
        <f xml:space="preserve"> Year &amp; " actual PC2"</f>
        <v>2018-19 actual PC2</v>
      </c>
      <c r="H155" s="354" t="str">
        <f xml:space="preserve"> Year &amp; " target PC1"</f>
        <v>2018-19 target PC1</v>
      </c>
      <c r="I155" s="354" t="str">
        <f xml:space="preserve"> Year &amp; " target PC2"</f>
        <v>2018-19 target PC2</v>
      </c>
      <c r="K155" s="291"/>
      <c r="L155" s="374" t="s">
        <v>535</v>
      </c>
      <c r="M155" s="374" t="s">
        <v>544</v>
      </c>
      <c r="N155" s="374" t="s">
        <v>545</v>
      </c>
      <c r="O155" s="374" t="s">
        <v>546</v>
      </c>
    </row>
    <row r="156" spans="2:16" s="84" customFormat="1" ht="15.95" customHeight="1" outlineLevel="1" x14ac:dyDescent="0.2">
      <c r="B156" s="266"/>
      <c r="C156" s="210" t="s">
        <v>79</v>
      </c>
      <c r="D156" s="98" t="str">
        <f>'CALCS│Performance Commitments'!L79</f>
        <v>-</v>
      </c>
      <c r="E156" s="98" t="str">
        <f>'CALCS│Performance Commitments'!T79</f>
        <v>-</v>
      </c>
      <c r="F156" s="99" t="str">
        <f>'CALCS│Performance Commitments'!V79</f>
        <v>-</v>
      </c>
      <c r="G156" s="99" t="str">
        <f ca="1">'CALCS│Performance Commitments'!W79</f>
        <v>-</v>
      </c>
      <c r="H156" s="99" t="str">
        <f>'CALCS│Performance Commitments'!X79</f>
        <v>-</v>
      </c>
      <c r="I156" s="99" t="str">
        <f ca="1">'CALCS│Performance Commitments'!Y79</f>
        <v>-</v>
      </c>
      <c r="J156" s="8"/>
      <c r="K156" s="350" t="str">
        <f>VLOOKUP( C156, 'Map &amp; Key'!$C$70:$D$90, 2, 0 )</f>
        <v>Anglian Water</v>
      </c>
      <c r="L156" s="142" t="str">
        <f xml:space="preserve"> _xlfn.IFNA( IF( OR( H156 = "-", D156 = "-" ), "-", IF( E156 = D156, 'Map &amp; Key'!$C$63, IF( E156 &gt; D156, 'Map &amp; Key'!$C$64, 'Map &amp; Key'!$C$65 ) ) ), "-" )</f>
        <v>-</v>
      </c>
      <c r="M156" s="293" t="str">
        <f ca="1" xml:space="preserve"> IF( OR( G156 = "-", I156 = "-" ), F156, TEXT( F156, "0" ) &amp; " (" &amp; TEXT( G156, "0" ) &amp; ")" )</f>
        <v>-</v>
      </c>
      <c r="N156" s="293" t="str">
        <f ca="1" xml:space="preserve"> IF( OR( G156 = "-", I156 = "-" ), H156, TEXT( H156, "0" ) &amp; " (" &amp; TEXT( I156, "0" ) &amp; ")" )</f>
        <v>-</v>
      </c>
      <c r="O156" s="143">
        <f xml:space="preserve"> VLOOKUP( C156, CALCS│Outcomes!$C$231:$L$241, MATCH( Year, CALCS│Outcomes!$C$2:$L$2, 0), 0 )</f>
        <v>1.2251569866726564</v>
      </c>
      <c r="P156" s="266"/>
    </row>
    <row r="157" spans="2:16" s="84" customFormat="1" ht="15.95" customHeight="1" outlineLevel="1" x14ac:dyDescent="0.2">
      <c r="B157" s="266"/>
      <c r="C157" s="210" t="s">
        <v>81</v>
      </c>
      <c r="D157" s="98">
        <f ca="1">'CALCS│Performance Commitments'!L80</f>
        <v>1</v>
      </c>
      <c r="E157" s="98">
        <f ca="1">'CALCS│Performance Commitments'!T80</f>
        <v>1</v>
      </c>
      <c r="F157" s="99">
        <f>'CALCS│Performance Commitments'!V80</f>
        <v>221</v>
      </c>
      <c r="G157" s="99" t="str">
        <f ca="1">'CALCS│Performance Commitments'!W80</f>
        <v>-</v>
      </c>
      <c r="H157" s="99">
        <f>'CALCS│Performance Commitments'!X80</f>
        <v>282</v>
      </c>
      <c r="I157" s="99" t="str">
        <f ca="1">'CALCS│Performance Commitments'!Y80</f>
        <v>-</v>
      </c>
      <c r="J157" s="266"/>
      <c r="K157" s="350" t="str">
        <f>VLOOKUP( C157, 'Map &amp; Key'!$C$70:$D$90, 2, 0 )</f>
        <v>Dŵr Cymru</v>
      </c>
      <c r="L157" s="144" t="str">
        <f ca="1" xml:space="preserve"> _xlfn.IFNA( IF( OR( H157 = "-", D157 = "-" ), "-", IF( E157 = D157, 'Map &amp; Key'!$C$63, IF( E157 &gt; D157, 'Map &amp; Key'!$C$64, 'Map &amp; Key'!$C$65 ) ) ), "-" )</f>
        <v>◄►</v>
      </c>
      <c r="M157" s="353">
        <f t="shared" ref="M157:M166" ca="1" si="9" xml:space="preserve"> IF( OR( G157 = "-", I157 = "-" ), F157, TEXT( F157, "0" ) &amp; " (" &amp; TEXT( G157, "0" ) &amp; ")" )</f>
        <v>221</v>
      </c>
      <c r="N157" s="353">
        <f t="shared" ref="N157:N166" ca="1" si="10" xml:space="preserve"> IF( OR( G157 = "-", I157 = "-" ), H157, TEXT( H157, "0" ) &amp; " (" &amp; TEXT( I157, "0" ) &amp; ")" )</f>
        <v>282</v>
      </c>
      <c r="O157" s="143">
        <f xml:space="preserve"> VLOOKUP( C157, CALCS│Outcomes!$C$231:$L$241, MATCH( Year, CALCS│Outcomes!$C$2:$L$2, 0), 0 )</f>
        <v>1.5156170275801151</v>
      </c>
      <c r="P157" s="266"/>
    </row>
    <row r="158" spans="2:16" s="84" customFormat="1" ht="15.95" customHeight="1" outlineLevel="1" x14ac:dyDescent="0.2">
      <c r="B158" s="266"/>
      <c r="C158" s="210" t="s">
        <v>84</v>
      </c>
      <c r="D158" s="98" t="str">
        <f>'CALCS│Performance Commitments'!L81</f>
        <v>-</v>
      </c>
      <c r="E158" s="98">
        <f ca="1">'CALCS│Performance Commitments'!T81</f>
        <v>1</v>
      </c>
      <c r="F158" s="99">
        <f>'CALCS│Performance Commitments'!V81</f>
        <v>4</v>
      </c>
      <c r="G158" s="99" t="str">
        <f ca="1">'CALCS│Performance Commitments'!W81</f>
        <v>-</v>
      </c>
      <c r="H158" s="99">
        <f>'CALCS│Performance Commitments'!X81</f>
        <v>5</v>
      </c>
      <c r="I158" s="99" t="str">
        <f ca="1">'CALCS│Performance Commitments'!Y81</f>
        <v>-</v>
      </c>
      <c r="J158" s="266"/>
      <c r="K158" s="350" t="str">
        <f>VLOOKUP( C158, 'Map &amp; Key'!$C$70:$D$90, 2, 0 )</f>
        <v>Hafren Dyfrdwy</v>
      </c>
      <c r="L158" s="144" t="str">
        <f xml:space="preserve"> _xlfn.IFNA( IF( OR( H158 = "-", D158 = "-" ), "-", IF( E158 = D158, 'Map &amp; Key'!$C$63, IF( E158 &gt; D158, 'Map &amp; Key'!$C$64, 'Map &amp; Key'!$C$65 ) ) ), "-" )</f>
        <v>-</v>
      </c>
      <c r="M158" s="353">
        <f t="shared" ca="1" si="9"/>
        <v>4</v>
      </c>
      <c r="N158" s="353">
        <f t="shared" ca="1" si="10"/>
        <v>5</v>
      </c>
      <c r="O158" s="143">
        <f xml:space="preserve"> VLOOKUP( C158, CALCS│Outcomes!$C$231:$L$241, MATCH( Year, CALCS│Outcomes!$C$2:$L$2, 0), 0 )</f>
        <v>1.8983436951260027</v>
      </c>
      <c r="P158" s="266"/>
    </row>
    <row r="159" spans="2:16" s="84" customFormat="1" ht="15.95" customHeight="1" outlineLevel="1" x14ac:dyDescent="0.2">
      <c r="B159" s="266"/>
      <c r="C159" s="210" t="s">
        <v>86</v>
      </c>
      <c r="D159" s="98">
        <f ca="1">'CALCS│Performance Commitments'!L82</f>
        <v>1</v>
      </c>
      <c r="E159" s="98">
        <f ca="1">'CALCS│Performance Commitments'!T82</f>
        <v>0.5</v>
      </c>
      <c r="F159" s="99">
        <f>'CALCS│Performance Commitments'!V82</f>
        <v>124</v>
      </c>
      <c r="G159" s="99">
        <f ca="1">'CALCS│Performance Commitments'!W82</f>
        <v>246</v>
      </c>
      <c r="H159" s="99">
        <f>'CALCS│Performance Commitments'!X82</f>
        <v>186</v>
      </c>
      <c r="I159" s="99">
        <f ca="1">'CALCS│Performance Commitments'!Y82</f>
        <v>228</v>
      </c>
      <c r="J159" s="266"/>
      <c r="K159" s="350" t="str">
        <f>VLOOKUP( C159, 'Map &amp; Key'!$C$70:$D$90, 2, 0 )</f>
        <v>Northumbrian Water</v>
      </c>
      <c r="L159" s="144" t="str">
        <f ca="1" xml:space="preserve"> _xlfn.IFNA( IF( OR( H159 = "-", D159 = "-" ), "-", IF( E159 = D159, 'Map &amp; Key'!$C$63, IF( E159 &gt; D159, 'Map &amp; Key'!$C$64, 'Map &amp; Key'!$C$65 ) ) ), "-" )</f>
        <v>▼</v>
      </c>
      <c r="M159" s="353" t="str">
        <f t="shared" ca="1" si="9"/>
        <v>124 (246)</v>
      </c>
      <c r="N159" s="353" t="str">
        <f t="shared" ca="1" si="10"/>
        <v>186 (228)</v>
      </c>
      <c r="O159" s="143">
        <f xml:space="preserve"> VLOOKUP( C159, CALCS│Outcomes!$C$231:$L$241, MATCH( Year, CALCS│Outcomes!$C$2:$L$2, 0), 0 )</f>
        <v>2.9135142966933976</v>
      </c>
      <c r="P159" s="266"/>
    </row>
    <row r="160" spans="2:16" s="84" customFormat="1" ht="15.95" customHeight="1" outlineLevel="1" x14ac:dyDescent="0.2">
      <c r="B160" s="266"/>
      <c r="C160" s="210" t="s">
        <v>88</v>
      </c>
      <c r="D160" s="98" t="str">
        <f>'CALCS│Performance Commitments'!L83</f>
        <v>-</v>
      </c>
      <c r="E160" s="98">
        <f ca="1">'CALCS│Performance Commitments'!T83</f>
        <v>1</v>
      </c>
      <c r="F160" s="99">
        <f>'CALCS│Performance Commitments'!V83</f>
        <v>725</v>
      </c>
      <c r="G160" s="99" t="str">
        <f ca="1">'CALCS│Performance Commitments'!W83</f>
        <v>-</v>
      </c>
      <c r="H160" s="99">
        <f>'CALCS│Performance Commitments'!X83</f>
        <v>868</v>
      </c>
      <c r="I160" s="99" t="str">
        <f ca="1">'CALCS│Performance Commitments'!Y83</f>
        <v>-</v>
      </c>
      <c r="J160" s="266"/>
      <c r="K160" s="350" t="str">
        <f>VLOOKUP( C160, 'Map &amp; Key'!$C$70:$D$90, 2, 0 )</f>
        <v>Severn Trent Water</v>
      </c>
      <c r="L160" s="144" t="str">
        <f xml:space="preserve"> _xlfn.IFNA( IF( OR( H160 = "-", D160 = "-" ), "-", IF( E160 = D160, 'Map &amp; Key'!$C$63, IF( E160 &gt; D160, 'Map &amp; Key'!$C$64, 'Map &amp; Key'!$C$65 ) ) ), "-" )</f>
        <v>-</v>
      </c>
      <c r="M160" s="353">
        <f t="shared" ca="1" si="9"/>
        <v>725</v>
      </c>
      <c r="N160" s="353">
        <f t="shared" ca="1" si="10"/>
        <v>868</v>
      </c>
      <c r="O160" s="143">
        <f xml:space="preserve"> VLOOKUP( C160, CALCS│Outcomes!$C$231:$L$241, MATCH( Year, CALCS│Outcomes!$C$2:$L$2, 0), 0 )</f>
        <v>1.7469942662443354</v>
      </c>
      <c r="P160" s="266"/>
    </row>
    <row r="161" spans="2:16" s="84" customFormat="1" ht="15.95" customHeight="1" outlineLevel="1" x14ac:dyDescent="0.2">
      <c r="B161" s="266"/>
      <c r="C161" s="210" t="s">
        <v>90</v>
      </c>
      <c r="D161" s="98">
        <f ca="1">'CALCS│Performance Commitments'!L84</f>
        <v>1</v>
      </c>
      <c r="E161" s="98">
        <f ca="1">'CALCS│Performance Commitments'!T84</f>
        <v>1</v>
      </c>
      <c r="F161" s="99">
        <f>'CALCS│Performance Commitments'!V84</f>
        <v>93</v>
      </c>
      <c r="G161" s="99" t="str">
        <f ca="1">'CALCS│Performance Commitments'!W84</f>
        <v>-</v>
      </c>
      <c r="H161" s="99">
        <f>'CALCS│Performance Commitments'!X84</f>
        <v>139</v>
      </c>
      <c r="I161" s="99" t="str">
        <f ca="1">'CALCS│Performance Commitments'!Y84</f>
        <v>-</v>
      </c>
      <c r="J161" s="266"/>
      <c r="K161" s="350" t="str">
        <f>VLOOKUP( C161, 'Map &amp; Key'!$C$70:$D$90, 2, 0 )</f>
        <v>South West Water</v>
      </c>
      <c r="L161" s="144" t="str">
        <f ca="1" xml:space="preserve"> _xlfn.IFNA( IF( OR( H161 = "-", D161 = "-" ), "-", IF( E161 = D161, 'Map &amp; Key'!$C$63, IF( E161 &gt; D161, 'Map &amp; Key'!$C$64, 'Map &amp; Key'!$C$65 ) ) ), "-" )</f>
        <v>◄►</v>
      </c>
      <c r="M161" s="353">
        <f t="shared" ca="1" si="9"/>
        <v>93</v>
      </c>
      <c r="N161" s="353">
        <f t="shared" ca="1" si="10"/>
        <v>139</v>
      </c>
      <c r="O161" s="143">
        <f xml:space="preserve"> VLOOKUP( C161, CALCS│Outcomes!$C$231:$L$241, MATCH( Year, CALCS│Outcomes!$C$2:$L$2, 0), 0 )</f>
        <v>1.2267715856836201</v>
      </c>
      <c r="P161" s="266"/>
    </row>
    <row r="162" spans="2:16" s="84" customFormat="1" ht="15.95" customHeight="1" outlineLevel="1" x14ac:dyDescent="0.2">
      <c r="B162" s="266"/>
      <c r="C162" s="210" t="s">
        <v>93</v>
      </c>
      <c r="D162" s="98">
        <f ca="1">'CALCS│Performance Commitments'!L85</f>
        <v>1</v>
      </c>
      <c r="E162" s="98">
        <f ca="1">'CALCS│Performance Commitments'!T85</f>
        <v>1</v>
      </c>
      <c r="F162" s="99">
        <f>'CALCS│Performance Commitments'!V85</f>
        <v>389</v>
      </c>
      <c r="G162" s="99" t="str">
        <f ca="1">'CALCS│Performance Commitments'!W85</f>
        <v>-</v>
      </c>
      <c r="H162" s="99">
        <f>'CALCS│Performance Commitments'!X85</f>
        <v>392</v>
      </c>
      <c r="I162" s="99" t="str">
        <f ca="1">'CALCS│Performance Commitments'!Y85</f>
        <v>-</v>
      </c>
      <c r="J162" s="266"/>
      <c r="K162" s="350" t="str">
        <f>VLOOKUP( C162, 'Map &amp; Key'!$C$70:$D$90, 2, 0 )</f>
        <v>Southern Water</v>
      </c>
      <c r="L162" s="144" t="str">
        <f ca="1" xml:space="preserve"> _xlfn.IFNA( IF( OR( H162 = "-", D162 = "-" ), "-", IF( E162 = D162, 'Map &amp; Key'!$C$63, IF( E162 &gt; D162, 'Map &amp; Key'!$C$64, 'Map &amp; Key'!$C$65 ) ) ), "-" )</f>
        <v>◄►</v>
      </c>
      <c r="M162" s="353">
        <f t="shared" ca="1" si="9"/>
        <v>389</v>
      </c>
      <c r="N162" s="353">
        <f t="shared" ca="1" si="10"/>
        <v>392</v>
      </c>
      <c r="O162" s="143">
        <f xml:space="preserve"> VLOOKUP( C162, CALCS│Outcomes!$C$231:$L$241, MATCH( Year, CALCS│Outcomes!$C$2:$L$2, 0), 0 )</f>
        <v>1.9580760317399595</v>
      </c>
      <c r="P162" s="266"/>
    </row>
    <row r="163" spans="2:16" s="84" customFormat="1" ht="15.95" customHeight="1" outlineLevel="1" x14ac:dyDescent="0.2">
      <c r="B163" s="266"/>
      <c r="C163" s="210" t="s">
        <v>95</v>
      </c>
      <c r="D163" s="98">
        <f ca="1">'CALCS│Performance Commitments'!L86</f>
        <v>1</v>
      </c>
      <c r="E163" s="98">
        <f ca="1">'CALCS│Performance Commitments'!T86</f>
        <v>1</v>
      </c>
      <c r="F163" s="99">
        <f>'CALCS│Performance Commitments'!V86</f>
        <v>1032</v>
      </c>
      <c r="G163" s="99" t="str">
        <f ca="1">'CALCS│Performance Commitments'!W86</f>
        <v>-</v>
      </c>
      <c r="H163" s="99">
        <f>'CALCS│Performance Commitments'!X86</f>
        <v>1085</v>
      </c>
      <c r="I163" s="99" t="str">
        <f ca="1">'CALCS│Performance Commitments'!Y86</f>
        <v>-</v>
      </c>
      <c r="J163" s="266"/>
      <c r="K163" s="350" t="str">
        <f>VLOOKUP( C163, 'Map &amp; Key'!$C$70:$D$90, 2, 0 )</f>
        <v>Thames Water</v>
      </c>
      <c r="L163" s="144" t="str">
        <f ca="1" xml:space="preserve"> _xlfn.IFNA( IF( OR( H163 = "-", D163 = "-" ), "-", IF( E163 = D163, 'Map &amp; Key'!$C$63, IF( E163 &gt; D163, 'Map &amp; Key'!$C$64, 'Map &amp; Key'!$C$65 ) ) ), "-" )</f>
        <v>◄►</v>
      </c>
      <c r="M163" s="353">
        <f t="shared" ca="1" si="9"/>
        <v>1032</v>
      </c>
      <c r="N163" s="353">
        <f t="shared" ca="1" si="10"/>
        <v>1085</v>
      </c>
      <c r="O163" s="143">
        <f xml:space="preserve"> VLOOKUP( C163, CALCS│Outcomes!$C$231:$L$241, MATCH( Year, CALCS│Outcomes!$C$2:$L$2, 0), 0 )</f>
        <v>1.7491706270183471</v>
      </c>
      <c r="P163" s="266"/>
    </row>
    <row r="164" spans="2:16" s="84" customFormat="1" ht="15.95" customHeight="1" outlineLevel="1" x14ac:dyDescent="0.2">
      <c r="B164" s="266"/>
      <c r="C164" s="210" t="s">
        <v>97</v>
      </c>
      <c r="D164" s="98">
        <f ca="1">'CALCS│Performance Commitments'!L87</f>
        <v>0</v>
      </c>
      <c r="E164" s="98">
        <f ca="1">'CALCS│Performance Commitments'!T87</f>
        <v>0.5</v>
      </c>
      <c r="F164" s="99">
        <f>'CALCS│Performance Commitments'!V87</f>
        <v>551</v>
      </c>
      <c r="G164" s="99">
        <f ca="1">'CALCS│Performance Commitments'!W87</f>
        <v>15</v>
      </c>
      <c r="H164" s="99">
        <f>'CALCS│Performance Commitments'!X87</f>
        <v>375</v>
      </c>
      <c r="I164" s="99">
        <f ca="1">'CALCS│Performance Commitments'!Y87</f>
        <v>55</v>
      </c>
      <c r="J164" s="266"/>
      <c r="K164" s="350" t="str">
        <f>VLOOKUP( C164, 'Map &amp; Key'!$C$70:$D$90, 2, 0 )</f>
        <v>United Utilities</v>
      </c>
      <c r="L164" s="144" t="str">
        <f ca="1" xml:space="preserve"> _xlfn.IFNA( IF( OR( H164 = "-", D164 = "-" ), "-", IF( E164 = D164, 'Map &amp; Key'!$C$63, IF( E164 &gt; D164, 'Map &amp; Key'!$C$64, 'Map &amp; Key'!$C$65 ) ) ), "-" )</f>
        <v>▲</v>
      </c>
      <c r="M164" s="353" t="str">
        <f t="shared" ca="1" si="9"/>
        <v>551 (15)</v>
      </c>
      <c r="N164" s="353" t="str">
        <f t="shared" ca="1" si="10"/>
        <v>375 (55)</v>
      </c>
      <c r="O164" s="143">
        <f xml:space="preserve"> VLOOKUP( C164, CALCS│Outcomes!$C$231:$L$241, MATCH( Year, CALCS│Outcomes!$C$2:$L$2, 0), 0 )</f>
        <v>1.6935799257517805</v>
      </c>
      <c r="P164" s="266"/>
    </row>
    <row r="165" spans="2:16" s="84" customFormat="1" ht="15.95" customHeight="1" outlineLevel="1" x14ac:dyDescent="0.2">
      <c r="B165" s="266"/>
      <c r="C165" s="210" t="s">
        <v>99</v>
      </c>
      <c r="D165" s="98">
        <f ca="1">'CALCS│Performance Commitments'!L88</f>
        <v>1</v>
      </c>
      <c r="E165" s="98">
        <f ca="1">'CALCS│Performance Commitments'!T88</f>
        <v>1</v>
      </c>
      <c r="F165" s="99">
        <f>'CALCS│Performance Commitments'!V88</f>
        <v>179</v>
      </c>
      <c r="G165" s="99" t="str">
        <f ca="1">'CALCS│Performance Commitments'!W88</f>
        <v>-</v>
      </c>
      <c r="H165" s="99">
        <f>'CALCS│Performance Commitments'!X88</f>
        <v>210</v>
      </c>
      <c r="I165" s="99" t="str">
        <f ca="1">'CALCS│Performance Commitments'!Y88</f>
        <v>-</v>
      </c>
      <c r="J165" s="266"/>
      <c r="K165" s="350" t="str">
        <f>VLOOKUP( C165, 'Map &amp; Key'!$C$70:$D$90, 2, 0 )</f>
        <v>Wessex Water</v>
      </c>
      <c r="L165" s="144" t="str">
        <f ca="1" xml:space="preserve"> _xlfn.IFNA( IF( OR( H165 = "-", D165 = "-" ), "-", IF( E165 = D165, 'Map &amp; Key'!$C$63, IF( E165 &gt; D165, 'Map &amp; Key'!$C$64, 'Map &amp; Key'!$C$65 ) ) ), "-" )</f>
        <v>◄►</v>
      </c>
      <c r="M165" s="353">
        <f t="shared" ca="1" si="9"/>
        <v>179</v>
      </c>
      <c r="N165" s="353">
        <f t="shared" ca="1" si="10"/>
        <v>210</v>
      </c>
      <c r="O165" s="143">
        <f xml:space="preserve"> VLOOKUP( C165, CALCS│Outcomes!$C$231:$L$241, MATCH( Year, CALCS│Outcomes!$C$2:$L$2, 0), 0 )</f>
        <v>1.4326337971918779</v>
      </c>
      <c r="P165" s="266"/>
    </row>
    <row r="166" spans="2:16" s="84" customFormat="1" ht="15.95" customHeight="1" outlineLevel="1" x14ac:dyDescent="0.2">
      <c r="B166" s="266"/>
      <c r="C166" s="210" t="s">
        <v>101</v>
      </c>
      <c r="D166" s="98">
        <f ca="1">'CALCS│Performance Commitments'!L89</f>
        <v>1</v>
      </c>
      <c r="E166" s="98">
        <f ca="1">'CALCS│Performance Commitments'!T89</f>
        <v>1</v>
      </c>
      <c r="F166" s="99">
        <f>'CALCS│Performance Commitments'!V89</f>
        <v>1692</v>
      </c>
      <c r="G166" s="99" t="str">
        <f ca="1">'CALCS│Performance Commitments'!W89</f>
        <v>-</v>
      </c>
      <c r="H166" s="99">
        <f>'CALCS│Performance Commitments'!X89</f>
        <v>1919</v>
      </c>
      <c r="I166" s="99" t="str">
        <f ca="1">'CALCS│Performance Commitments'!Y89</f>
        <v>-</v>
      </c>
      <c r="J166" s="266"/>
      <c r="K166" s="350" t="str">
        <f>VLOOKUP( C166, 'Map &amp; Key'!$C$70:$D$90, 2, 0 )</f>
        <v>Yorkshire Water</v>
      </c>
      <c r="L166" s="144" t="str">
        <f ca="1" xml:space="preserve"> _xlfn.IFNA( IF( OR( H166 = "-", D166 = "-" ), "-", IF( E166 = D166, 'Map &amp; Key'!$C$63, IF( E166 &gt; D166, 'Map &amp; Key'!$C$64, 'Map &amp; Key'!$C$65 ) ) ), "-" )</f>
        <v>◄►</v>
      </c>
      <c r="M166" s="353">
        <f t="shared" ca="1" si="9"/>
        <v>1692</v>
      </c>
      <c r="N166" s="353">
        <f t="shared" ca="1" si="10"/>
        <v>1919</v>
      </c>
      <c r="O166" s="143">
        <f xml:space="preserve"> VLOOKUP( C166, CALCS│Outcomes!$C$231:$L$241, MATCH( Year, CALCS│Outcomes!$C$2:$L$2, 0), 0 )</f>
        <v>7.3592030487629847</v>
      </c>
      <c r="P166" s="266"/>
    </row>
    <row r="167" spans="2:16" outlineLevel="1" x14ac:dyDescent="0.2"/>
    <row r="168" spans="2:16" outlineLevel="1" x14ac:dyDescent="0.2">
      <c r="N168" s="8" t="s">
        <v>531</v>
      </c>
      <c r="O168" s="87">
        <f>_xlfn.PERCENTILE.INC(O156:O166, 0.25)</f>
        <v>1.4741254123859964</v>
      </c>
    </row>
    <row r="169" spans="2:16" outlineLevel="1" x14ac:dyDescent="0.2">
      <c r="N169" s="8" t="s">
        <v>532</v>
      </c>
      <c r="O169" s="87">
        <f>_xlfn.PERCENTILE.INC(O156:O166, 0.75)</f>
        <v>1.928209863432981</v>
      </c>
    </row>
    <row r="171" spans="2:16" ht="13.5" x14ac:dyDescent="0.25">
      <c r="B171" s="9" t="s">
        <v>164</v>
      </c>
      <c r="C171" s="9"/>
      <c r="D171" s="9"/>
      <c r="E171" s="10"/>
      <c r="F171" s="9"/>
      <c r="G171" s="9"/>
      <c r="H171" s="9"/>
      <c r="I171" s="9"/>
      <c r="J171" s="9"/>
      <c r="K171" s="9" t="s">
        <v>581</v>
      </c>
      <c r="L171" s="9"/>
      <c r="M171" s="9"/>
      <c r="N171" s="9"/>
      <c r="O171" s="9"/>
      <c r="P171" s="9"/>
    </row>
    <row r="172" spans="2:16" outlineLevel="1" x14ac:dyDescent="0.2"/>
    <row r="173" spans="2:16" ht="40.5" outlineLevel="1" x14ac:dyDescent="0.25">
      <c r="L173" s="347" t="s">
        <v>569</v>
      </c>
      <c r="M173" s="347"/>
      <c r="N173" s="347"/>
      <c r="O173" s="296" t="str">
        <f xml:space="preserve"> "Relative performance (" &amp; Year &amp; ")"</f>
        <v>Relative performance (2018-19)</v>
      </c>
    </row>
    <row r="174" spans="2:16" ht="54" outlineLevel="1" x14ac:dyDescent="0.2">
      <c r="C174" s="354" t="s">
        <v>344</v>
      </c>
      <c r="D174" s="354" t="str">
        <f xml:space="preserve"> "PCs met " &amp; Last_year</f>
        <v>PCs met 2017-18</v>
      </c>
      <c r="E174" s="354" t="str">
        <f xml:space="preserve"> "PCs met " &amp; Year</f>
        <v>PCs met 2018-19</v>
      </c>
      <c r="F174" s="354" t="str">
        <f xml:space="preserve"> Year &amp; " actual PC1"</f>
        <v>2018-19 actual PC1</v>
      </c>
      <c r="G174" s="354" t="str">
        <f xml:space="preserve"> Year &amp; " actual PC2"</f>
        <v>2018-19 actual PC2</v>
      </c>
      <c r="H174" s="354" t="str">
        <f xml:space="preserve"> Year &amp; " target PC1"</f>
        <v>2018-19 target PC1</v>
      </c>
      <c r="I174" s="354" t="str">
        <f xml:space="preserve"> Year &amp; " target PC2"</f>
        <v>2018-19 target PC2</v>
      </c>
      <c r="K174" s="291"/>
      <c r="L174" s="374" t="s">
        <v>535</v>
      </c>
      <c r="M174" s="374" t="s">
        <v>544</v>
      </c>
      <c r="N174" s="374" t="s">
        <v>545</v>
      </c>
      <c r="O174" s="374" t="s">
        <v>547</v>
      </c>
    </row>
    <row r="175" spans="2:16" s="84" customFormat="1" ht="15.95" customHeight="1" outlineLevel="1" x14ac:dyDescent="0.2">
      <c r="B175" s="266"/>
      <c r="C175" s="210" t="s">
        <v>79</v>
      </c>
      <c r="D175" s="98">
        <f ca="1">'CALCS│Performance Commitments'!L93</f>
        <v>1</v>
      </c>
      <c r="E175" s="98">
        <f ca="1">'CALCS│Performance Commitments'!T93</f>
        <v>1</v>
      </c>
      <c r="F175" s="99">
        <f>'CALCS│Performance Commitments'!V93</f>
        <v>185</v>
      </c>
      <c r="G175" s="99" t="str">
        <f ca="1">'CALCS│Performance Commitments'!W93</f>
        <v>-</v>
      </c>
      <c r="H175" s="99">
        <f>'CALCS│Performance Commitments'!X93</f>
        <v>298</v>
      </c>
      <c r="I175" s="99" t="str">
        <f ca="1">'CALCS│Performance Commitments'!Y93</f>
        <v>-</v>
      </c>
      <c r="J175" s="266"/>
      <c r="K175" s="350" t="str">
        <f>VLOOKUP( C175, 'Map &amp; Key'!$C$70:$D$90, 2, 0 )</f>
        <v>Anglian Water</v>
      </c>
      <c r="L175" s="142" t="str">
        <f ca="1" xml:space="preserve"> _xlfn.IFNA( IF( OR( H175 = "-", D175 = "-" ), "-", IF( E175 = D175, 'Map &amp; Key'!$C$63, IF( E175 &gt; D175, 'Map &amp; Key'!$C$64, 'Map &amp; Key'!$C$65 ) ) ), "-" )</f>
        <v>◄►</v>
      </c>
      <c r="M175" s="353">
        <f t="shared" ref="M175:M184" ca="1" si="11" xml:space="preserve"> IF( OR( G175 = "-", I175 = "-" ), F175, TEXT( F175, "0" ) &amp; " (" &amp; TEXT( G175, "0" ) &amp; ")" )</f>
        <v>185</v>
      </c>
      <c r="N175" s="353">
        <f t="shared" ref="N175:N184" ca="1" si="12" xml:space="preserve"> IF( OR( G175 = "-", I175 = "-" ), H175, TEXT( H175, "0" ) &amp; " (" &amp; TEXT( I175, "0" ) &amp; ")" )</f>
        <v>298</v>
      </c>
      <c r="O175" s="145">
        <f xml:space="preserve"> _xlfn.IFNA( VLOOKUP( C175, CALCS│Outcomes!$C$250:$L$260, MATCH( Year, CALCS│Outcomes!$C$2:$L$2, 0), 0 ), "-" )</f>
        <v>25</v>
      </c>
      <c r="P175" s="266"/>
    </row>
    <row r="176" spans="2:16" s="84" customFormat="1" ht="15.95" customHeight="1" outlineLevel="1" x14ac:dyDescent="0.2">
      <c r="B176" s="266"/>
      <c r="C176" s="210" t="s">
        <v>81</v>
      </c>
      <c r="D176" s="98">
        <f ca="1">'CALCS│Performance Commitments'!L94</f>
        <v>1</v>
      </c>
      <c r="E176" s="98">
        <f ca="1">'CALCS│Performance Commitments'!T94</f>
        <v>1</v>
      </c>
      <c r="F176" s="99">
        <f>'CALCS│Performance Commitments'!V94</f>
        <v>118</v>
      </c>
      <c r="G176" s="99" t="str">
        <f ca="1">'CALCS│Performance Commitments'!W94</f>
        <v>-</v>
      </c>
      <c r="H176" s="99">
        <f>'CALCS│Performance Commitments'!X94</f>
        <v>131</v>
      </c>
      <c r="I176" s="99" t="str">
        <f ca="1">'CALCS│Performance Commitments'!Y94</f>
        <v>-</v>
      </c>
      <c r="J176" s="266"/>
      <c r="K176" s="350" t="str">
        <f>VLOOKUP( C176, 'Map &amp; Key'!$C$70:$D$90, 2, 0 )</f>
        <v>Dŵr Cymru</v>
      </c>
      <c r="L176" s="144" t="str">
        <f ca="1" xml:space="preserve"> _xlfn.IFNA( IF( OR( H176 = "-", D176 = "-" ), "-", IF( E176 = D176, 'Map &amp; Key'!$C$63, IF( E176 &gt; D176, 'Map &amp; Key'!$C$64, 'Map &amp; Key'!$C$65 ) ) ), "-" )</f>
        <v>◄►</v>
      </c>
      <c r="M176" s="353">
        <f t="shared" ca="1" si="11"/>
        <v>118</v>
      </c>
      <c r="N176" s="353">
        <f t="shared" ca="1" si="12"/>
        <v>131</v>
      </c>
      <c r="O176" s="145">
        <f xml:space="preserve"> _xlfn.IFNA( VLOOKUP( C176, CALCS│Outcomes!$C$250:$L$260, MATCH( Year, CALCS│Outcomes!$C$2:$L$2, 0), 0 ), "-" )</f>
        <v>28</v>
      </c>
      <c r="P176" s="266"/>
    </row>
    <row r="177" spans="2:16" s="84" customFormat="1" ht="15.95" customHeight="1" outlineLevel="1" x14ac:dyDescent="0.2">
      <c r="B177" s="266"/>
      <c r="C177" s="210" t="s">
        <v>86</v>
      </c>
      <c r="D177" s="98">
        <f ca="1">'CALCS│Performance Commitments'!L96</f>
        <v>1</v>
      </c>
      <c r="E177" s="98">
        <f ca="1">'CALCS│Performance Commitments'!T96</f>
        <v>1</v>
      </c>
      <c r="F177" s="99">
        <f>'CALCS│Performance Commitments'!V96</f>
        <v>73</v>
      </c>
      <c r="G177" s="99" t="str">
        <f ca="1">'CALCS│Performance Commitments'!W96</f>
        <v>-</v>
      </c>
      <c r="H177" s="99">
        <f>'CALCS│Performance Commitments'!X96</f>
        <v>115</v>
      </c>
      <c r="I177" s="99" t="str">
        <f ca="1">'CALCS│Performance Commitments'!Y96</f>
        <v>-</v>
      </c>
      <c r="J177" s="266"/>
      <c r="K177" s="350" t="str">
        <f>VLOOKUP( C177, 'Map &amp; Key'!$C$70:$D$90, 2, 0 )</f>
        <v>Northumbrian Water</v>
      </c>
      <c r="L177" s="144" t="str">
        <f ca="1" xml:space="preserve"> _xlfn.IFNA( IF( OR( H177 = "-", D177 = "-" ), "-", IF( E177 = D177, 'Map &amp; Key'!$C$63, IF( E177 &gt; D177, 'Map &amp; Key'!$C$64, 'Map &amp; Key'!$C$65 ) ) ), "-" )</f>
        <v>◄►</v>
      </c>
      <c r="M177" s="353">
        <f t="shared" ca="1" si="11"/>
        <v>73</v>
      </c>
      <c r="N177" s="353">
        <f t="shared" ca="1" si="12"/>
        <v>115</v>
      </c>
      <c r="O177" s="145">
        <f xml:space="preserve"> _xlfn.IFNA( VLOOKUP( C177, CALCS│Outcomes!$C$250:$L$260, MATCH( Year, CALCS│Outcomes!$C$2:$L$2, 0), 0 ), "-" )</f>
        <v>12</v>
      </c>
      <c r="P177" s="266"/>
    </row>
    <row r="178" spans="2:16" s="84" customFormat="1" ht="15.95" customHeight="1" outlineLevel="1" x14ac:dyDescent="0.2">
      <c r="B178" s="266"/>
      <c r="C178" s="210" t="s">
        <v>88</v>
      </c>
      <c r="D178" s="132" t="str">
        <f>'CALCS│Performance Commitments'!L97</f>
        <v>-</v>
      </c>
      <c r="E178" s="98">
        <f ca="1">'CALCS│Performance Commitments'!T97</f>
        <v>0.5</v>
      </c>
      <c r="F178" s="99">
        <f>'CALCS│Performance Commitments'!V97</f>
        <v>328</v>
      </c>
      <c r="G178" s="99">
        <f ca="1">'CALCS│Performance Commitments'!W97</f>
        <v>7</v>
      </c>
      <c r="H178" s="99">
        <f>'CALCS│Performance Commitments'!X97</f>
        <v>369</v>
      </c>
      <c r="I178" s="99">
        <f ca="1">'CALCS│Performance Commitments'!Y97</f>
        <v>2</v>
      </c>
      <c r="J178" s="266"/>
      <c r="K178" s="350" t="str">
        <f>VLOOKUP( C178, 'Map &amp; Key'!$C$70:$D$90, 2, 0 )</f>
        <v>Severn Trent Water</v>
      </c>
      <c r="L178" s="144" t="str">
        <f xml:space="preserve"> _xlfn.IFNA( IF( OR( H178 = "-", D178 = "-" ), "-", IF( E178 = D178, 'Map &amp; Key'!$C$63, IF( E178 &gt; D178, 'Map &amp; Key'!$C$64, 'Map &amp; Key'!$C$65 ) ) ), "-" )</f>
        <v>-</v>
      </c>
      <c r="M178" s="353" t="str">
        <f t="shared" ca="1" si="11"/>
        <v>328 (7)</v>
      </c>
      <c r="N178" s="353" t="str">
        <f t="shared" ca="1" si="12"/>
        <v>369 (2)</v>
      </c>
      <c r="O178" s="145">
        <f xml:space="preserve"> _xlfn.IFNA( VLOOKUP( C178, CALCS│Outcomes!$C$250:$L$260, MATCH( Year, CALCS│Outcomes!$C$2:$L$2, 0), 0 ), "-" )</f>
        <v>31</v>
      </c>
      <c r="P178" s="266"/>
    </row>
    <row r="179" spans="2:16" s="84" customFormat="1" ht="15.95" customHeight="1" outlineLevel="1" x14ac:dyDescent="0.2">
      <c r="B179" s="266"/>
      <c r="C179" s="210" t="s">
        <v>90</v>
      </c>
      <c r="D179" s="98">
        <f ca="1">'CALCS│Performance Commitments'!L98</f>
        <v>0</v>
      </c>
      <c r="E179" s="98">
        <f ca="1">'CALCS│Performance Commitments'!T98</f>
        <v>0</v>
      </c>
      <c r="F179" s="99">
        <f>'CALCS│Performance Commitments'!V98</f>
        <v>248</v>
      </c>
      <c r="G179" s="99">
        <f ca="1">'CALCS│Performance Commitments'!W98</f>
        <v>2</v>
      </c>
      <c r="H179" s="99">
        <f>'CALCS│Performance Commitments'!X98</f>
        <v>208</v>
      </c>
      <c r="I179" s="99">
        <f ca="1">'CALCS│Performance Commitments'!Y98</f>
        <v>0</v>
      </c>
      <c r="J179" s="266"/>
      <c r="K179" s="350" t="str">
        <f>VLOOKUP( C179, 'Map &amp; Key'!$C$70:$D$90, 2, 0 )</f>
        <v>South West Water</v>
      </c>
      <c r="L179" s="144" t="str">
        <f ca="1" xml:space="preserve"> _xlfn.IFNA( IF( OR( H179 = "-", D179 = "-" ), "-", IF( E179 = D179, 'Map &amp; Key'!$C$63, IF( E179 &gt; D179, 'Map &amp; Key'!$C$64, 'Map &amp; Key'!$C$65 ) ) ), "-" )</f>
        <v>◄►</v>
      </c>
      <c r="M179" s="353" t="str">
        <f t="shared" ca="1" si="11"/>
        <v>248 (2)</v>
      </c>
      <c r="N179" s="353" t="str">
        <f t="shared" ca="1" si="12"/>
        <v>208 (0)</v>
      </c>
      <c r="O179" s="145">
        <f xml:space="preserve"> _xlfn.IFNA( VLOOKUP( C179, CALCS│Outcomes!$C$250:$L$260, MATCH( Year, CALCS│Outcomes!$C$2:$L$2, 0), 0 ), "-" )</f>
        <v>98</v>
      </c>
      <c r="P179" s="266"/>
    </row>
    <row r="180" spans="2:16" s="84" customFormat="1" ht="15.95" customHeight="1" outlineLevel="1" x14ac:dyDescent="0.2">
      <c r="B180" s="266"/>
      <c r="C180" s="210" t="s">
        <v>93</v>
      </c>
      <c r="D180" s="98">
        <f ca="1">'CALCS│Performance Commitments'!L99</f>
        <v>1</v>
      </c>
      <c r="E180" s="98">
        <f ca="1">'CALCS│Performance Commitments'!T99</f>
        <v>0.5</v>
      </c>
      <c r="F180" s="99">
        <f>'CALCS│Performance Commitments'!V99</f>
        <v>144</v>
      </c>
      <c r="G180" s="99">
        <f ca="1">'CALCS│Performance Commitments'!W99</f>
        <v>7</v>
      </c>
      <c r="H180" s="99">
        <f>'CALCS│Performance Commitments'!X99</f>
        <v>158</v>
      </c>
      <c r="I180" s="99">
        <f ca="1">'CALCS│Performance Commitments'!Y99</f>
        <v>2</v>
      </c>
      <c r="J180" s="266"/>
      <c r="K180" s="350" t="str">
        <f>VLOOKUP( C180, 'Map &amp; Key'!$C$70:$D$90, 2, 0 )</f>
        <v>Southern Water</v>
      </c>
      <c r="L180" s="144" t="str">
        <f ca="1" xml:space="preserve"> _xlfn.IFNA( IF( OR( H180 = "-", D180 = "-" ), "-", IF( E180 = D180, 'Map &amp; Key'!$C$63, IF( E180 &gt; D180, 'Map &amp; Key'!$C$64, 'Map &amp; Key'!$C$65 ) ) ), "-" )</f>
        <v>▼</v>
      </c>
      <c r="M180" s="353" t="str">
        <f t="shared" ca="1" si="11"/>
        <v>144 (7)</v>
      </c>
      <c r="N180" s="353" t="str">
        <f t="shared" ca="1" si="12"/>
        <v>158 (2)</v>
      </c>
      <c r="O180" s="145">
        <f xml:space="preserve"> _xlfn.IFNA( VLOOKUP( C180, CALCS│Outcomes!$C$250:$L$260, MATCH( Year, CALCS│Outcomes!$C$2:$L$2, 0), 0 ), "-" )</f>
        <v>39</v>
      </c>
      <c r="P180" s="266"/>
    </row>
    <row r="181" spans="2:16" s="84" customFormat="1" ht="15.95" customHeight="1" outlineLevel="1" x14ac:dyDescent="0.2">
      <c r="B181" s="266"/>
      <c r="C181" s="210" t="s">
        <v>95</v>
      </c>
      <c r="D181" s="98">
        <f ca="1">'CALCS│Performance Commitments'!L100</f>
        <v>1</v>
      </c>
      <c r="E181" s="98">
        <f ca="1">'CALCS│Performance Commitments'!T100</f>
        <v>1</v>
      </c>
      <c r="F181" s="99">
        <f>'CALCS│Performance Commitments'!V100</f>
        <v>295</v>
      </c>
      <c r="G181" s="99" t="str">
        <f ca="1">'CALCS│Performance Commitments'!W100</f>
        <v>-</v>
      </c>
      <c r="H181" s="99">
        <f>'CALCS│Performance Commitments'!X100</f>
        <v>340</v>
      </c>
      <c r="I181" s="99" t="str">
        <f ca="1">'CALCS│Performance Commitments'!Y100</f>
        <v>-</v>
      </c>
      <c r="J181" s="266"/>
      <c r="K181" s="350" t="str">
        <f>VLOOKUP( C181, 'Map &amp; Key'!$C$70:$D$90, 2, 0 )</f>
        <v>Thames Water</v>
      </c>
      <c r="L181" s="144" t="str">
        <f ca="1" xml:space="preserve"> _xlfn.IFNA( IF( OR( H181 = "-", D181 = "-" ), "-", IF( E181 = D181, 'Map &amp; Key'!$C$63, IF( E181 &gt; D181, 'Map &amp; Key'!$C$64, 'Map &amp; Key'!$C$65 ) ) ), "-" )</f>
        <v>◄►</v>
      </c>
      <c r="M181" s="353">
        <f t="shared" ca="1" si="11"/>
        <v>295</v>
      </c>
      <c r="N181" s="353">
        <f t="shared" ca="1" si="12"/>
        <v>340</v>
      </c>
      <c r="O181" s="145">
        <f xml:space="preserve"> _xlfn.IFNA( VLOOKUP( C181, CALCS│Outcomes!$C$250:$L$260, MATCH( Year, CALCS│Outcomes!$C$2:$L$2, 0), 0 ), "-" )</f>
        <v>27</v>
      </c>
      <c r="P181" s="266"/>
    </row>
    <row r="182" spans="2:16" s="84" customFormat="1" ht="15.95" customHeight="1" outlineLevel="1" x14ac:dyDescent="0.2">
      <c r="B182" s="266"/>
      <c r="C182" s="210" t="s">
        <v>97</v>
      </c>
      <c r="D182" s="98">
        <f ca="1">'CALCS│Performance Commitments'!L101</f>
        <v>1</v>
      </c>
      <c r="E182" s="98">
        <f ca="1">'CALCS│Performance Commitments'!T101</f>
        <v>1</v>
      </c>
      <c r="F182" s="99">
        <f>'CALCS│Performance Commitments'!V101</f>
        <v>143</v>
      </c>
      <c r="G182" s="99">
        <f ca="1">'CALCS│Performance Commitments'!W101</f>
        <v>1</v>
      </c>
      <c r="H182" s="99">
        <f>'CALCS│Performance Commitments'!X101</f>
        <v>195</v>
      </c>
      <c r="I182" s="99">
        <f ca="1">'CALCS│Performance Commitments'!Y101</f>
        <v>3</v>
      </c>
      <c r="J182" s="266"/>
      <c r="K182" s="350" t="str">
        <f>VLOOKUP( C182, 'Map &amp; Key'!$C$70:$D$90, 2, 0 )</f>
        <v>United Utilities</v>
      </c>
      <c r="L182" s="144" t="str">
        <f ca="1" xml:space="preserve"> _xlfn.IFNA( IF( OR( H182 = "-", D182 = "-" ), "-", IF( E182 = D182, 'Map &amp; Key'!$C$63, IF( E182 &gt; D182, 'Map &amp; Key'!$C$64, 'Map &amp; Key'!$C$65 ) ) ), "-" )</f>
        <v>◄►</v>
      </c>
      <c r="M182" s="353" t="str">
        <f t="shared" ca="1" si="11"/>
        <v>143 (1)</v>
      </c>
      <c r="N182" s="353" t="str">
        <f t="shared" ca="1" si="12"/>
        <v>195 (3)</v>
      </c>
      <c r="O182" s="145">
        <f xml:space="preserve"> _xlfn.IFNA( VLOOKUP( C182, CALCS│Outcomes!$C$250:$L$260, MATCH( Year, CALCS│Outcomes!$C$2:$L$2, 0), 0 ), "-" )</f>
        <v>24</v>
      </c>
      <c r="P182" s="266"/>
    </row>
    <row r="183" spans="2:16" s="84" customFormat="1" ht="15.95" customHeight="1" outlineLevel="1" x14ac:dyDescent="0.2">
      <c r="B183" s="266"/>
      <c r="C183" s="210" t="s">
        <v>99</v>
      </c>
      <c r="D183" s="98" t="str">
        <f>'CALCS│Performance Commitments'!L102</f>
        <v>-</v>
      </c>
      <c r="E183" s="98" t="str">
        <f>'CALCS│Performance Commitments'!T102</f>
        <v>-</v>
      </c>
      <c r="F183" s="99" t="str">
        <f>'CALCS│Performance Commitments'!V102</f>
        <v>-</v>
      </c>
      <c r="G183" s="99" t="str">
        <f ca="1">'CALCS│Performance Commitments'!W102</f>
        <v>-</v>
      </c>
      <c r="H183" s="99" t="str">
        <f>'CALCS│Performance Commitments'!X102</f>
        <v>-</v>
      </c>
      <c r="I183" s="99" t="str">
        <f ca="1">'CALCS│Performance Commitments'!Y102</f>
        <v>-</v>
      </c>
      <c r="J183" s="266"/>
      <c r="K183" s="350" t="str">
        <f>VLOOKUP( C183, 'Map &amp; Key'!$C$70:$D$90, 2, 0 )</f>
        <v>Wessex Water</v>
      </c>
      <c r="L183" s="144" t="str">
        <f xml:space="preserve"> _xlfn.IFNA( IF( OR( H183 = "-", D183 = "-" ), "-", IF( E183 = D183, 'Map &amp; Key'!$C$63, IF( E183 &gt; D183, 'Map &amp; Key'!$C$64, 'Map &amp; Key'!$C$65 ) ) ), "-" )</f>
        <v>-</v>
      </c>
      <c r="M183" s="353" t="str">
        <f t="shared" ca="1" si="11"/>
        <v>-</v>
      </c>
      <c r="N183" s="353" t="str">
        <f t="shared" ca="1" si="12"/>
        <v>-</v>
      </c>
      <c r="O183" s="145">
        <f xml:space="preserve"> _xlfn.IFNA( VLOOKUP( C183, CALCS│Outcomes!$C$250:$L$260, MATCH( Year, CALCS│Outcomes!$C$2:$L$2, 0), 0 ), "-" )</f>
        <v>24</v>
      </c>
      <c r="P183" s="266"/>
    </row>
    <row r="184" spans="2:16" s="84" customFormat="1" ht="15.95" customHeight="1" outlineLevel="1" x14ac:dyDescent="0.2">
      <c r="B184" s="266"/>
      <c r="C184" s="210" t="s">
        <v>101</v>
      </c>
      <c r="D184" s="98">
        <f ca="1">'CALCS│Performance Commitments'!L103</f>
        <v>1</v>
      </c>
      <c r="E184" s="98">
        <f ca="1">'CALCS│Performance Commitments'!T103</f>
        <v>0.5</v>
      </c>
      <c r="F184" s="99">
        <f>'CALCS│Performance Commitments'!V103</f>
        <v>188</v>
      </c>
      <c r="G184" s="99">
        <f ca="1">'CALCS│Performance Commitments'!W103</f>
        <v>11</v>
      </c>
      <c r="H184" s="99">
        <f>'CALCS│Performance Commitments'!X103</f>
        <v>211</v>
      </c>
      <c r="I184" s="99">
        <f ca="1">'CALCS│Performance Commitments'!Y103</f>
        <v>2</v>
      </c>
      <c r="J184" s="266"/>
      <c r="K184" s="350" t="str">
        <f>VLOOKUP( C184, 'Map &amp; Key'!$C$70:$D$90, 2, 0 )</f>
        <v>Yorkshire Water</v>
      </c>
      <c r="L184" s="144" t="str">
        <f ca="1" xml:space="preserve"> _xlfn.IFNA( IF( OR( H184 = "-", D184 = "-" ), "-", IF( E184 = D184, 'Map &amp; Key'!$C$63, IF( E184 &gt; D184, 'Map &amp; Key'!$C$64, 'Map &amp; Key'!$C$65 ) ) ), "-" )</f>
        <v>▼</v>
      </c>
      <c r="M184" s="353" t="str">
        <f t="shared" ca="1" si="11"/>
        <v>188 (11)</v>
      </c>
      <c r="N184" s="353" t="str">
        <f t="shared" ca="1" si="12"/>
        <v>211 (2)</v>
      </c>
      <c r="O184" s="145">
        <f xml:space="preserve"> _xlfn.IFNA( VLOOKUP( C184, CALCS│Outcomes!$C$250:$L$260, MATCH( Year, CALCS│Outcomes!$C$2:$L$2, 0), 0 ), "-" )</f>
        <v>44</v>
      </c>
      <c r="P184" s="266"/>
    </row>
    <row r="185" spans="2:16" outlineLevel="1" x14ac:dyDescent="0.2"/>
    <row r="186" spans="2:16" outlineLevel="1" x14ac:dyDescent="0.2">
      <c r="N186" s="8" t="s">
        <v>531</v>
      </c>
      <c r="O186" s="87">
        <f>_xlfn.PERCENTILE.INC(O175:O184, 0.25)</f>
        <v>24.25</v>
      </c>
    </row>
    <row r="187" spans="2:16" outlineLevel="1" x14ac:dyDescent="0.2">
      <c r="N187" s="8" t="s">
        <v>532</v>
      </c>
      <c r="O187" s="87">
        <f>_xlfn.PERCENTILE.INC(O175:O184, 0.75)</f>
        <v>37</v>
      </c>
    </row>
    <row r="189" spans="2:16" x14ac:dyDescent="0.2">
      <c r="B189" s="20" t="s">
        <v>26</v>
      </c>
      <c r="C189" s="20"/>
      <c r="D189" s="20"/>
      <c r="E189" s="20"/>
      <c r="F189" s="20"/>
      <c r="G189" s="20"/>
      <c r="H189" s="20"/>
      <c r="I189" s="20"/>
      <c r="J189" s="20"/>
      <c r="K189" s="20"/>
      <c r="L189" s="20"/>
      <c r="M189" s="20"/>
      <c r="N189" s="20"/>
      <c r="O189" s="20"/>
      <c r="P189" s="20"/>
    </row>
  </sheetData>
  <mergeCells count="8">
    <mergeCell ref="L154:N154"/>
    <mergeCell ref="L173:N173"/>
    <mergeCell ref="L4:M4"/>
    <mergeCell ref="L29:M29"/>
    <mergeCell ref="L54:M54"/>
    <mergeCell ref="L79:N79"/>
    <mergeCell ref="L104:N104"/>
    <mergeCell ref="L129:N129"/>
  </mergeCells>
  <conditionalFormatting sqref="L156:L166 L81:L92 L106:L122 L131:L147 L175:L184 L95:L97">
    <cfRule type="expression" dxfId="0" priority="46">
      <formula>$E81=0.5</formula>
    </cfRule>
    <cfRule type="expression" dxfId="35" priority="47">
      <formula>$E81=0</formula>
    </cfRule>
    <cfRule type="expression" dxfId="34" priority="48">
      <formula xml:space="preserve"> $E81 = 1</formula>
    </cfRule>
  </conditionalFormatting>
  <conditionalFormatting sqref="O81:O97">
    <cfRule type="cellIs" dxfId="33" priority="43" operator="lessThanOrEqual">
      <formula>$O$99</formula>
    </cfRule>
    <cfRule type="cellIs" dxfId="32" priority="44" operator="greaterThanOrEqual">
      <formula>$O$100</formula>
    </cfRule>
    <cfRule type="cellIs" dxfId="31" priority="45" operator="between">
      <formula>$O$99</formula>
      <formula>$O$100</formula>
    </cfRule>
  </conditionalFormatting>
  <conditionalFormatting sqref="O106:O122">
    <cfRule type="cellIs" dxfId="30" priority="37" operator="lessThanOrEqual">
      <formula>$O$124</formula>
    </cfRule>
    <cfRule type="cellIs" dxfId="29" priority="38" operator="greaterThanOrEqual">
      <formula>$O$125</formula>
    </cfRule>
    <cfRule type="cellIs" dxfId="28" priority="39" operator="between">
      <formula>$O$124</formula>
      <formula>$O$125</formula>
    </cfRule>
  </conditionalFormatting>
  <conditionalFormatting sqref="O131:O147">
    <cfRule type="cellIs" dxfId="27" priority="31" operator="lessThanOrEqual">
      <formula>$O$149</formula>
    </cfRule>
    <cfRule type="cellIs" dxfId="26" priority="32" operator="greaterThanOrEqual">
      <formula>$O$150</formula>
    </cfRule>
    <cfRule type="cellIs" dxfId="25" priority="33" operator="between">
      <formula>$O$149</formula>
      <formula>$O$150</formula>
    </cfRule>
  </conditionalFormatting>
  <conditionalFormatting sqref="O156:O166">
    <cfRule type="cellIs" dxfId="24" priority="25" operator="lessThanOrEqual">
      <formula>$O$168</formula>
    </cfRule>
    <cfRule type="cellIs" dxfId="23" priority="26" operator="greaterThanOrEqual">
      <formula>$O$169</formula>
    </cfRule>
    <cfRule type="cellIs" dxfId="22" priority="27" operator="between">
      <formula>$O$168</formula>
      <formula>$O$169</formula>
    </cfRule>
  </conditionalFormatting>
  <conditionalFormatting sqref="M31:M47">
    <cfRule type="cellIs" dxfId="21" priority="15" operator="greaterThanOrEqual">
      <formula>$M$49</formula>
    </cfRule>
    <cfRule type="cellIs" dxfId="20" priority="16" operator="lessThanOrEqual">
      <formula>$M$50</formula>
    </cfRule>
    <cfRule type="cellIs" dxfId="19" priority="17" operator="between">
      <formula>$M$50</formula>
      <formula>$M$49</formula>
    </cfRule>
  </conditionalFormatting>
  <conditionalFormatting sqref="M175:N184">
    <cfRule type="cellIs" dxfId="18" priority="14" operator="equal">
      <formula>"-"</formula>
    </cfRule>
  </conditionalFormatting>
  <conditionalFormatting sqref="M81:N97">
    <cfRule type="cellIs" dxfId="17" priority="10" operator="equal">
      <formula>"-"</formula>
    </cfRule>
  </conditionalFormatting>
  <conditionalFormatting sqref="M156:N166">
    <cfRule type="cellIs" dxfId="16" priority="13" operator="equal">
      <formula>"-"</formula>
    </cfRule>
  </conditionalFormatting>
  <conditionalFormatting sqref="M131:N147">
    <cfRule type="cellIs" dxfId="15" priority="12" operator="equal">
      <formula>"-"</formula>
    </cfRule>
  </conditionalFormatting>
  <conditionalFormatting sqref="M106:N122">
    <cfRule type="cellIs" dxfId="14" priority="11" operator="equal">
      <formula>"-"</formula>
    </cfRule>
  </conditionalFormatting>
  <conditionalFormatting sqref="M56:M72">
    <cfRule type="cellIs" dxfId="13" priority="7" operator="greaterThanOrEqual">
      <formula>$M$74</formula>
    </cfRule>
    <cfRule type="cellIs" dxfId="12" priority="8" operator="lessThanOrEqual">
      <formula>$M$75</formula>
    </cfRule>
    <cfRule type="cellIs" dxfId="11" priority="9" operator="between">
      <formula>$M$75</formula>
      <formula>$M$74</formula>
    </cfRule>
  </conditionalFormatting>
  <conditionalFormatting sqref="L56:L72">
    <cfRule type="cellIs" dxfId="10" priority="6" operator="equal">
      <formula>"-"</formula>
    </cfRule>
  </conditionalFormatting>
  <conditionalFormatting sqref="L31:L47">
    <cfRule type="cellIs" dxfId="9" priority="5" operator="equal">
      <formula>"-"</formula>
    </cfRule>
  </conditionalFormatting>
  <conditionalFormatting sqref="O175:O184">
    <cfRule type="cellIs" dxfId="8" priority="567" operator="equal">
      <formula>"-"</formula>
    </cfRule>
    <cfRule type="cellIs" dxfId="7" priority="568" operator="lessThanOrEqual">
      <formula>$O$186</formula>
    </cfRule>
    <cfRule type="cellIs" dxfId="6" priority="569" operator="greaterThanOrEqual">
      <formula>$O$187</formula>
    </cfRule>
    <cfRule type="cellIs" dxfId="5" priority="570" operator="between">
      <formula>$O$186</formula>
      <formula>$O$187</formula>
    </cfRule>
  </conditionalFormatting>
  <conditionalFormatting sqref="M6:M22">
    <cfRule type="cellIs" dxfId="4" priority="2" operator="greaterThanOrEqual">
      <formula>$M$24</formula>
    </cfRule>
    <cfRule type="cellIs" dxfId="3" priority="3" operator="lessThanOrEqual">
      <formula>$M$25</formula>
    </cfRule>
    <cfRule type="cellIs" dxfId="2" priority="4" operator="between">
      <formula>$M$25</formula>
      <formula>$M$24</formula>
    </cfRule>
  </conditionalFormatting>
  <conditionalFormatting sqref="L6:L22">
    <cfRule type="cellIs" dxfId="1" priority="1" operator="equal">
      <formula>"-"</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outlinePr summaryBelow="0"/>
  </sheetPr>
  <dimension ref="B2:R334"/>
  <sheetViews>
    <sheetView showGridLines="0" workbookViewId="0"/>
  </sheetViews>
  <sheetFormatPr defaultRowHeight="12.75" outlineLevelRow="1" x14ac:dyDescent="0.2"/>
  <cols>
    <col min="1" max="2" width="2.625" style="8" customWidth="1"/>
    <col min="3" max="3" width="10" style="8" customWidth="1"/>
    <col min="4" max="4" width="9" style="8"/>
    <col min="5" max="6" width="9" style="8" customWidth="1"/>
    <col min="7" max="12" width="9" style="8"/>
    <col min="13" max="18" width="9" style="8" customWidth="1"/>
    <col min="19" max="16384" width="9" style="8"/>
  </cols>
  <sheetData>
    <row r="2" spans="2:18" ht="13.5" x14ac:dyDescent="0.25">
      <c r="B2" s="9" t="s">
        <v>516</v>
      </c>
      <c r="C2" s="9"/>
      <c r="D2" s="10"/>
      <c r="E2" s="10"/>
      <c r="F2" s="10"/>
      <c r="G2" s="10"/>
      <c r="H2" s="10"/>
      <c r="I2" s="10"/>
      <c r="J2" s="10"/>
      <c r="K2" s="10"/>
      <c r="L2" s="9" t="s">
        <v>582</v>
      </c>
      <c r="M2" s="10"/>
      <c r="N2" s="10"/>
      <c r="O2" s="10"/>
      <c r="P2" s="10"/>
      <c r="Q2" s="10"/>
      <c r="R2" s="10"/>
    </row>
    <row r="3" spans="2:18" outlineLevel="1" x14ac:dyDescent="0.2"/>
    <row r="4" spans="2:18" ht="13.5" outlineLevel="1" x14ac:dyDescent="0.25">
      <c r="B4" s="35" t="str">
        <f xml:space="preserve"> "SIM score by year (ordered by highest in " &amp; Year &amp; ")"</f>
        <v>SIM score by year (ordered by highest in 2018-19)</v>
      </c>
      <c r="C4" s="35"/>
      <c r="D4" s="35"/>
      <c r="E4" s="35"/>
      <c r="F4" s="35"/>
      <c r="G4" s="35"/>
      <c r="H4" s="35"/>
      <c r="I4" s="35"/>
      <c r="J4" s="35"/>
      <c r="K4" s="35"/>
      <c r="L4" s="35"/>
      <c r="M4" s="35"/>
      <c r="N4" s="35"/>
      <c r="O4" s="35"/>
      <c r="P4" s="35"/>
      <c r="Q4" s="35"/>
      <c r="R4" s="35"/>
    </row>
    <row r="5" spans="2:18" outlineLevel="1" x14ac:dyDescent="0.2"/>
    <row r="6" spans="2:18" ht="25.5" outlineLevel="1" x14ac:dyDescent="0.2">
      <c r="C6" s="354" t="str">
        <f xml:space="preserve"> Year &amp; " Rank"</f>
        <v>2018-19 Rank</v>
      </c>
      <c r="D6" s="354" t="s">
        <v>344</v>
      </c>
      <c r="E6" s="354" t="s">
        <v>171</v>
      </c>
      <c r="F6" s="354" t="s">
        <v>172</v>
      </c>
      <c r="G6" s="354" t="s">
        <v>173</v>
      </c>
      <c r="H6" s="354" t="s">
        <v>150</v>
      </c>
    </row>
    <row r="7" spans="2:18" outlineLevel="1" x14ac:dyDescent="0.2">
      <c r="C7" s="86">
        <v>1</v>
      </c>
      <c r="D7" s="207" t="str">
        <f xml:space="preserve"> INDEX( CALCS│Outcomes!$C$282:$C$299, MATCH( $H7, CALCS│Outcomes!$K$282:$K$299, 0 ) )</f>
        <v>ANH</v>
      </c>
      <c r="E7" s="124">
        <f xml:space="preserve"> INDEX( CALCS│Outcomes!H$282:H$299, MATCH( $H7, CALCS│Outcomes!$K$282:$K$299, 0 ) )</f>
        <v>85.12</v>
      </c>
      <c r="F7" s="124">
        <f xml:space="preserve"> INDEX( CALCS│Outcomes!I$282:I$299, MATCH( $H7, CALCS│Outcomes!$K$282:$K$299, 0 ) )</f>
        <v>85.64</v>
      </c>
      <c r="G7" s="124">
        <f xml:space="preserve"> INDEX( CALCS│Outcomes!J$282:J$299, MATCH( $H7, CALCS│Outcomes!$K$282:$K$299, 0 ) )</f>
        <v>88.37</v>
      </c>
      <c r="H7" s="111">
        <f xml:space="preserve"> LARGE( CALCS│Outcomes!$K$282:$K$299, C7 )</f>
        <v>90.036500000000004</v>
      </c>
    </row>
    <row r="8" spans="2:18" outlineLevel="1" x14ac:dyDescent="0.2">
      <c r="C8" s="86">
        <v>2</v>
      </c>
      <c r="D8" s="203" t="str">
        <f xml:space="preserve"> INDEX( CALCS│Outcomes!$C$282:$C$299, MATCH( $H8, CALCS│Outcomes!$K$282:$K$299, 0 ) )</f>
        <v>PRT</v>
      </c>
      <c r="E8" s="112">
        <f xml:space="preserve"> INDEX( CALCS│Outcomes!H$282:H$299, MATCH( $H8, CALCS│Outcomes!$K$282:$K$299, 0 ) )</f>
        <v>89.5</v>
      </c>
      <c r="F8" s="112">
        <f xml:space="preserve"> INDEX( CALCS│Outcomes!I$282:I$299, MATCH( $H8, CALCS│Outcomes!$K$282:$K$299, 0 ) )</f>
        <v>87.68</v>
      </c>
      <c r="G8" s="112">
        <f xml:space="preserve"> INDEX( CALCS│Outcomes!J$282:J$299, MATCH( $H8, CALCS│Outcomes!$K$282:$K$299, 0 ) )</f>
        <v>87.9</v>
      </c>
      <c r="H8" s="111">
        <f xml:space="preserve"> LARGE( CALCS│Outcomes!$K$282:$K$299, C8 )</f>
        <v>89.069000000000003</v>
      </c>
    </row>
    <row r="9" spans="2:18" outlineLevel="1" x14ac:dyDescent="0.2">
      <c r="C9" s="86">
        <v>3</v>
      </c>
      <c r="D9" s="203" t="str">
        <f xml:space="preserve"> INDEX( CALCS│Outcomes!$C$282:$C$299, MATCH( $H9, CALCS│Outcomes!$K$282:$K$299, 0 ) )</f>
        <v>UU</v>
      </c>
      <c r="E9" s="112">
        <f xml:space="preserve"> INDEX( CALCS│Outcomes!H$282:H$299, MATCH( $H9, CALCS│Outcomes!$K$282:$K$299, 0 ) )</f>
        <v>81.55</v>
      </c>
      <c r="F9" s="112">
        <f xml:space="preserve"> INDEX( CALCS│Outcomes!I$282:I$299, MATCH( $H9, CALCS│Outcomes!$K$282:$K$299, 0 ) )</f>
        <v>85.44</v>
      </c>
      <c r="G9" s="112">
        <f xml:space="preserve"> INDEX( CALCS│Outcomes!J$282:J$299, MATCH( $H9, CALCS│Outcomes!$K$282:$K$299, 0 ) )</f>
        <v>86.873881667676727</v>
      </c>
      <c r="H9" s="111">
        <f xml:space="preserve"> LARGE( CALCS│Outcomes!$K$282:$K$299, C9 )</f>
        <v>87.639669640685241</v>
      </c>
    </row>
    <row r="10" spans="2:18" outlineLevel="1" x14ac:dyDescent="0.2">
      <c r="C10" s="86">
        <v>4</v>
      </c>
      <c r="D10" s="203" t="str">
        <f xml:space="preserve"> INDEX( CALCS│Outcomes!$C$282:$C$299, MATCH( $H10, CALCS│Outcomes!$K$282:$K$299, 0 ) )</f>
        <v>SWT</v>
      </c>
      <c r="E10" s="112">
        <f xml:space="preserve"> INDEX( CALCS│Outcomes!H$282:H$299, MATCH( $H10, CALCS│Outcomes!$K$282:$K$299, 0 ) )</f>
        <v>78.599999999999994</v>
      </c>
      <c r="F10" s="112">
        <f xml:space="preserve"> INDEX( CALCS│Outcomes!I$282:I$299, MATCH( $H10, CALCS│Outcomes!$K$282:$K$299, 0 ) )</f>
        <v>81.64</v>
      </c>
      <c r="G10" s="112">
        <f xml:space="preserve"> INDEX( CALCS│Outcomes!J$282:J$299, MATCH( $H10, CALCS│Outcomes!$K$282:$K$299, 0 ) )</f>
        <v>84.54849999999999</v>
      </c>
      <c r="H10" s="111">
        <f xml:space="preserve"> LARGE( CALCS│Outcomes!$K$282:$K$299, C10 )</f>
        <v>87.617000000000004</v>
      </c>
    </row>
    <row r="11" spans="2:18" outlineLevel="1" x14ac:dyDescent="0.2">
      <c r="C11" s="86">
        <v>5</v>
      </c>
      <c r="D11" s="203" t="str">
        <f xml:space="preserve"> INDEX( CALCS│Outcomes!$C$282:$C$299, MATCH( $H11, CALCS│Outcomes!$K$282:$K$299, 0 ) )</f>
        <v>SBW</v>
      </c>
      <c r="E11" s="112">
        <f xml:space="preserve"> INDEX( CALCS│Outcomes!H$282:H$299, MATCH( $H11, CALCS│Outcomes!$K$282:$K$299, 0 ) )</f>
        <v>86.2</v>
      </c>
      <c r="F11" s="112">
        <f xml:space="preserve"> INDEX( CALCS│Outcomes!I$282:I$299, MATCH( $H11, CALCS│Outcomes!$K$282:$K$299, 0 ) )</f>
        <v>86.314999999999998</v>
      </c>
      <c r="G11" s="112">
        <f xml:space="preserve"> INDEX( CALCS│Outcomes!J$282:J$299, MATCH( $H11, CALCS│Outcomes!$K$282:$K$299, 0 ) )</f>
        <v>87.608999999999995</v>
      </c>
      <c r="H11" s="111">
        <f xml:space="preserve"> LARGE( CALCS│Outcomes!$K$282:$K$299, C11 )</f>
        <v>87.57</v>
      </c>
    </row>
    <row r="12" spans="2:18" outlineLevel="1" x14ac:dyDescent="0.2">
      <c r="C12" s="86">
        <v>6</v>
      </c>
      <c r="D12" s="203" t="str">
        <f xml:space="preserve"> INDEX( CALCS│Outcomes!$C$282:$C$299, MATCH( $H12, CALCS│Outcomes!$K$282:$K$299, 0 ) )</f>
        <v>WSX</v>
      </c>
      <c r="E12" s="112">
        <f xml:space="preserve"> INDEX( CALCS│Outcomes!H$282:H$299, MATCH( $H12, CALCS│Outcomes!$K$282:$K$299, 0 ) )</f>
        <v>87.1</v>
      </c>
      <c r="F12" s="112">
        <f xml:space="preserve"> INDEX( CALCS│Outcomes!I$282:I$299, MATCH( $H12, CALCS│Outcomes!$K$282:$K$299, 0 ) )</f>
        <v>87.55</v>
      </c>
      <c r="G12" s="112">
        <f xml:space="preserve"> INDEX( CALCS│Outcomes!J$282:J$299, MATCH( $H12, CALCS│Outcomes!$K$282:$K$299, 0 ) )</f>
        <v>86.89</v>
      </c>
      <c r="H12" s="111">
        <f xml:space="preserve"> LARGE( CALCS│Outcomes!$K$282:$K$299, C12 )</f>
        <v>87.202624999999998</v>
      </c>
    </row>
    <row r="13" spans="2:18" outlineLevel="1" x14ac:dyDescent="0.2">
      <c r="C13" s="86">
        <v>7</v>
      </c>
      <c r="D13" s="203" t="str">
        <f xml:space="preserve"> INDEX( CALCS│Outcomes!$C$282:$C$299, MATCH( $H13, CALCS│Outcomes!$K$282:$K$299, 0 ) )</f>
        <v>WSH</v>
      </c>
      <c r="E13" s="124">
        <f xml:space="preserve"> INDEX( CALCS│Outcomes!H$282:H$299, MATCH( $H13, CALCS│Outcomes!$K$282:$K$299, 0 ) )</f>
        <v>83</v>
      </c>
      <c r="F13" s="124">
        <f xml:space="preserve"> INDEX( CALCS│Outcomes!I$282:I$299, MATCH( $H13, CALCS│Outcomes!$K$282:$K$299, 0 ) )</f>
        <v>82.86</v>
      </c>
      <c r="G13" s="112">
        <f xml:space="preserve"> INDEX( CALCS│Outcomes!J$282:J$299, MATCH( $H13, CALCS│Outcomes!$K$282:$K$299, 0 ) )</f>
        <v>84.64</v>
      </c>
      <c r="H13" s="111">
        <f xml:space="preserve"> LARGE( CALCS│Outcomes!$K$282:$K$299, C13 )</f>
        <v>86.884</v>
      </c>
    </row>
    <row r="14" spans="2:18" outlineLevel="1" x14ac:dyDescent="0.2">
      <c r="C14" s="86">
        <v>8</v>
      </c>
      <c r="D14" s="203" t="str">
        <f xml:space="preserve"> INDEX( CALCS│Outcomes!$C$282:$C$299, MATCH( $H14, CALCS│Outcomes!$K$282:$K$299, 0 ) )</f>
        <v>SSC</v>
      </c>
      <c r="E14" s="112">
        <f xml:space="preserve"> INDEX( CALCS│Outcomes!H$282:H$299, MATCH( $H14, CALCS│Outcomes!$K$282:$K$299, 0 ) )</f>
        <v>86.3</v>
      </c>
      <c r="F14" s="112">
        <f xml:space="preserve"> INDEX( CALCS│Outcomes!I$282:I$299, MATCH( $H14, CALCS│Outcomes!$K$282:$K$299, 0 ) )</f>
        <v>84.4</v>
      </c>
      <c r="G14" s="112">
        <f xml:space="preserve"> INDEX( CALCS│Outcomes!J$282:J$299, MATCH( $H14, CALCS│Outcomes!$K$282:$K$299, 0 ) )</f>
        <v>87.03</v>
      </c>
      <c r="H14" s="111">
        <f xml:space="preserve"> LARGE( CALCS│Outcomes!$K$282:$K$299, C14 )</f>
        <v>86.404774303995708</v>
      </c>
    </row>
    <row r="15" spans="2:18" outlineLevel="1" x14ac:dyDescent="0.2">
      <c r="C15" s="86">
        <v>9</v>
      </c>
      <c r="D15" s="203" t="str">
        <f xml:space="preserve"> INDEX( CALCS│Outcomes!$C$282:$C$299, MATCH( $H15, CALCS│Outcomes!$K$282:$K$299, 0 ) )</f>
        <v>NES</v>
      </c>
      <c r="E15" s="112">
        <f xml:space="preserve"> INDEX( CALCS│Outcomes!H$282:H$299, MATCH( $H15, CALCS│Outcomes!$K$282:$K$299, 0 ) )</f>
        <v>83.64</v>
      </c>
      <c r="F15" s="112">
        <f xml:space="preserve"> INDEX( CALCS│Outcomes!I$282:I$299, MATCH( $H15, CALCS│Outcomes!$K$282:$K$299, 0 ) )</f>
        <v>87.53</v>
      </c>
      <c r="G15" s="112">
        <f xml:space="preserve"> INDEX( CALCS│Outcomes!J$282:J$299, MATCH( $H15, CALCS│Outcomes!$K$282:$K$299, 0 ) )</f>
        <v>86.39</v>
      </c>
      <c r="H15" s="111">
        <f xml:space="preserve"> LARGE( CALCS│Outcomes!$K$282:$K$299, C15 )</f>
        <v>85.868625000000009</v>
      </c>
    </row>
    <row r="16" spans="2:18" outlineLevel="1" x14ac:dyDescent="0.2">
      <c r="C16" s="86">
        <v>10</v>
      </c>
      <c r="D16" s="203" t="str">
        <f xml:space="preserve"> INDEX( CALCS│Outcomes!$C$282:$C$299, MATCH( $H16, CALCS│Outcomes!$K$282:$K$299, 0 ) )</f>
        <v>SEW</v>
      </c>
      <c r="E16" s="112">
        <f xml:space="preserve"> INDEX( CALCS│Outcomes!H$282:H$299, MATCH( $H16, CALCS│Outcomes!$K$282:$K$299, 0 ) )</f>
        <v>81.95</v>
      </c>
      <c r="F16" s="112">
        <f xml:space="preserve"> INDEX( CALCS│Outcomes!I$282:I$299, MATCH( $H16, CALCS│Outcomes!$K$282:$K$299, 0 ) )</f>
        <v>84.6</v>
      </c>
      <c r="G16" s="112">
        <f xml:space="preserve"> INDEX( CALCS│Outcomes!J$282:J$299, MATCH( $H16, CALCS│Outcomes!$K$282:$K$299, 0 ) )</f>
        <v>85.6</v>
      </c>
      <c r="H16" s="111">
        <f xml:space="preserve"> LARGE( CALCS│Outcomes!$K$282:$K$299, C16 )</f>
        <v>85.358499999999992</v>
      </c>
    </row>
    <row r="17" spans="2:18" outlineLevel="1" x14ac:dyDescent="0.2">
      <c r="C17" s="86">
        <v>11</v>
      </c>
      <c r="D17" s="203" t="str">
        <f xml:space="preserve"> INDEX( CALCS│Outcomes!$C$282:$C$299, MATCH( $H17, CALCS│Outcomes!$K$282:$K$299, 0 ) )</f>
        <v>BRL</v>
      </c>
      <c r="E17" s="112">
        <f xml:space="preserve"> INDEX( CALCS│Outcomes!H$282:H$299, MATCH( $H17, CALCS│Outcomes!$K$282:$K$299, 0 ) )</f>
        <v>85.1</v>
      </c>
      <c r="F17" s="112">
        <f xml:space="preserve"> INDEX( CALCS│Outcomes!I$282:I$299, MATCH( $H17, CALCS│Outcomes!$K$282:$K$299, 0 ) )</f>
        <v>85.9</v>
      </c>
      <c r="G17" s="112">
        <f xml:space="preserve"> INDEX( CALCS│Outcomes!J$282:J$299, MATCH( $H17, CALCS│Outcomes!$K$282:$K$299, 0 ) )</f>
        <v>83.38</v>
      </c>
      <c r="H17" s="111">
        <f xml:space="preserve"> LARGE( CALCS│Outcomes!$K$282:$K$299, C17 )</f>
        <v>84.711500000000001</v>
      </c>
    </row>
    <row r="18" spans="2:18" outlineLevel="1" x14ac:dyDescent="0.2">
      <c r="C18" s="86">
        <v>12</v>
      </c>
      <c r="D18" s="203" t="str">
        <f xml:space="preserve"> INDEX( CALCS│Outcomes!$C$282:$C$299, MATCH( $H18, CALCS│Outcomes!$K$282:$K$299, 0 ) )</f>
        <v>YKY</v>
      </c>
      <c r="E18" s="112">
        <f xml:space="preserve"> INDEX( CALCS│Outcomes!H$282:H$299, MATCH( $H18, CALCS│Outcomes!$K$282:$K$299, 0 ) )</f>
        <v>82.6</v>
      </c>
      <c r="F18" s="112">
        <f xml:space="preserve"> INDEX( CALCS│Outcomes!I$282:I$299, MATCH( $H18, CALCS│Outcomes!$K$282:$K$299, 0 ) )</f>
        <v>83.4</v>
      </c>
      <c r="G18" s="112">
        <f xml:space="preserve"> INDEX( CALCS│Outcomes!J$282:J$299, MATCH( $H18, CALCS│Outcomes!$K$282:$K$299, 0 ) )</f>
        <v>84.27</v>
      </c>
      <c r="H18" s="111">
        <f xml:space="preserve"> LARGE( CALCS│Outcomes!$K$282:$K$299, C18 )</f>
        <v>84.000500000000002</v>
      </c>
    </row>
    <row r="19" spans="2:18" outlineLevel="1" x14ac:dyDescent="0.2">
      <c r="C19" s="86">
        <v>13</v>
      </c>
      <c r="D19" s="203" t="str">
        <f xml:space="preserve"> INDEX( CALCS│Outcomes!$C$282:$C$299, MATCH( $H19, CALCS│Outcomes!$K$282:$K$299, 0 ) )</f>
        <v>SVE</v>
      </c>
      <c r="E19" s="112">
        <f xml:space="preserve"> INDEX( CALCS│Outcomes!H$282:H$299, MATCH( $H19, CALCS│Outcomes!$K$282:$K$299, 0 ) )</f>
        <v>83.7</v>
      </c>
      <c r="F19" s="112">
        <f xml:space="preserve"> INDEX( CALCS│Outcomes!I$282:I$299, MATCH( $H19, CALCS│Outcomes!$K$282:$K$299, 0 ) )</f>
        <v>83.61</v>
      </c>
      <c r="G19" s="112">
        <f xml:space="preserve"> INDEX( CALCS│Outcomes!J$282:J$299, MATCH( $H19, CALCS│Outcomes!$K$282:$K$299, 0 ) )</f>
        <v>83.2</v>
      </c>
      <c r="H19" s="111">
        <f xml:space="preserve"> LARGE( CALCS│Outcomes!$K$282:$K$299, C19 )</f>
        <v>81.447664175787068</v>
      </c>
    </row>
    <row r="20" spans="2:18" outlineLevel="1" x14ac:dyDescent="0.2">
      <c r="C20" s="86">
        <v>14</v>
      </c>
      <c r="D20" s="203" t="str">
        <f xml:space="preserve"> INDEX( CALCS│Outcomes!$C$282:$C$299, MATCH( $H20, CALCS│Outcomes!$K$282:$K$299, 0 ) )</f>
        <v>AFW</v>
      </c>
      <c r="E20" s="112">
        <f xml:space="preserve"> INDEX( CALCS│Outcomes!H$282:H$299, MATCH( $H20, CALCS│Outcomes!$K$282:$K$299, 0 ) )</f>
        <v>76.73</v>
      </c>
      <c r="F20" s="112">
        <f xml:space="preserve"> INDEX( CALCS│Outcomes!I$282:I$299, MATCH( $H20, CALCS│Outcomes!$K$282:$K$299, 0 ) )</f>
        <v>78.510000000000005</v>
      </c>
      <c r="G20" s="112">
        <f xml:space="preserve"> INDEX( CALCS│Outcomes!J$282:J$299, MATCH( $H20, CALCS│Outcomes!$K$282:$K$299, 0 ) )</f>
        <v>80.909102903993897</v>
      </c>
      <c r="H20" s="111">
        <f xml:space="preserve"> LARGE( CALCS│Outcomes!$K$282:$K$299, C20 )</f>
        <v>81.200500000000005</v>
      </c>
    </row>
    <row r="21" spans="2:18" outlineLevel="1" x14ac:dyDescent="0.2">
      <c r="C21" s="86">
        <v>15</v>
      </c>
      <c r="D21" s="203" t="str">
        <f xml:space="preserve"> INDEX( CALCS│Outcomes!$C$282:$C$299, MATCH( $H21, CALCS│Outcomes!$K$282:$K$299, 0 ) )</f>
        <v>SES</v>
      </c>
      <c r="E21" s="124">
        <f xml:space="preserve"> INDEX( CALCS│Outcomes!H$282:H$299, MATCH( $H21, CALCS│Outcomes!$K$282:$K$299, 0 ) )</f>
        <v>80.8</v>
      </c>
      <c r="F21" s="112">
        <f xml:space="preserve"> INDEX( CALCS│Outcomes!I$282:I$299, MATCH( $H21, CALCS│Outcomes!$K$282:$K$299, 0 ) )</f>
        <v>79.599999999999994</v>
      </c>
      <c r="G21" s="112">
        <f xml:space="preserve"> INDEX( CALCS│Outcomes!J$282:J$299, MATCH( $H21, CALCS│Outcomes!$K$282:$K$299, 0 ) )</f>
        <v>78.7</v>
      </c>
      <c r="H21" s="111">
        <f xml:space="preserve"> LARGE( CALCS│Outcomes!$K$282:$K$299, C21 )</f>
        <v>80.503999999999991</v>
      </c>
    </row>
    <row r="22" spans="2:18" outlineLevel="1" x14ac:dyDescent="0.2">
      <c r="C22" s="86">
        <v>16</v>
      </c>
      <c r="D22" s="203" t="str">
        <f xml:space="preserve"> INDEX( CALCS│Outcomes!$C$282:$C$299, MATCH( $H22, CALCS│Outcomes!$K$282:$K$299, 0 ) )</f>
        <v>SRN</v>
      </c>
      <c r="E22" s="112">
        <f xml:space="preserve"> INDEX( CALCS│Outcomes!H$282:H$299, MATCH( $H22, CALCS│Outcomes!$K$282:$K$299, 0 ) )</f>
        <v>73</v>
      </c>
      <c r="F22" s="112">
        <f xml:space="preserve"> INDEX( CALCS│Outcomes!I$282:I$299, MATCH( $H22, CALCS│Outcomes!$K$282:$K$299, 0 ) )</f>
        <v>78.13</v>
      </c>
      <c r="G22" s="112">
        <f xml:space="preserve"> INDEX( CALCS│Outcomes!J$282:J$299, MATCH( $H22, CALCS│Outcomes!$K$282:$K$299, 0 ) )</f>
        <v>79.33</v>
      </c>
      <c r="H22" s="111">
        <f xml:space="preserve"> LARGE( CALCS│Outcomes!$K$282:$K$299, C22 )</f>
        <v>80.137</v>
      </c>
    </row>
    <row r="23" spans="2:18" outlineLevel="1" x14ac:dyDescent="0.2">
      <c r="C23" s="86">
        <v>17</v>
      </c>
      <c r="D23" s="203" t="str">
        <f xml:space="preserve"> INDEX( CALCS│Outcomes!$C$282:$C$299, MATCH( $H23, CALCS│Outcomes!$K$282:$K$299, 0 ) )</f>
        <v>HDD</v>
      </c>
      <c r="E23" s="112">
        <f xml:space="preserve"> INDEX( CALCS│Outcomes!H$282:H$299, MATCH( $H23, CALCS│Outcomes!$K$282:$K$299, 0 ) )</f>
        <v>83.42</v>
      </c>
      <c r="F23" s="112">
        <f xml:space="preserve"> INDEX( CALCS│Outcomes!I$282:I$299, MATCH( $H23, CALCS│Outcomes!$K$282:$K$299, 0 ) )</f>
        <v>85.98</v>
      </c>
      <c r="G23" s="112">
        <f xml:space="preserve"> INDEX( CALCS│Outcomes!J$282:J$299, MATCH( $H23, CALCS│Outcomes!$K$282:$K$299, 0 ) )</f>
        <v>86.5</v>
      </c>
      <c r="H23" s="111">
        <f xml:space="preserve"> LARGE( CALCS│Outcomes!$K$282:$K$299, C23 )</f>
        <v>78.414339197459626</v>
      </c>
    </row>
    <row r="24" spans="2:18" outlineLevel="1" x14ac:dyDescent="0.2">
      <c r="C24" s="86">
        <v>18</v>
      </c>
      <c r="D24" s="203" t="str">
        <f xml:space="preserve"> INDEX( CALCS│Outcomes!$C$282:$C$299, MATCH( $H24, CALCS│Outcomes!$K$282:$K$299, 0 ) )</f>
        <v>TMS</v>
      </c>
      <c r="E24" s="112">
        <f xml:space="preserve"> INDEX( CALCS│Outcomes!H$282:H$299, MATCH( $H24, CALCS│Outcomes!$K$282:$K$299, 0 ) )</f>
        <v>76.739999999999995</v>
      </c>
      <c r="F24" s="112">
        <f xml:space="preserve"> INDEX( CALCS│Outcomes!I$282:I$299, MATCH( $H24, CALCS│Outcomes!$K$282:$K$299, 0 ) )</f>
        <v>77.264009835474994</v>
      </c>
      <c r="G24" s="112">
        <f xml:space="preserve"> INDEX( CALCS│Outcomes!J$282:J$299, MATCH( $H24, CALCS│Outcomes!$K$282:$K$299, 0 ) )</f>
        <v>78.428740527351835</v>
      </c>
      <c r="H24" s="111">
        <f xml:space="preserve"> LARGE( CALCS│Outcomes!$K$282:$K$299, C24 )</f>
        <v>75.026663774526256</v>
      </c>
    </row>
    <row r="25" spans="2:18" outlineLevel="1" x14ac:dyDescent="0.2">
      <c r="D25" s="81" t="s">
        <v>257</v>
      </c>
      <c r="E25" s="112">
        <f>CALCS│Outcomes!H301</f>
        <v>82.50277777777778</v>
      </c>
      <c r="F25" s="112">
        <f>CALCS│Outcomes!I301</f>
        <v>83.669389435304169</v>
      </c>
      <c r="G25" s="112">
        <f>CALCS│Outcomes!J301</f>
        <v>84.476068061056793</v>
      </c>
      <c r="H25" s="112">
        <f>CALCS│Outcomes!K301</f>
        <v>84.39404783846966</v>
      </c>
    </row>
    <row r="26" spans="2:18" outlineLevel="1" x14ac:dyDescent="0.2">
      <c r="D26" s="81"/>
    </row>
    <row r="27" spans="2:18" ht="13.5" outlineLevel="1" x14ac:dyDescent="0.25">
      <c r="B27" s="35" t="str">
        <f xml:space="preserve"> "Absolute change in SIM score by company between 2015-16 and " &amp; Year</f>
        <v>Absolute change in SIM score by company between 2015-16 and 2018-19</v>
      </c>
      <c r="C27" s="35"/>
      <c r="D27" s="35"/>
      <c r="E27" s="35"/>
      <c r="F27" s="35"/>
      <c r="G27" s="35"/>
      <c r="H27" s="35"/>
      <c r="I27" s="35"/>
      <c r="J27" s="35"/>
      <c r="K27" s="35"/>
      <c r="L27" s="35"/>
      <c r="M27" s="35"/>
      <c r="N27" s="35"/>
      <c r="O27" s="35"/>
      <c r="P27" s="35"/>
      <c r="Q27" s="35"/>
      <c r="R27" s="35"/>
    </row>
    <row r="28" spans="2:18" outlineLevel="1" x14ac:dyDescent="0.2"/>
    <row r="29" spans="2:18" ht="25.5" outlineLevel="1" x14ac:dyDescent="0.2">
      <c r="C29" s="354" t="s">
        <v>548</v>
      </c>
      <c r="D29" s="354" t="s">
        <v>344</v>
      </c>
      <c r="E29" s="354" t="s">
        <v>549</v>
      </c>
    </row>
    <row r="30" spans="2:18" outlineLevel="1" x14ac:dyDescent="0.2">
      <c r="C30" s="86">
        <v>1</v>
      </c>
      <c r="D30" s="207" t="str">
        <f xml:space="preserve"> INDEX( CALCS│Outcomes!$C$282:$C$299, MATCH( E30, CALCS│Outcomes!$N$282:$N$299, 0 ) )</f>
        <v>SWT</v>
      </c>
      <c r="E30" s="111">
        <f xml:space="preserve"> LARGE( CALCS│Outcomes!$N$282:$N$299, C30 )</f>
        <v>9.0170000000000101</v>
      </c>
    </row>
    <row r="31" spans="2:18" outlineLevel="1" x14ac:dyDescent="0.2">
      <c r="C31" s="86">
        <v>2</v>
      </c>
      <c r="D31" s="203" t="str">
        <f xml:space="preserve"> INDEX( CALCS│Outcomes!$C$282:$C$299, MATCH( E31, CALCS│Outcomes!$N$282:$N$299, 0 ) )</f>
        <v>SRN</v>
      </c>
      <c r="E31" s="111">
        <f xml:space="preserve"> LARGE( CALCS│Outcomes!$N$282:$N$299, C31 )</f>
        <v>7.1370000000000005</v>
      </c>
    </row>
    <row r="32" spans="2:18" outlineLevel="1" x14ac:dyDescent="0.2">
      <c r="C32" s="86">
        <v>3</v>
      </c>
      <c r="D32" s="203" t="str">
        <f xml:space="preserve"> INDEX( CALCS│Outcomes!$C$282:$C$299, MATCH( E32, CALCS│Outcomes!$N$282:$N$299, 0 ) )</f>
        <v>UU</v>
      </c>
      <c r="E32" s="111">
        <f xml:space="preserve"> LARGE( CALCS│Outcomes!$N$282:$N$299, C32 )</f>
        <v>6.0896696406852442</v>
      </c>
    </row>
    <row r="33" spans="3:5" outlineLevel="1" x14ac:dyDescent="0.2">
      <c r="C33" s="86">
        <v>4</v>
      </c>
      <c r="D33" s="203" t="str">
        <f xml:space="preserve"> INDEX( CALCS│Outcomes!$C$282:$C$299, MATCH( E33, CALCS│Outcomes!$N$282:$N$299, 0 ) )</f>
        <v>ANH</v>
      </c>
      <c r="E33" s="111">
        <f xml:space="preserve"> LARGE( CALCS│Outcomes!$N$282:$N$299, C33 )</f>
        <v>4.9164999999999992</v>
      </c>
    </row>
    <row r="34" spans="3:5" outlineLevel="1" x14ac:dyDescent="0.2">
      <c r="C34" s="86">
        <v>5</v>
      </c>
      <c r="D34" s="203" t="str">
        <f xml:space="preserve"> INDEX( CALCS│Outcomes!$C$282:$C$299, MATCH( E34, CALCS│Outcomes!$N$282:$N$299, 0 ) )</f>
        <v>AFW</v>
      </c>
      <c r="E34" s="111">
        <f xml:space="preserve"> LARGE( CALCS│Outcomes!$N$282:$N$299, C34 )</f>
        <v>4.4705000000000013</v>
      </c>
    </row>
    <row r="35" spans="3:5" outlineLevel="1" x14ac:dyDescent="0.2">
      <c r="C35" s="86">
        <v>6</v>
      </c>
      <c r="D35" s="203" t="str">
        <f xml:space="preserve"> INDEX( CALCS│Outcomes!$C$282:$C$299, MATCH( E35, CALCS│Outcomes!$N$282:$N$299, 0 ) )</f>
        <v>WSH</v>
      </c>
      <c r="E35" s="111">
        <f xml:space="preserve"> LARGE( CALCS│Outcomes!$N$282:$N$299, C35 )</f>
        <v>3.8840000000000003</v>
      </c>
    </row>
    <row r="36" spans="3:5" outlineLevel="1" x14ac:dyDescent="0.2">
      <c r="C36" s="86">
        <v>7</v>
      </c>
      <c r="D36" s="203" t="str">
        <f xml:space="preserve"> INDEX( CALCS│Outcomes!$C$282:$C$299, MATCH( E36, CALCS│Outcomes!$N$282:$N$299, 0 ) )</f>
        <v>SEW</v>
      </c>
      <c r="E36" s="111">
        <f xml:space="preserve"> LARGE( CALCS│Outcomes!$N$282:$N$299, C36 )</f>
        <v>3.4084999999999894</v>
      </c>
    </row>
    <row r="37" spans="3:5" outlineLevel="1" x14ac:dyDescent="0.2">
      <c r="C37" s="86">
        <v>8</v>
      </c>
      <c r="D37" s="203" t="str">
        <f xml:space="preserve"> INDEX( CALCS│Outcomes!$C$282:$C$299, MATCH( E37, CALCS│Outcomes!$N$282:$N$299, 0 ) )</f>
        <v>NES</v>
      </c>
      <c r="E37" s="111">
        <f xml:space="preserve"> LARGE( CALCS│Outcomes!$N$282:$N$299, C37 )</f>
        <v>2.2286250000000081</v>
      </c>
    </row>
    <row r="38" spans="3:5" outlineLevel="1" x14ac:dyDescent="0.2">
      <c r="C38" s="86">
        <v>9</v>
      </c>
      <c r="D38" s="203" t="str">
        <f xml:space="preserve"> INDEX( CALCS│Outcomes!$C$282:$C$299, MATCH( E38, CALCS│Outcomes!$N$282:$N$299, 0 ) )</f>
        <v>YKY</v>
      </c>
      <c r="E38" s="111">
        <f xml:space="preserve"> LARGE( CALCS│Outcomes!$N$282:$N$299, C38 )</f>
        <v>1.4005000000000081</v>
      </c>
    </row>
    <row r="39" spans="3:5" outlineLevel="1" x14ac:dyDescent="0.2">
      <c r="C39" s="86">
        <v>10</v>
      </c>
      <c r="D39" s="203" t="str">
        <f xml:space="preserve"> INDEX( CALCS│Outcomes!$C$282:$C$299, MATCH( E39, CALCS│Outcomes!$N$282:$N$299, 0 ) )</f>
        <v>SBW</v>
      </c>
      <c r="E39" s="111">
        <f xml:space="preserve"> LARGE( CALCS│Outcomes!$N$282:$N$299, C39 )</f>
        <v>1.3699999999999903</v>
      </c>
    </row>
    <row r="40" spans="3:5" outlineLevel="1" x14ac:dyDescent="0.2">
      <c r="C40" s="86">
        <v>11</v>
      </c>
      <c r="D40" s="203" t="str">
        <f xml:space="preserve"> INDEX( CALCS│Outcomes!$C$282:$C$299, MATCH( E40, CALCS│Outcomes!$N$282:$N$299, 0 ) )</f>
        <v>SSC</v>
      </c>
      <c r="E40" s="111">
        <f xml:space="preserve"> LARGE( CALCS│Outcomes!$N$282:$N$299, C40 )</f>
        <v>0.10477430399571119</v>
      </c>
    </row>
    <row r="41" spans="3:5" outlineLevel="1" x14ac:dyDescent="0.2">
      <c r="C41" s="86">
        <v>12</v>
      </c>
      <c r="D41" s="203" t="str">
        <f xml:space="preserve"> INDEX( CALCS│Outcomes!$C$282:$C$299, MATCH( E41, CALCS│Outcomes!$N$282:$N$299, 0 ) )</f>
        <v>WSX</v>
      </c>
      <c r="E41" s="111">
        <f xml:space="preserve"> LARGE( CALCS│Outcomes!$N$282:$N$299, C41 )</f>
        <v>0.1026250000000033</v>
      </c>
    </row>
    <row r="42" spans="3:5" outlineLevel="1" x14ac:dyDescent="0.2">
      <c r="C42" s="86">
        <v>13</v>
      </c>
      <c r="D42" s="203" t="str">
        <f xml:space="preserve"> INDEX( CALCS│Outcomes!$C$282:$C$299, MATCH( E42, CALCS│Outcomes!$N$282:$N$299, 0 ) )</f>
        <v>SES</v>
      </c>
      <c r="E42" s="111">
        <f xml:space="preserve"> LARGE( CALCS│Outcomes!$N$282:$N$299, C42 )</f>
        <v>-0.29600000000000648</v>
      </c>
    </row>
    <row r="43" spans="3:5" outlineLevel="1" x14ac:dyDescent="0.2">
      <c r="C43" s="86">
        <v>14</v>
      </c>
      <c r="D43" s="203" t="str">
        <f xml:space="preserve"> INDEX( CALCS│Outcomes!$C$282:$C$299, MATCH( E43, CALCS│Outcomes!$N$282:$N$299, 0 ) )</f>
        <v>BRL</v>
      </c>
      <c r="E43" s="111">
        <f xml:space="preserve"> LARGE( CALCS│Outcomes!$N$282:$N$299, C43 )</f>
        <v>-0.38849999999999341</v>
      </c>
    </row>
    <row r="44" spans="3:5" outlineLevel="1" x14ac:dyDescent="0.2">
      <c r="C44" s="86">
        <v>15</v>
      </c>
      <c r="D44" s="203" t="str">
        <f xml:space="preserve"> INDEX( CALCS│Outcomes!$C$282:$C$299, MATCH( E44, CALCS│Outcomes!$N$282:$N$299, 0 ) )</f>
        <v>PRT</v>
      </c>
      <c r="E44" s="111">
        <f xml:space="preserve"> LARGE( CALCS│Outcomes!$N$282:$N$299, C44 )</f>
        <v>-0.43099999999999739</v>
      </c>
    </row>
    <row r="45" spans="3:5" outlineLevel="1" x14ac:dyDescent="0.2">
      <c r="C45" s="86">
        <v>16</v>
      </c>
      <c r="D45" s="203" t="str">
        <f xml:space="preserve"> INDEX( CALCS│Outcomes!$C$282:$C$299, MATCH( E45, CALCS│Outcomes!$N$282:$N$299, 0 ) )</f>
        <v>TMS</v>
      </c>
      <c r="E45" s="111">
        <f xml:space="preserve"> LARGE( CALCS│Outcomes!$N$282:$N$299, C45 )</f>
        <v>-1.7133362254737392</v>
      </c>
    </row>
    <row r="46" spans="3:5" outlineLevel="1" x14ac:dyDescent="0.2">
      <c r="C46" s="86">
        <v>17</v>
      </c>
      <c r="D46" s="203" t="str">
        <f xml:space="preserve"> INDEX( CALCS│Outcomes!$C$282:$C$299, MATCH( E46, CALCS│Outcomes!$N$282:$N$299, 0 ) )</f>
        <v>SVE</v>
      </c>
      <c r="E46" s="111">
        <f xml:space="preserve"> LARGE( CALCS│Outcomes!$N$282:$N$299, C46 )</f>
        <v>-2.2523358242129348</v>
      </c>
    </row>
    <row r="47" spans="3:5" outlineLevel="1" x14ac:dyDescent="0.2">
      <c r="C47" s="86">
        <v>18</v>
      </c>
      <c r="D47" s="203" t="str">
        <f xml:space="preserve"> INDEX( CALCS│Outcomes!$C$282:$C$299, MATCH( E47, CALCS│Outcomes!$N$282:$N$299, 0 ) )</f>
        <v>HDD</v>
      </c>
      <c r="E47" s="111">
        <f xml:space="preserve"> LARGE( CALCS│Outcomes!$N$282:$N$299, C47 )</f>
        <v>-5.0056608025403762</v>
      </c>
    </row>
    <row r="48" spans="3:5" outlineLevel="1" x14ac:dyDescent="0.2">
      <c r="D48" s="81" t="s">
        <v>257</v>
      </c>
      <c r="E48" s="112">
        <f>CALCS│Outcomes!N301</f>
        <v>1.8912700606918804</v>
      </c>
    </row>
    <row r="50" spans="2:18" ht="13.5" x14ac:dyDescent="0.25">
      <c r="B50" s="9" t="s">
        <v>550</v>
      </c>
      <c r="C50" s="9"/>
      <c r="D50" s="10"/>
      <c r="E50" s="10"/>
      <c r="F50" s="10"/>
      <c r="G50" s="10"/>
      <c r="H50" s="10"/>
      <c r="I50" s="10"/>
      <c r="J50" s="10"/>
      <c r="K50" s="10"/>
      <c r="L50" s="9" t="s">
        <v>583</v>
      </c>
      <c r="M50" s="10"/>
      <c r="N50" s="10"/>
      <c r="O50" s="10"/>
      <c r="P50" s="10"/>
      <c r="Q50" s="10"/>
      <c r="R50" s="10"/>
    </row>
    <row r="51" spans="2:18" outlineLevel="1" x14ac:dyDescent="0.2"/>
    <row r="52" spans="2:18" ht="13.5" outlineLevel="1" x14ac:dyDescent="0.25">
      <c r="B52" s="35" t="str">
        <f xml:space="preserve"> Year &amp; " incentive payments (£m)"</f>
        <v>2018-19 incentive payments (£m)</v>
      </c>
      <c r="C52" s="35"/>
      <c r="D52" s="35"/>
      <c r="E52" s="35"/>
      <c r="F52" s="35"/>
      <c r="G52" s="35"/>
      <c r="H52" s="35"/>
      <c r="I52" s="35"/>
      <c r="J52" s="35"/>
      <c r="K52" s="35"/>
      <c r="L52" s="35"/>
      <c r="M52" s="35"/>
      <c r="N52" s="35"/>
      <c r="O52" s="35"/>
      <c r="P52" s="35"/>
      <c r="Q52" s="35"/>
      <c r="R52" s="35"/>
    </row>
    <row r="53" spans="2:18" outlineLevel="1" x14ac:dyDescent="0.2"/>
    <row r="54" spans="2:18" ht="38.25" outlineLevel="1" x14ac:dyDescent="0.2">
      <c r="C54" s="354" t="s">
        <v>548</v>
      </c>
      <c r="D54" s="354" t="s">
        <v>344</v>
      </c>
      <c r="E54" s="354" t="s">
        <v>160</v>
      </c>
      <c r="F54" s="354" t="s">
        <v>161</v>
      </c>
      <c r="G54" s="354" t="s">
        <v>163</v>
      </c>
      <c r="H54" s="354" t="s">
        <v>164</v>
      </c>
      <c r="I54" s="354" t="s">
        <v>551</v>
      </c>
      <c r="J54" s="354" t="s">
        <v>552</v>
      </c>
      <c r="K54" s="354" t="s">
        <v>171</v>
      </c>
      <c r="L54" s="354" t="s">
        <v>172</v>
      </c>
      <c r="M54" s="354" t="s">
        <v>173</v>
      </c>
      <c r="N54" s="354" t="s">
        <v>150</v>
      </c>
    </row>
    <row r="55" spans="2:18" outlineLevel="1" x14ac:dyDescent="0.2">
      <c r="C55" s="86">
        <v>1</v>
      </c>
      <c r="D55" s="208" t="str">
        <f xml:space="preserve"> INDEX( CALCS│Outcomes!$C$329:$C$345, MATCH( $J55, CALCS│Outcomes!$K$329:$K$345, 0 ) )</f>
        <v>UU</v>
      </c>
      <c r="E55" s="157">
        <f xml:space="preserve"> _xlfn.IFNA( VLOOKUP( $D55, INPUTS│Outcomes!$C$290:$L$308, MATCH( Year, INPUTS│Outcomes!$C$2:$L$2, 0 ), 0 ), 0 )</f>
        <v>0</v>
      </c>
      <c r="F55" s="157">
        <f xml:space="preserve"> _xlfn.IFNA( VLOOKUP( $D55, INPUTS│Outcomes!$C$312:$L$330, MATCH( Year, INPUTS│Outcomes!$C$2:$L$2, 0 ), 0 ), 0 )</f>
        <v>11.2577</v>
      </c>
      <c r="G55" s="157">
        <f xml:space="preserve"> _xlfn.IFNA( VLOOKUP( $D55, INPUTS│Outcomes!$C$334:$L$345, MATCH( Year, INPUTS│Outcomes!$C$2:$L$2, 0 ), 0 ), 0 )</f>
        <v>0.56999999999999995</v>
      </c>
      <c r="H55" s="157">
        <f xml:space="preserve"> _xlfn.IFNA( VLOOKUP( $D55, INPUTS│Outcomes!$C$349:$L$360, MATCH( Year, INPUTS│Outcomes!$C$2:$L$2, 0 ), 0 ), 0 )</f>
        <v>3.278</v>
      </c>
      <c r="I55" s="157">
        <f xml:space="preserve"> _xlfn.IFNA( VLOOKUP( $D55, INPUTS│Outcomes!$C$364:$L$382, MATCH( Year, INPUTS│Outcomes!$C$2:$L$2, 0 ), 0 ), 0 )</f>
        <v>4.1402920000000005</v>
      </c>
      <c r="J55" s="111">
        <f xml:space="preserve"> LARGE( CALCS│Outcomes!$K$329:$K$345, $C55 )</f>
        <v>19.245992000000001</v>
      </c>
    </row>
    <row r="56" spans="2:18" outlineLevel="1" x14ac:dyDescent="0.2">
      <c r="C56" s="86">
        <v>2</v>
      </c>
      <c r="D56" s="208" t="str">
        <f xml:space="preserve"> INDEX( CALCS│Outcomes!$C$329:$C$345, MATCH( $J56, CALCS│Outcomes!$K$329:$K$345, 0 ) )</f>
        <v>ANH</v>
      </c>
      <c r="E56" s="157">
        <f xml:space="preserve"> _xlfn.IFNA( VLOOKUP( $D56, INPUTS│Outcomes!$C$290:$L$308, MATCH( Year, INPUTS│Outcomes!$C$2:$L$2, 0 ), 0 ), 0 )</f>
        <v>3.09</v>
      </c>
      <c r="F56" s="157">
        <f xml:space="preserve"> _xlfn.IFNA( VLOOKUP( $D56, INPUTS│Outcomes!$C$312:$L$330, MATCH( Year, INPUTS│Outcomes!$C$2:$L$2, 0 ), 0 ), 0 )</f>
        <v>5.6719999999999997</v>
      </c>
      <c r="G56" s="157">
        <f xml:space="preserve"> _xlfn.IFNA( VLOOKUP( $D56, INPUTS│Outcomes!$C$334:$L$345, MATCH( Year, INPUTS│Outcomes!$C$2:$L$2, 0 ), 0 ), 0 )</f>
        <v>0</v>
      </c>
      <c r="H56" s="157">
        <f xml:space="preserve"> _xlfn.IFNA( VLOOKUP( $D56, INPUTS│Outcomes!$C$349:$L$360, MATCH( Year, INPUTS│Outcomes!$C$2:$L$2, 0 ), 0 ), 0 )</f>
        <v>3.2204999999999999</v>
      </c>
      <c r="I56" s="157">
        <f xml:space="preserve"> _xlfn.IFNA( VLOOKUP( $D56, INPUTS│Outcomes!$C$364:$L$382, MATCH( Year, INPUTS│Outcomes!$C$2:$L$2, 0 ), 0 ), 0 )</f>
        <v>0.20889999999999997</v>
      </c>
      <c r="J56" s="111">
        <f xml:space="preserve"> LARGE( CALCS│Outcomes!$K$329:$K$345, $C56 )</f>
        <v>12.1914</v>
      </c>
    </row>
    <row r="57" spans="2:18" outlineLevel="1" x14ac:dyDescent="0.2">
      <c r="C57" s="86">
        <v>3</v>
      </c>
      <c r="D57" s="208" t="str">
        <f xml:space="preserve"> INDEX( CALCS│Outcomes!$C$329:$C$345, MATCH( $J57, CALCS│Outcomes!$K$329:$K$345, 0 ) )</f>
        <v>YKY</v>
      </c>
      <c r="E57" s="157">
        <f xml:space="preserve"> _xlfn.IFNA( VLOOKUP( $D57, INPUTS│Outcomes!$C$290:$L$308, MATCH( Year, INPUTS│Outcomes!$C$2:$L$2, 0 ), 0 ), 0 )</f>
        <v>0</v>
      </c>
      <c r="F57" s="157">
        <f xml:space="preserve"> _xlfn.IFNA( VLOOKUP( $D57, INPUTS│Outcomes!$C$312:$L$330, MATCH( Year, INPUTS│Outcomes!$C$2:$L$2, 0 ), 0 ), 0 )</f>
        <v>4.0176782799999975</v>
      </c>
      <c r="G57" s="157">
        <f xml:space="preserve"> _xlfn.IFNA( VLOOKUP( $D57, INPUTS│Outcomes!$C$334:$L$345, MATCH( Year, INPUTS│Outcomes!$C$2:$L$2, 0 ), 0 ), 0 )</f>
        <v>6.6696520000000001</v>
      </c>
      <c r="H57" s="157">
        <f xml:space="preserve"> _xlfn.IFNA( VLOOKUP( $D57, INPUTS│Outcomes!$C$349:$L$360, MATCH( Year, INPUTS│Outcomes!$C$2:$L$2, 0 ), 0 ), 0 )</f>
        <v>4.2580589999999994</v>
      </c>
      <c r="I57" s="157">
        <f xml:space="preserve"> _xlfn.IFNA( VLOOKUP( $D57, INPUTS│Outcomes!$C$364:$L$382, MATCH( Year, INPUTS│Outcomes!$C$2:$L$2, 0 ), 0 ), 0 )</f>
        <v>-6.1091691999999993</v>
      </c>
      <c r="J57" s="111">
        <f xml:space="preserve"> LARGE( CALCS│Outcomes!$K$329:$K$345, $C57 )</f>
        <v>8.8362200799999968</v>
      </c>
    </row>
    <row r="58" spans="2:18" outlineLevel="1" x14ac:dyDescent="0.2">
      <c r="C58" s="86">
        <v>4</v>
      </c>
      <c r="D58" s="208" t="str">
        <f xml:space="preserve"> INDEX( CALCS│Outcomes!$C$329:$C$345, MATCH( $J58, CALCS│Outcomes!$K$329:$K$345, 0 ) )</f>
        <v>SWB</v>
      </c>
      <c r="E58" s="157">
        <f xml:space="preserve"> _xlfn.IFNA( VLOOKUP( $D58, INPUTS│Outcomes!$C$290:$L$308, MATCH( Year, INPUTS│Outcomes!$C$2:$L$2, 0 ), 0 ), 0 )</f>
        <v>0</v>
      </c>
      <c r="F58" s="157">
        <f xml:space="preserve"> _xlfn.IFNA( VLOOKUP( $D58, INPUTS│Outcomes!$C$312:$L$330, MATCH( Year, INPUTS│Outcomes!$C$2:$L$2, 0 ), 0 ), 0 )</f>
        <v>0.34470000000000001</v>
      </c>
      <c r="G58" s="157">
        <f xml:space="preserve"> _xlfn.IFNA( VLOOKUP( $D58, INPUTS│Outcomes!$C$334:$L$345, MATCH( Year, INPUTS│Outcomes!$C$2:$L$2, 0 ), 0 ), 0 )</f>
        <v>2.1760000000000002</v>
      </c>
      <c r="H58" s="157">
        <f xml:space="preserve"> _xlfn.IFNA( VLOOKUP( $D58, INPUTS│Outcomes!$C$349:$L$360, MATCH( Year, INPUTS│Outcomes!$C$2:$L$2, 0 ), 0 ), 0 )</f>
        <v>-0.79400000000000004</v>
      </c>
      <c r="I58" s="157">
        <f xml:space="preserve"> _xlfn.IFNA( VLOOKUP( $D58, INPUTS│Outcomes!$C$364:$L$382, MATCH( Year, INPUTS│Outcomes!$C$2:$L$2, 0 ), 0 ), 0 )</f>
        <v>2.4051</v>
      </c>
      <c r="J58" s="111">
        <f xml:space="preserve"> LARGE( CALCS│Outcomes!$K$329:$K$345, $C58 )</f>
        <v>4.1318000000000001</v>
      </c>
    </row>
    <row r="59" spans="2:18" outlineLevel="1" x14ac:dyDescent="0.2">
      <c r="C59" s="86">
        <v>5</v>
      </c>
      <c r="D59" s="208" t="str">
        <f xml:space="preserve"> INDEX( CALCS│Outcomes!$C$329:$C$345, MATCH( $J59, CALCS│Outcomes!$K$329:$K$345, 0 ) )</f>
        <v>WSX</v>
      </c>
      <c r="E59" s="157">
        <f xml:space="preserve"> _xlfn.IFNA( VLOOKUP( $D59, INPUTS│Outcomes!$C$290:$L$308, MATCH( Year, INPUTS│Outcomes!$C$2:$L$2, 0 ), 0 ), 0 )</f>
        <v>0</v>
      </c>
      <c r="F59" s="157">
        <f xml:space="preserve"> _xlfn.IFNA( VLOOKUP( $D59, INPUTS│Outcomes!$C$312:$L$330, MATCH( Year, INPUTS│Outcomes!$C$2:$L$2, 0 ), 0 ), 0 )</f>
        <v>0.22589999999999999</v>
      </c>
      <c r="G59" s="157">
        <f xml:space="preserve"> _xlfn.IFNA( VLOOKUP( $D59, INPUTS│Outcomes!$C$334:$L$345, MATCH( Year, INPUTS│Outcomes!$C$2:$L$2, 0 ), 0 ), 0 )</f>
        <v>2.448</v>
      </c>
      <c r="H59" s="157">
        <f xml:space="preserve"> _xlfn.IFNA( VLOOKUP( $D59, INPUTS│Outcomes!$C$349:$L$360, MATCH( Year, INPUTS│Outcomes!$C$2:$L$2, 0 ), 0 ), 0 )</f>
        <v>0</v>
      </c>
      <c r="I59" s="157">
        <f xml:space="preserve"> _xlfn.IFNA( VLOOKUP( $D59, INPUTS│Outcomes!$C$364:$L$382, MATCH( Year, INPUTS│Outcomes!$C$2:$L$2, 0 ), 0 ), 0 )</f>
        <v>-0.17200000000000001</v>
      </c>
      <c r="J59" s="111">
        <f xml:space="preserve"> LARGE( CALCS│Outcomes!$K$329:$K$345, $C59 )</f>
        <v>2.5018999999999996</v>
      </c>
    </row>
    <row r="60" spans="2:18" outlineLevel="1" x14ac:dyDescent="0.2">
      <c r="C60" s="86">
        <v>6</v>
      </c>
      <c r="D60" s="208" t="str">
        <f xml:space="preserve"> INDEX( CALCS│Outcomes!$C$329:$C$345, MATCH( $J60, CALCS│Outcomes!$K$329:$K$345, 0 ) )</f>
        <v>SSC</v>
      </c>
      <c r="E60" s="157">
        <f xml:space="preserve"> _xlfn.IFNA( VLOOKUP( $D60, INPUTS│Outcomes!$C$290:$L$308, MATCH( Year, INPUTS│Outcomes!$C$2:$L$2, 0 ), 0 ), 0 )</f>
        <v>0</v>
      </c>
      <c r="F60" s="157">
        <f xml:space="preserve"> _xlfn.IFNA( VLOOKUP( $D60, INPUTS│Outcomes!$C$312:$L$330, MATCH( Year, INPUTS│Outcomes!$C$2:$L$2, 0 ), 0 ), 0 )</f>
        <v>0.83809999999999996</v>
      </c>
      <c r="G60" s="157">
        <f xml:space="preserve"> _xlfn.IFNA( VLOOKUP( $D60, INPUTS│Outcomes!$C$334:$L$345, MATCH( Year, INPUTS│Outcomes!$C$2:$L$2, 0 ), 0 ), 0 )</f>
        <v>0</v>
      </c>
      <c r="H60" s="157">
        <f xml:space="preserve"> _xlfn.IFNA( VLOOKUP( $D60, INPUTS│Outcomes!$C$349:$L$360, MATCH( Year, INPUTS│Outcomes!$C$2:$L$2, 0 ), 0 ), 0 )</f>
        <v>0</v>
      </c>
      <c r="I60" s="157">
        <f xml:space="preserve"> _xlfn.IFNA( VLOOKUP( $D60, INPUTS│Outcomes!$C$364:$L$382, MATCH( Year, INPUTS│Outcomes!$C$2:$L$2, 0 ), 0 ), 0 )</f>
        <v>-0.60719999999999996</v>
      </c>
      <c r="J60" s="111">
        <f xml:space="preserve"> LARGE( CALCS│Outcomes!$K$329:$K$345, $C60 )</f>
        <v>0.23089999999999999</v>
      </c>
    </row>
    <row r="61" spans="2:18" outlineLevel="1" x14ac:dyDescent="0.2">
      <c r="C61" s="86">
        <v>7</v>
      </c>
      <c r="D61" s="208" t="str">
        <f xml:space="preserve"> INDEX( CALCS│Outcomes!$C$329:$C$345, MATCH( $J61, CALCS│Outcomes!$K$329:$K$345, 0 ) )</f>
        <v>SEW</v>
      </c>
      <c r="E61" s="157">
        <f xml:space="preserve"> _xlfn.IFNA( VLOOKUP( $D61, INPUTS│Outcomes!$C$290:$L$308, MATCH( Year, INPUTS│Outcomes!$C$2:$L$2, 0 ), 0 ), 0 )</f>
        <v>0.37799999999999639</v>
      </c>
      <c r="F61" s="157">
        <f xml:space="preserve"> _xlfn.IFNA( VLOOKUP( $D61, INPUTS│Outcomes!$C$312:$L$330, MATCH( Year, INPUTS│Outcomes!$C$2:$L$2, 0 ), 0 ), 0 )</f>
        <v>-0.2928639999999999</v>
      </c>
      <c r="G61" s="157">
        <f xml:space="preserve"> _xlfn.IFNA( VLOOKUP( $D61, INPUTS│Outcomes!$C$334:$L$345, MATCH( Year, INPUTS│Outcomes!$C$2:$L$2, 0 ), 0 ), 0 )</f>
        <v>0</v>
      </c>
      <c r="H61" s="157">
        <f xml:space="preserve"> _xlfn.IFNA( VLOOKUP( $D61, INPUTS│Outcomes!$C$349:$L$360, MATCH( Year, INPUTS│Outcomes!$C$2:$L$2, 0 ), 0 ), 0 )</f>
        <v>0</v>
      </c>
      <c r="I61" s="157">
        <f xml:space="preserve"> _xlfn.IFNA( VLOOKUP( $D61, INPUTS│Outcomes!$C$364:$L$382, MATCH( Year, INPUTS│Outcomes!$C$2:$L$2, 0 ), 0 ), 0 )</f>
        <v>-0.13163999999999965</v>
      </c>
      <c r="J61" s="158">
        <f xml:space="preserve"> LARGE( CALCS│Outcomes!$K$329:$K$345, $C61 )</f>
        <v>-4.6504000000003154E-2</v>
      </c>
    </row>
    <row r="62" spans="2:18" outlineLevel="1" x14ac:dyDescent="0.2">
      <c r="C62" s="86">
        <v>8</v>
      </c>
      <c r="D62" s="208" t="str">
        <f xml:space="preserve"> INDEX( CALCS│Outcomes!$C$329:$C$345, MATCH( $J62, CALCS│Outcomes!$K$329:$K$345, 0 ) )</f>
        <v>SES</v>
      </c>
      <c r="E62" s="157">
        <f xml:space="preserve"> _xlfn.IFNA( VLOOKUP( $D62, INPUTS│Outcomes!$C$290:$L$308, MATCH( Year, INPUTS│Outcomes!$C$2:$L$2, 0 ), 0 ), 0 )</f>
        <v>0</v>
      </c>
      <c r="F62" s="157">
        <f xml:space="preserve"> _xlfn.IFNA( VLOOKUP( $D62, INPUTS│Outcomes!$C$312:$L$330, MATCH( Year, INPUTS│Outcomes!$C$2:$L$2, 0 ), 0 ), 0 )</f>
        <v>-0.13700000000000001</v>
      </c>
      <c r="G62" s="157">
        <f xml:space="preserve"> _xlfn.IFNA( VLOOKUP( $D62, INPUTS│Outcomes!$C$334:$L$345, MATCH( Year, INPUTS│Outcomes!$C$2:$L$2, 0 ), 0 ), 0 )</f>
        <v>0</v>
      </c>
      <c r="H62" s="157">
        <f xml:space="preserve"> _xlfn.IFNA( VLOOKUP( $D62, INPUTS│Outcomes!$C$349:$L$360, MATCH( Year, INPUTS│Outcomes!$C$2:$L$2, 0 ), 0 ), 0 )</f>
        <v>0</v>
      </c>
      <c r="I62" s="157">
        <f xml:space="preserve"> _xlfn.IFNA( VLOOKUP( $D62, INPUTS│Outcomes!$C$364:$L$382, MATCH( Year, INPUTS│Outcomes!$C$2:$L$2, 0 ), 0 ), 0 )</f>
        <v>-1.2999999999999999E-2</v>
      </c>
      <c r="J62" s="111">
        <f xml:space="preserve"> LARGE( CALCS│Outcomes!$K$329:$K$345, $C62 )</f>
        <v>-0.15000000000000002</v>
      </c>
    </row>
    <row r="63" spans="2:18" outlineLevel="1" x14ac:dyDescent="0.2">
      <c r="C63" s="86">
        <v>9</v>
      </c>
      <c r="D63" s="208" t="str">
        <f xml:space="preserve"> INDEX( CALCS│Outcomes!$C$329:$C$345, MATCH( $J63, CALCS│Outcomes!$K$329:$K$345, 0 ) )</f>
        <v>SRN</v>
      </c>
      <c r="E63" s="157">
        <f xml:space="preserve"> _xlfn.IFNA( VLOOKUP( $D63, INPUTS│Outcomes!$C$290:$L$308, MATCH( Year, INPUTS│Outcomes!$C$2:$L$2, 0 ), 0 ), 0 )</f>
        <v>0</v>
      </c>
      <c r="F63" s="157">
        <f xml:space="preserve"> _xlfn.IFNA( VLOOKUP( $D63, INPUTS│Outcomes!$C$312:$L$330, MATCH( Year, INPUTS│Outcomes!$C$2:$L$2, 0 ), 0 ), 0 )</f>
        <v>0</v>
      </c>
      <c r="G63" s="157">
        <f xml:space="preserve"> _xlfn.IFNA( VLOOKUP( $D63, INPUTS│Outcomes!$C$334:$L$345, MATCH( Year, INPUTS│Outcomes!$C$2:$L$2, 0 ), 0 ), 0 )</f>
        <v>0</v>
      </c>
      <c r="H63" s="157">
        <f xml:space="preserve"> _xlfn.IFNA( VLOOKUP( $D63, INPUTS│Outcomes!$C$349:$L$360, MATCH( Year, INPUTS│Outcomes!$C$2:$L$2, 0 ), 0 ), 0 )</f>
        <v>0</v>
      </c>
      <c r="I63" s="157">
        <f xml:space="preserve"> _xlfn.IFNA( VLOOKUP( $D63, INPUTS│Outcomes!$C$364:$L$382, MATCH( Year, INPUTS│Outcomes!$C$2:$L$2, 0 ), 0 ), 0 )</f>
        <v>-0.34600000000000009</v>
      </c>
      <c r="J63" s="111">
        <f xml:space="preserve"> LARGE( CALCS│Outcomes!$K$329:$K$345, $C63 )</f>
        <v>-0.34600000000000009</v>
      </c>
    </row>
    <row r="64" spans="2:18" outlineLevel="1" x14ac:dyDescent="0.2">
      <c r="C64" s="86">
        <v>10</v>
      </c>
      <c r="D64" s="208" t="str">
        <f xml:space="preserve"> INDEX( CALCS│Outcomes!$C$329:$C$345, MATCH( $J64, CALCS│Outcomes!$K$329:$K$345, 0 ) )</f>
        <v>WSH</v>
      </c>
      <c r="E64" s="157">
        <f xml:space="preserve"> _xlfn.IFNA( VLOOKUP( $D64, INPUTS│Outcomes!$C$290:$L$308, MATCH( Year, INPUTS│Outcomes!$C$2:$L$2, 0 ), 0 ), 0 )</f>
        <v>0</v>
      </c>
      <c r="F64" s="157">
        <f xml:space="preserve"> _xlfn.IFNA( VLOOKUP( $D64, INPUTS│Outcomes!$C$312:$L$330, MATCH( Year, INPUTS│Outcomes!$C$2:$L$2, 0 ), 0 ), 0 )</f>
        <v>-0.78</v>
      </c>
      <c r="G64" s="157">
        <f xml:space="preserve"> _xlfn.IFNA( VLOOKUP( $D64, INPUTS│Outcomes!$C$334:$L$345, MATCH( Year, INPUTS│Outcomes!$C$2:$L$2, 0 ), 0 ), 0 )</f>
        <v>1.6739999999999999</v>
      </c>
      <c r="H64" s="157">
        <f xml:space="preserve"> _xlfn.IFNA( VLOOKUP( $D64, INPUTS│Outcomes!$C$349:$L$360, MATCH( Year, INPUTS│Outcomes!$C$2:$L$2, 0 ), 0 ), 0 )</f>
        <v>0.61099999999999999</v>
      </c>
      <c r="I64" s="157">
        <f xml:space="preserve"> _xlfn.IFNA( VLOOKUP( $D64, INPUTS│Outcomes!$C$364:$L$382, MATCH( Year, INPUTS│Outcomes!$C$2:$L$2, 0 ), 0 ), 0 )</f>
        <v>-1.86</v>
      </c>
      <c r="J64" s="111">
        <f xml:space="preserve"> LARGE( CALCS│Outcomes!$K$329:$K$345, $C64 )</f>
        <v>-0.3550000000000002</v>
      </c>
    </row>
    <row r="65" spans="3:18" outlineLevel="1" x14ac:dyDescent="0.2">
      <c r="C65" s="86">
        <v>11</v>
      </c>
      <c r="D65" s="208" t="str">
        <f xml:space="preserve"> INDEX( CALCS│Outcomes!$C$329:$C$345, MATCH( $J65, CALCS│Outcomes!$K$329:$K$345, 0 ) )</f>
        <v>PRT</v>
      </c>
      <c r="E65" s="157">
        <f xml:space="preserve"> _xlfn.IFNA( VLOOKUP( $D65, INPUTS│Outcomes!$C$290:$L$308, MATCH( Year, INPUTS│Outcomes!$C$2:$L$2, 0 ), 0 ), 0 )</f>
        <v>0</v>
      </c>
      <c r="F65" s="157">
        <f xml:space="preserve"> _xlfn.IFNA( VLOOKUP( $D65, INPUTS│Outcomes!$C$312:$L$330, MATCH( Year, INPUTS│Outcomes!$C$2:$L$2, 0 ), 0 ), 0 )</f>
        <v>1.2087000000000001E-2</v>
      </c>
      <c r="G65" s="157">
        <f xml:space="preserve"> _xlfn.IFNA( VLOOKUP( $D65, INPUTS│Outcomes!$C$334:$L$345, MATCH( Year, INPUTS│Outcomes!$C$2:$L$2, 0 ), 0 ), 0 )</f>
        <v>0</v>
      </c>
      <c r="H65" s="157">
        <f xml:space="preserve"> _xlfn.IFNA( VLOOKUP( $D65, INPUTS│Outcomes!$C$349:$L$360, MATCH( Year, INPUTS│Outcomes!$C$2:$L$2, 0 ), 0 ), 0 )</f>
        <v>0</v>
      </c>
      <c r="I65" s="157">
        <f xml:space="preserve"> _xlfn.IFNA( VLOOKUP( $D65, INPUTS│Outcomes!$C$364:$L$382, MATCH( Year, INPUTS│Outcomes!$C$2:$L$2, 0 ), 0 ), 0 )</f>
        <v>-0.380604</v>
      </c>
      <c r="J65" s="111">
        <f xml:space="preserve"> LARGE( CALCS│Outcomes!$K$329:$K$345, $C65 )</f>
        <v>-0.36851699999999998</v>
      </c>
    </row>
    <row r="66" spans="3:18" outlineLevel="1" x14ac:dyDescent="0.2">
      <c r="C66" s="86">
        <v>12</v>
      </c>
      <c r="D66" s="208" t="str">
        <f xml:space="preserve"> INDEX( CALCS│Outcomes!$C$329:$C$345, MATCH( $J66, CALCS│Outcomes!$K$329:$K$345, 0 ) )</f>
        <v>HDD</v>
      </c>
      <c r="E66" s="157">
        <f xml:space="preserve"> _xlfn.IFNA( VLOOKUP( $D66, INPUTS│Outcomes!$C$290:$L$308, MATCH( Year, INPUTS│Outcomes!$C$2:$L$2, 0 ), 0 ), 0 )</f>
        <v>-3.9699999999999999E-2</v>
      </c>
      <c r="F66" s="157">
        <f xml:space="preserve"> _xlfn.IFNA( VLOOKUP( $D66, INPUTS│Outcomes!$C$312:$L$330, MATCH( Year, INPUTS│Outcomes!$C$2:$L$2, 0 ), 0 ), 0 )</f>
        <v>-0.27050199999999996</v>
      </c>
      <c r="G66" s="157">
        <f xml:space="preserve"> _xlfn.IFNA( VLOOKUP( $D66, INPUTS│Outcomes!$C$334:$L$345, MATCH( Year, INPUTS│Outcomes!$C$2:$L$2, 0 ), 0 ), 0 )</f>
        <v>1.2329999999999999E-3</v>
      </c>
      <c r="H66" s="157">
        <f xml:space="preserve"> _xlfn.IFNA( VLOOKUP( $D66, INPUTS│Outcomes!$C$349:$L$360, MATCH( Year, INPUTS│Outcomes!$C$2:$L$2, 0 ), 0 ), 0 )</f>
        <v>2.0695000000000002E-3</v>
      </c>
      <c r="I66" s="157">
        <f xml:space="preserve"> _xlfn.IFNA( VLOOKUP( $D66, INPUTS│Outcomes!$C$364:$L$382, MATCH( Year, INPUTS│Outcomes!$C$2:$L$2, 0 ), 0 ), 0 )</f>
        <v>-0.12256709999999998</v>
      </c>
      <c r="J66" s="111">
        <f xml:space="preserve"> LARGE( CALCS│Outcomes!$K$329:$K$345, $C66 )</f>
        <v>-0.42946659999999998</v>
      </c>
    </row>
    <row r="67" spans="3:18" outlineLevel="1" x14ac:dyDescent="0.2">
      <c r="C67" s="86">
        <v>13</v>
      </c>
      <c r="D67" s="208" t="str">
        <f xml:space="preserve"> INDEX( CALCS│Outcomes!$C$329:$C$345, MATCH( $J67, CALCS│Outcomes!$K$329:$K$345, 0 ) )</f>
        <v>NES</v>
      </c>
      <c r="E67" s="157">
        <f xml:space="preserve"> _xlfn.IFNA( VLOOKUP( $D67, INPUTS│Outcomes!$C$290:$L$308, MATCH( Year, INPUTS│Outcomes!$C$2:$L$2, 0 ), 0 ), 0 )</f>
        <v>0</v>
      </c>
      <c r="F67" s="157">
        <f xml:space="preserve"> _xlfn.IFNA( VLOOKUP( $D67, INPUTS│Outcomes!$C$312:$L$330, MATCH( Year, INPUTS│Outcomes!$C$2:$L$2, 0 ), 0 ), 0 )</f>
        <v>0</v>
      </c>
      <c r="G67" s="157">
        <f xml:space="preserve"> _xlfn.IFNA( VLOOKUP( $D67, INPUTS│Outcomes!$C$334:$L$345, MATCH( Year, INPUTS│Outcomes!$C$2:$L$2, 0 ), 0 ), 0 )</f>
        <v>0.80600000000000005</v>
      </c>
      <c r="H67" s="157">
        <f xml:space="preserve"> _xlfn.IFNA( VLOOKUP( $D67, INPUTS│Outcomes!$C$349:$L$360, MATCH( Year, INPUTS│Outcomes!$C$2:$L$2, 0 ), 0 ), 0 )</f>
        <v>6.4000000000000001E-2</v>
      </c>
      <c r="I67" s="157">
        <f xml:space="preserve"> _xlfn.IFNA( VLOOKUP( $D67, INPUTS│Outcomes!$C$364:$L$382, MATCH( Year, INPUTS│Outcomes!$C$2:$L$2, 0 ), 0 ), 0 )</f>
        <v>-4.0587999999999997</v>
      </c>
      <c r="J67" s="111">
        <f xml:space="preserve"> LARGE( CALCS│Outcomes!$K$329:$K$345, $C67 )</f>
        <v>-3.1887999999999996</v>
      </c>
    </row>
    <row r="68" spans="3:18" outlineLevel="1" x14ac:dyDescent="0.2">
      <c r="C68" s="86">
        <v>14</v>
      </c>
      <c r="D68" s="208" t="str">
        <f xml:space="preserve"> INDEX( CALCS│Outcomes!$C$329:$C$345, MATCH( $J68, CALCS│Outcomes!$K$329:$K$345, 0 ) )</f>
        <v>SVE</v>
      </c>
      <c r="E68" s="157">
        <f xml:space="preserve"> _xlfn.IFNA( VLOOKUP( $D68, INPUTS│Outcomes!$C$290:$L$308, MATCH( Year, INPUTS│Outcomes!$C$2:$L$2, 0 ), 0 ), 0 )</f>
        <v>-2.2808000000000002</v>
      </c>
      <c r="F68" s="157">
        <f xml:space="preserve"> _xlfn.IFNA( VLOOKUP( $D68, INPUTS│Outcomes!$C$312:$L$330, MATCH( Year, INPUTS│Outcomes!$C$2:$L$2, 0 ), 0 ), 0 )</f>
        <v>-7.7125120000000003</v>
      </c>
      <c r="G68" s="157">
        <f xml:space="preserve"> _xlfn.IFNA( VLOOKUP( $D68, INPUTS│Outcomes!$C$334:$L$345, MATCH( Year, INPUTS│Outcomes!$C$2:$L$2, 0 ), 0 ), 0 )</f>
        <v>-1.0055829999999999</v>
      </c>
      <c r="H68" s="157">
        <f xml:space="preserve"> _xlfn.IFNA( VLOOKUP( $D68, INPUTS│Outcomes!$C$349:$L$360, MATCH( Year, INPUTS│Outcomes!$C$2:$L$2, 0 ), 0 ), 0 )</f>
        <v>0.46828599999999998</v>
      </c>
      <c r="I68" s="157">
        <f xml:space="preserve"> _xlfn.IFNA( VLOOKUP( $D68, INPUTS│Outcomes!$C$364:$L$382, MATCH( Year, INPUTS│Outcomes!$C$2:$L$2, 0 ), 0 ), 0 )</f>
        <v>7.2277429999999985</v>
      </c>
      <c r="J68" s="111">
        <f xml:space="preserve"> LARGE( CALCS│Outcomes!$K$329:$K$345, $C68 )</f>
        <v>-3.3028659999999999</v>
      </c>
    </row>
    <row r="69" spans="3:18" outlineLevel="1" x14ac:dyDescent="0.2">
      <c r="C69" s="86">
        <v>15</v>
      </c>
      <c r="D69" s="208" t="str">
        <f xml:space="preserve"> INDEX( CALCS│Outcomes!$C$329:$C$345, MATCH( $J69, CALCS│Outcomes!$K$329:$K$345, 0 ) )</f>
        <v>BRL</v>
      </c>
      <c r="E69" s="157">
        <f xml:space="preserve"> _xlfn.IFNA( VLOOKUP( $D69, INPUTS│Outcomes!$C$290:$L$308, MATCH( Year, INPUTS│Outcomes!$C$2:$L$2, 0 ), 0 ), 0 )</f>
        <v>-1.804</v>
      </c>
      <c r="F69" s="157">
        <f xml:space="preserve"> _xlfn.IFNA( VLOOKUP( $D69, INPUTS│Outcomes!$C$312:$L$330, MATCH( Year, INPUTS│Outcomes!$C$2:$L$2, 0 ), 0 ), 0 )</f>
        <v>-0.7389</v>
      </c>
      <c r="G69" s="157">
        <f xml:space="preserve"> _xlfn.IFNA( VLOOKUP( $D69, INPUTS│Outcomes!$C$334:$L$345, MATCH( Year, INPUTS│Outcomes!$C$2:$L$2, 0 ), 0 ), 0 )</f>
        <v>0</v>
      </c>
      <c r="H69" s="157">
        <f xml:space="preserve"> _xlfn.IFNA( VLOOKUP( $D69, INPUTS│Outcomes!$C$349:$L$360, MATCH( Year, INPUTS│Outcomes!$C$2:$L$2, 0 ), 0 ), 0 )</f>
        <v>0</v>
      </c>
      <c r="I69" s="157">
        <f xml:space="preserve"> _xlfn.IFNA( VLOOKUP( $D69, INPUTS│Outcomes!$C$364:$L$382, MATCH( Year, INPUTS│Outcomes!$C$2:$L$2, 0 ), 0 ), 0 )</f>
        <v>-0.83700000000000008</v>
      </c>
      <c r="J69" s="111">
        <f xml:space="preserve"> LARGE( CALCS│Outcomes!$K$329:$K$345, $C69 )</f>
        <v>-3.3799000000000001</v>
      </c>
    </row>
    <row r="70" spans="3:18" outlineLevel="1" x14ac:dyDescent="0.2">
      <c r="C70" s="86">
        <v>16</v>
      </c>
      <c r="D70" s="208" t="str">
        <f xml:space="preserve"> INDEX( CALCS│Outcomes!$C$329:$C$345, MATCH( $J70, CALCS│Outcomes!$K$329:$K$345, 0 ) )</f>
        <v>AFW</v>
      </c>
      <c r="E70" s="157">
        <f xml:space="preserve"> _xlfn.IFNA( VLOOKUP( $D70, INPUTS│Outcomes!$C$290:$L$308, MATCH( Year, INPUTS│Outcomes!$C$2:$L$2, 0 ), 0 ), 0 )</f>
        <v>-6.9720000000000004</v>
      </c>
      <c r="F70" s="157">
        <f xml:space="preserve"> _xlfn.IFNA( VLOOKUP( $D70, INPUTS│Outcomes!$C$312:$L$330, MATCH( Year, INPUTS│Outcomes!$C$2:$L$2, 0 ), 0 ), 0 )</f>
        <v>0</v>
      </c>
      <c r="G70" s="157">
        <f xml:space="preserve"> _xlfn.IFNA( VLOOKUP( $D70, INPUTS│Outcomes!$C$334:$L$345, MATCH( Year, INPUTS│Outcomes!$C$2:$L$2, 0 ), 0 ), 0 )</f>
        <v>0</v>
      </c>
      <c r="H70" s="157">
        <f xml:space="preserve"> _xlfn.IFNA( VLOOKUP( $D70, INPUTS│Outcomes!$C$349:$L$360, MATCH( Year, INPUTS│Outcomes!$C$2:$L$2, 0 ), 0 ), 0 )</f>
        <v>0</v>
      </c>
      <c r="I70" s="157">
        <f xml:space="preserve"> _xlfn.IFNA( VLOOKUP( $D70, INPUTS│Outcomes!$C$364:$L$382, MATCH( Year, INPUTS│Outcomes!$C$2:$L$2, 0 ), 0 ), 0 )</f>
        <v>0</v>
      </c>
      <c r="J70" s="111">
        <f xml:space="preserve"> LARGE( CALCS│Outcomes!$K$329:$K$345, $C70 )</f>
        <v>-6.9720000000000004</v>
      </c>
    </row>
    <row r="71" spans="3:18" outlineLevel="1" x14ac:dyDescent="0.2">
      <c r="C71" s="86">
        <v>17</v>
      </c>
      <c r="D71" s="208" t="str">
        <f xml:space="preserve"> INDEX( CALCS│Outcomes!$C$329:$C$345, MATCH( $J71, CALCS│Outcomes!$K$329:$K$345, 0 ) )</f>
        <v>TMS</v>
      </c>
      <c r="E71" s="157">
        <f xml:space="preserve"> _xlfn.IFNA( VLOOKUP( $D71, INPUTS│Outcomes!$C$290:$L$308, MATCH( Year, INPUTS│Outcomes!$C$2:$L$2, 0 ), 0 ), 0 )</f>
        <v>-35.1</v>
      </c>
      <c r="F71" s="157">
        <f xml:space="preserve"> _xlfn.IFNA( VLOOKUP( $D71, INPUTS│Outcomes!$C$312:$L$330, MATCH( Year, INPUTS│Outcomes!$C$2:$L$2, 0 ), 0 ), 0 )</f>
        <v>-10.67</v>
      </c>
      <c r="G71" s="157">
        <f xml:space="preserve"> _xlfn.IFNA( VLOOKUP( $D71, INPUTS│Outcomes!$C$334:$L$345, MATCH( Year, INPUTS│Outcomes!$C$2:$L$2, 0 ), 0 ), 0 )</f>
        <v>2.915</v>
      </c>
      <c r="H71" s="157">
        <f xml:space="preserve"> _xlfn.IFNA( VLOOKUP( $D71, INPUTS│Outcomes!$C$349:$L$360, MATCH( Year, INPUTS│Outcomes!$C$2:$L$2, 0 ), 0 ), 0 )</f>
        <v>0</v>
      </c>
      <c r="I71" s="157">
        <f xml:space="preserve"> _xlfn.IFNA( VLOOKUP( $D71, INPUTS│Outcomes!$C$364:$L$382, MATCH( Year, INPUTS│Outcomes!$C$2:$L$2, 0 ), 0 ), 0 )</f>
        <v>-8.8059399999999997</v>
      </c>
      <c r="J71" s="111">
        <f xml:space="preserve"> LARGE( CALCS│Outcomes!$K$329:$K$345, $C71 )</f>
        <v>-51.660940000000004</v>
      </c>
    </row>
    <row r="72" spans="3:18" outlineLevel="1" x14ac:dyDescent="0.2">
      <c r="E72" s="156"/>
    </row>
    <row r="73" spans="3:18" outlineLevel="1" x14ac:dyDescent="0.2">
      <c r="D73" s="8" t="s">
        <v>553</v>
      </c>
      <c r="E73" s="156"/>
      <c r="K73" s="157">
        <f xml:space="preserve"> CALCS│Outcomes!H347</f>
        <v>31.688269106078121</v>
      </c>
    </row>
    <row r="74" spans="3:18" outlineLevel="1" x14ac:dyDescent="0.2">
      <c r="D74" s="8" t="s">
        <v>554</v>
      </c>
      <c r="E74" s="156"/>
      <c r="L74" s="157">
        <f xml:space="preserve"> CALCS│Outcomes!I347</f>
        <v>58.961326542521626</v>
      </c>
    </row>
    <row r="75" spans="3:18" outlineLevel="1" x14ac:dyDescent="0.2">
      <c r="D75" s="8" t="s">
        <v>555</v>
      </c>
      <c r="E75" s="156"/>
      <c r="M75" s="157">
        <f xml:space="preserve"> CALCS│Outcomes!J347</f>
        <v>44.447184402499964</v>
      </c>
    </row>
    <row r="76" spans="3:18" outlineLevel="1" x14ac:dyDescent="0.2">
      <c r="D76" s="8" t="s">
        <v>556</v>
      </c>
      <c r="E76" s="156"/>
      <c r="N76" s="157">
        <f xml:space="preserve"> CALCS│Outcomes!K347</f>
        <v>-23.061781520000011</v>
      </c>
    </row>
    <row r="77" spans="3:18" outlineLevel="1" x14ac:dyDescent="0.2">
      <c r="E77" s="156"/>
    </row>
    <row r="78" spans="3:18" s="88" customFormat="1" ht="13.5" outlineLevel="1" x14ac:dyDescent="0.25">
      <c r="C78" s="191" t="str">
        <f xml:space="preserve"> Year &amp; " incentive payments (£m)"</f>
        <v>2018-19 incentive payments (£m)</v>
      </c>
      <c r="D78" s="190"/>
      <c r="E78" s="190"/>
      <c r="F78" s="190"/>
      <c r="G78" s="190"/>
      <c r="H78" s="190"/>
      <c r="I78" s="190"/>
      <c r="J78" s="190"/>
      <c r="K78" s="190"/>
      <c r="L78" s="190"/>
      <c r="M78" s="190"/>
      <c r="N78" s="190"/>
      <c r="O78" s="190"/>
      <c r="P78" s="190"/>
      <c r="Q78" s="190"/>
      <c r="R78" s="190"/>
    </row>
    <row r="79" spans="3:18" outlineLevel="1" x14ac:dyDescent="0.2">
      <c r="E79" s="156"/>
    </row>
    <row r="80" spans="3:18" outlineLevel="1" x14ac:dyDescent="0.2">
      <c r="E80" s="156"/>
    </row>
    <row r="81" spans="5:5" outlineLevel="1" x14ac:dyDescent="0.2">
      <c r="E81" s="156"/>
    </row>
    <row r="82" spans="5:5" outlineLevel="1" x14ac:dyDescent="0.2">
      <c r="E82" s="156"/>
    </row>
    <row r="83" spans="5:5" outlineLevel="1" x14ac:dyDescent="0.2">
      <c r="E83" s="156"/>
    </row>
    <row r="84" spans="5:5" outlineLevel="1" x14ac:dyDescent="0.2">
      <c r="E84" s="156"/>
    </row>
    <row r="85" spans="5:5" outlineLevel="1" x14ac:dyDescent="0.2">
      <c r="E85" s="156"/>
    </row>
    <row r="86" spans="5:5" outlineLevel="1" x14ac:dyDescent="0.2">
      <c r="E86" s="156"/>
    </row>
    <row r="87" spans="5:5" outlineLevel="1" x14ac:dyDescent="0.2">
      <c r="E87" s="156"/>
    </row>
    <row r="88" spans="5:5" outlineLevel="1" x14ac:dyDescent="0.2">
      <c r="E88" s="156"/>
    </row>
    <row r="89" spans="5:5" outlineLevel="1" x14ac:dyDescent="0.2">
      <c r="E89" s="156"/>
    </row>
    <row r="90" spans="5:5" outlineLevel="1" x14ac:dyDescent="0.2">
      <c r="E90" s="156"/>
    </row>
    <row r="91" spans="5:5" outlineLevel="1" x14ac:dyDescent="0.2">
      <c r="E91" s="156"/>
    </row>
    <row r="92" spans="5:5" outlineLevel="1" x14ac:dyDescent="0.2">
      <c r="E92" s="156"/>
    </row>
    <row r="93" spans="5:5" outlineLevel="1" x14ac:dyDescent="0.2">
      <c r="E93" s="156"/>
    </row>
    <row r="94" spans="5:5" outlineLevel="1" x14ac:dyDescent="0.2">
      <c r="E94" s="156"/>
    </row>
    <row r="95" spans="5:5" outlineLevel="1" x14ac:dyDescent="0.2">
      <c r="E95" s="156"/>
    </row>
    <row r="96" spans="5:5" outlineLevel="1" x14ac:dyDescent="0.2">
      <c r="E96" s="156"/>
    </row>
    <row r="97" spans="2:18" outlineLevel="1" x14ac:dyDescent="0.2">
      <c r="E97" s="156"/>
    </row>
    <row r="98" spans="2:18" ht="13.5" outlineLevel="1" x14ac:dyDescent="0.25">
      <c r="B98" s="35" t="str">
        <f xml:space="preserve"> Year &amp; " RoRE performance on outcomes"</f>
        <v>2018-19 RoRE performance on outcomes</v>
      </c>
      <c r="C98" s="35"/>
      <c r="D98" s="35"/>
      <c r="E98" s="35"/>
      <c r="F98" s="35"/>
      <c r="G98" s="35"/>
      <c r="H98" s="35"/>
      <c r="I98" s="35"/>
      <c r="J98" s="35"/>
      <c r="K98" s="35"/>
      <c r="L98" s="35"/>
      <c r="M98" s="35"/>
      <c r="N98" s="35"/>
      <c r="O98" s="35"/>
      <c r="P98" s="35"/>
      <c r="Q98" s="35"/>
      <c r="R98" s="35"/>
    </row>
    <row r="99" spans="2:18" outlineLevel="1" x14ac:dyDescent="0.2">
      <c r="E99" s="156"/>
    </row>
    <row r="100" spans="2:18" ht="24.95" customHeight="1" outlineLevel="1" x14ac:dyDescent="0.2">
      <c r="C100" s="354" t="s">
        <v>548</v>
      </c>
      <c r="D100" s="354" t="s">
        <v>344</v>
      </c>
      <c r="E100" s="354" t="s">
        <v>557</v>
      </c>
    </row>
    <row r="101" spans="2:18" outlineLevel="1" x14ac:dyDescent="0.2">
      <c r="C101" s="86">
        <v>1</v>
      </c>
      <c r="D101" s="203" t="str">
        <f xml:space="preserve"> INDEX( CALCS│Outcomes!$C$373:$C$389, MATCH( $E101, CALCS│Outcomes!$K$373:$K$389, 0 ) )</f>
        <v>UU</v>
      </c>
      <c r="E101" s="159">
        <f xml:space="preserve"> LARGE( CALCS│Outcomes!$K$373:$K$389, $C101 )</f>
        <v>5.2723202724486917E-3</v>
      </c>
    </row>
    <row r="102" spans="2:18" outlineLevel="1" x14ac:dyDescent="0.2">
      <c r="C102" s="86">
        <v>2</v>
      </c>
      <c r="D102" s="203" t="str">
        <f xml:space="preserve"> INDEX( CALCS│Outcomes!$C$373:$C$389, MATCH( $E102, CALCS│Outcomes!$K$373:$K$389, 0 ) )</f>
        <v>ANH</v>
      </c>
      <c r="E102" s="265">
        <f xml:space="preserve"> LARGE( CALCS│Outcomes!$K$373:$K$389, $C102 )</f>
        <v>4.7759262420559593E-3</v>
      </c>
    </row>
    <row r="103" spans="2:18" outlineLevel="1" x14ac:dyDescent="0.2">
      <c r="C103" s="86">
        <v>3</v>
      </c>
      <c r="D103" s="203" t="str">
        <f xml:space="preserve"> INDEX( CALCS│Outcomes!$C$373:$C$389, MATCH( $E103, CALCS│Outcomes!$K$373:$K$389, 0 ) )</f>
        <v>YKY</v>
      </c>
      <c r="E103" s="159">
        <f xml:space="preserve"> LARGE( CALCS│Outcomes!$K$373:$K$389, $C103 )</f>
        <v>4.1311488369656204E-3</v>
      </c>
    </row>
    <row r="104" spans="2:18" outlineLevel="1" x14ac:dyDescent="0.2">
      <c r="C104" s="86">
        <v>4</v>
      </c>
      <c r="D104" s="203" t="str">
        <f xml:space="preserve"> INDEX( CALCS│Outcomes!$C$373:$C$389, MATCH( $E104, CALCS│Outcomes!$K$373:$K$389, 0 ) )</f>
        <v>SWB</v>
      </c>
      <c r="E104" s="159">
        <f xml:space="preserve"> LARGE( CALCS│Outcomes!$K$373:$K$389, $C104 )</f>
        <v>3.6573300562620817E-3</v>
      </c>
    </row>
    <row r="105" spans="2:18" outlineLevel="1" x14ac:dyDescent="0.2">
      <c r="C105" s="86">
        <v>5</v>
      </c>
      <c r="D105" s="203" t="str">
        <f xml:space="preserve"> INDEX( CALCS│Outcomes!$C$373:$C$389, MATCH( $E105, CALCS│Outcomes!$K$373:$K$389, 0 ) )</f>
        <v>WSX</v>
      </c>
      <c r="E105" s="159">
        <f xml:space="preserve"> LARGE( CALCS│Outcomes!$K$373:$K$389, $C105 )</f>
        <v>2.4219465102399674E-3</v>
      </c>
    </row>
    <row r="106" spans="2:18" outlineLevel="1" x14ac:dyDescent="0.2">
      <c r="C106" s="86">
        <v>6</v>
      </c>
      <c r="D106" s="203" t="str">
        <f xml:space="preserve"> INDEX( CALCS│Outcomes!$C$373:$C$389, MATCH( $E106, CALCS│Outcomes!$K$373:$K$389, 0 ) )</f>
        <v>SSC</v>
      </c>
      <c r="E106" s="159">
        <f xml:space="preserve"> LARGE( CALCS│Outcomes!$K$373:$K$389, $C106 )</f>
        <v>1.9045609742082456E-3</v>
      </c>
    </row>
    <row r="107" spans="2:18" outlineLevel="1" x14ac:dyDescent="0.2">
      <c r="C107" s="86">
        <v>7</v>
      </c>
      <c r="D107" s="203" t="str">
        <f xml:space="preserve"> INDEX( CALCS│Outcomes!$C$373:$C$389, MATCH( $E107, CALCS│Outcomes!$K$373:$K$389, 0 ) )</f>
        <v>SEW</v>
      </c>
      <c r="E107" s="159">
        <f xml:space="preserve"> LARGE( CALCS│Outcomes!$K$373:$K$389, $C107 )</f>
        <v>-1.0684773003286329E-4</v>
      </c>
    </row>
    <row r="108" spans="2:18" outlineLevel="1" x14ac:dyDescent="0.2">
      <c r="C108" s="86">
        <v>8</v>
      </c>
      <c r="D108" s="203" t="str">
        <f xml:space="preserve"> INDEX( CALCS│Outcomes!$C$373:$C$389, MATCH( $E108, CALCS│Outcomes!$K$373:$K$389, 0 ) )</f>
        <v>WSH</v>
      </c>
      <c r="E108" s="159">
        <f xml:space="preserve"> LARGE( CALCS│Outcomes!$K$373:$K$389, $C108 )</f>
        <v>-1.9566461759691617E-4</v>
      </c>
    </row>
    <row r="109" spans="2:18" outlineLevel="1" x14ac:dyDescent="0.2">
      <c r="C109" s="86">
        <v>9</v>
      </c>
      <c r="D109" s="203" t="str">
        <f xml:space="preserve"> INDEX( CALCS│Outcomes!$C$373:$C$389, MATCH( $E109, CALCS│Outcomes!$K$373:$K$389, 0 ) )</f>
        <v>SRN</v>
      </c>
      <c r="E109" s="159">
        <f xml:space="preserve"> LARGE( CALCS│Outcomes!$K$373:$K$389, $C109 )</f>
        <v>-2.1463492990944147E-4</v>
      </c>
    </row>
    <row r="110" spans="2:18" outlineLevel="1" x14ac:dyDescent="0.2">
      <c r="C110" s="86">
        <v>10</v>
      </c>
      <c r="D110" s="203" t="str">
        <f xml:space="preserve"> INDEX( CALCS│Outcomes!$C$373:$C$389, MATCH( $E110, CALCS│Outcomes!$K$373:$K$389, 0 ) )</f>
        <v>SVE</v>
      </c>
      <c r="E110" s="159">
        <f xml:space="preserve"> LARGE( CALCS│Outcomes!$K$373:$K$389, $C110 )</f>
        <v>-1.1292198680321771E-3</v>
      </c>
    </row>
    <row r="111" spans="2:18" outlineLevel="1" x14ac:dyDescent="0.2">
      <c r="C111" s="86">
        <v>11</v>
      </c>
      <c r="D111" s="203" t="str">
        <f xml:space="preserve"> INDEX( CALCS│Outcomes!$C$373:$C$389, MATCH( $E111, CALCS│Outcomes!$K$373:$K$389, 0 ) )</f>
        <v>SES</v>
      </c>
      <c r="E111" s="159">
        <f xml:space="preserve"> LARGE( CALCS│Outcomes!$K$373:$K$389, $C111 )</f>
        <v>-1.8055519789227303E-3</v>
      </c>
    </row>
    <row r="112" spans="2:18" outlineLevel="1" x14ac:dyDescent="0.2">
      <c r="C112" s="86">
        <v>12</v>
      </c>
      <c r="D112" s="203" t="str">
        <f xml:space="preserve"> INDEX( CALCS│Outcomes!$C$373:$C$389, MATCH( $E112, CALCS│Outcomes!$K$373:$K$389, 0 ) )</f>
        <v>NES</v>
      </c>
      <c r="E112" s="159">
        <f xml:space="preserve"> LARGE( CALCS│Outcomes!$K$373:$K$389, $C112 )</f>
        <v>-2.315892953681791E-3</v>
      </c>
    </row>
    <row r="113" spans="2:18" outlineLevel="1" x14ac:dyDescent="0.2">
      <c r="C113" s="86">
        <v>13</v>
      </c>
      <c r="D113" s="203" t="str">
        <f xml:space="preserve"> INDEX( CALCS│Outcomes!$C$373:$C$389, MATCH( $E113, CALCS│Outcomes!$K$373:$K$389, 0 ) )</f>
        <v>PRT</v>
      </c>
      <c r="E113" s="159">
        <f xml:space="preserve"> LARGE( CALCS│Outcomes!$K$373:$K$389, $C113 )</f>
        <v>-7.6884090228284165E-3</v>
      </c>
    </row>
    <row r="114" spans="2:18" outlineLevel="1" x14ac:dyDescent="0.2">
      <c r="C114" s="86">
        <v>14</v>
      </c>
      <c r="D114" s="203" t="str">
        <f xml:space="preserve"> INDEX( CALCS│Outcomes!$C$373:$C$389, MATCH( $E114, CALCS│Outcomes!$K$373:$K$389, 0 ) )</f>
        <v>TMS</v>
      </c>
      <c r="E114" s="159">
        <f xml:space="preserve"> LARGE( CALCS│Outcomes!$K$373:$K$389, $C114 )</f>
        <v>-1.1337650166482504E-2</v>
      </c>
    </row>
    <row r="115" spans="2:18" outlineLevel="1" x14ac:dyDescent="0.2">
      <c r="C115" s="86">
        <v>15</v>
      </c>
      <c r="D115" s="203" t="str">
        <f xml:space="preserve"> INDEX( CALCS│Outcomes!$C$373:$C$389, MATCH( $E115, CALCS│Outcomes!$K$373:$K$389, 0 ) )</f>
        <v>AFW</v>
      </c>
      <c r="E115" s="159">
        <f xml:space="preserve"> LARGE( CALCS│Outcomes!$K$373:$K$389, $C115 )</f>
        <v>-1.7591487072770858E-2</v>
      </c>
    </row>
    <row r="116" spans="2:18" outlineLevel="1" x14ac:dyDescent="0.2">
      <c r="C116" s="86">
        <v>16</v>
      </c>
      <c r="D116" s="203" t="str">
        <f xml:space="preserve"> INDEX( CALCS│Outcomes!$C$373:$C$389, MATCH( $E116, CALCS│Outcomes!$K$373:$K$389, 0 ) )</f>
        <v>HDD</v>
      </c>
      <c r="E116" s="159">
        <f xml:space="preserve"> LARGE( CALCS│Outcomes!$K$373:$K$389, $C116 )</f>
        <v>-1.8157406265086117E-2</v>
      </c>
    </row>
    <row r="117" spans="2:18" outlineLevel="1" x14ac:dyDescent="0.2">
      <c r="C117" s="86">
        <v>17</v>
      </c>
      <c r="D117" s="203" t="str">
        <f xml:space="preserve"> INDEX( CALCS│Outcomes!$C$373:$C$389, MATCH( $E117, CALCS│Outcomes!$K$373:$K$389, 0 ) )</f>
        <v>BRL</v>
      </c>
      <c r="E117" s="159">
        <f xml:space="preserve"> LARGE( CALCS│Outcomes!$K$373:$K$389, $C117 )</f>
        <v>-2.0100924693402255E-2</v>
      </c>
    </row>
    <row r="118" spans="2:18" outlineLevel="1" x14ac:dyDescent="0.2">
      <c r="D118" s="81" t="s">
        <v>257</v>
      </c>
      <c r="E118" s="160">
        <f>CALCS│Outcomes!K391</f>
        <v>-9.5830741841174073E-4</v>
      </c>
    </row>
    <row r="119" spans="2:18" x14ac:dyDescent="0.2">
      <c r="E119" s="156"/>
    </row>
    <row r="120" spans="2:18" ht="13.5" x14ac:dyDescent="0.25">
      <c r="B120" s="9" t="s">
        <v>160</v>
      </c>
      <c r="C120" s="9"/>
      <c r="D120" s="10"/>
      <c r="E120" s="10"/>
      <c r="F120" s="10"/>
      <c r="G120" s="10"/>
      <c r="H120" s="10"/>
      <c r="I120" s="10"/>
      <c r="J120" s="10"/>
      <c r="K120" s="10"/>
      <c r="L120" s="9" t="s">
        <v>584</v>
      </c>
      <c r="M120" s="10"/>
      <c r="N120" s="10"/>
      <c r="O120" s="10"/>
      <c r="P120" s="10"/>
      <c r="Q120" s="10"/>
      <c r="R120" s="10"/>
    </row>
    <row r="121" spans="2:18" outlineLevel="1" x14ac:dyDescent="0.2"/>
    <row r="122" spans="2:18" ht="13.5" outlineLevel="1" x14ac:dyDescent="0.25">
      <c r="B122" s="35" t="s">
        <v>558</v>
      </c>
      <c r="C122" s="35"/>
      <c r="D122" s="35"/>
      <c r="E122" s="35"/>
      <c r="F122" s="35"/>
      <c r="G122" s="35"/>
      <c r="H122" s="35"/>
      <c r="I122" s="35"/>
      <c r="J122" s="35"/>
      <c r="K122" s="35"/>
      <c r="L122" s="35"/>
      <c r="M122" s="35"/>
      <c r="N122" s="35"/>
      <c r="O122" s="35"/>
      <c r="P122" s="35"/>
      <c r="Q122" s="35"/>
      <c r="R122" s="35"/>
    </row>
    <row r="123" spans="2:18" outlineLevel="1" x14ac:dyDescent="0.2"/>
    <row r="124" spans="2:18" outlineLevel="1" x14ac:dyDescent="0.2"/>
    <row r="125" spans="2:18" outlineLevel="1" x14ac:dyDescent="0.2"/>
    <row r="126" spans="2:18" outlineLevel="1" x14ac:dyDescent="0.2"/>
    <row r="127" spans="2:18" outlineLevel="1" x14ac:dyDescent="0.2"/>
    <row r="128" spans="2:18" outlineLevel="1" x14ac:dyDescent="0.2"/>
    <row r="129" spans="2:18" outlineLevel="1" x14ac:dyDescent="0.2"/>
    <row r="130" spans="2:18" outlineLevel="1" x14ac:dyDescent="0.2"/>
    <row r="131" spans="2:18" outlineLevel="1" x14ac:dyDescent="0.2"/>
    <row r="132" spans="2:18" outlineLevel="1" x14ac:dyDescent="0.2"/>
    <row r="133" spans="2:18" outlineLevel="1" x14ac:dyDescent="0.2"/>
    <row r="134" spans="2:18" outlineLevel="1" x14ac:dyDescent="0.2"/>
    <row r="135" spans="2:18" outlineLevel="1" x14ac:dyDescent="0.2"/>
    <row r="136" spans="2:18" outlineLevel="1" x14ac:dyDescent="0.2"/>
    <row r="137" spans="2:18" outlineLevel="1" x14ac:dyDescent="0.2"/>
    <row r="138" spans="2:18" outlineLevel="1" x14ac:dyDescent="0.2"/>
    <row r="139" spans="2:18" outlineLevel="1" x14ac:dyDescent="0.2"/>
    <row r="140" spans="2:18" outlineLevel="1" x14ac:dyDescent="0.2"/>
    <row r="141" spans="2:18" outlineLevel="1" x14ac:dyDescent="0.2"/>
    <row r="142" spans="2:18" ht="13.5" outlineLevel="1" x14ac:dyDescent="0.25">
      <c r="B142" s="35" t="str">
        <f xml:space="preserve"> "Net change in company leakage (Ml/day) from 2012-13 to " &amp; Year &amp; " as a % of industry total leakage in 2012-13"</f>
        <v>Net change in company leakage (Ml/day) from 2012-13 to 2018-19 as a % of industry total leakage in 2012-13</v>
      </c>
      <c r="C142" s="35"/>
      <c r="D142" s="35"/>
      <c r="E142" s="35"/>
      <c r="F142" s="35"/>
      <c r="G142" s="35"/>
      <c r="H142" s="35"/>
      <c r="I142" s="35"/>
      <c r="J142" s="35"/>
      <c r="K142" s="35"/>
      <c r="L142" s="35"/>
      <c r="M142" s="35"/>
      <c r="N142" s="35"/>
      <c r="O142" s="35"/>
      <c r="P142" s="35"/>
      <c r="Q142" s="35"/>
      <c r="R142" s="35"/>
    </row>
    <row r="143" spans="2:18" outlineLevel="1" x14ac:dyDescent="0.2"/>
    <row r="144" spans="2:18" ht="25.5" outlineLevel="1" x14ac:dyDescent="0.2">
      <c r="C144" s="354" t="s">
        <v>548</v>
      </c>
      <c r="D144" s="354" t="s">
        <v>344</v>
      </c>
      <c r="E144" s="354" t="s">
        <v>559</v>
      </c>
    </row>
    <row r="145" spans="3:5" outlineLevel="1" x14ac:dyDescent="0.2">
      <c r="C145" s="86">
        <v>1</v>
      </c>
      <c r="D145" s="203" t="str">
        <f xml:space="preserve"> INDEX( CALCS│Outcomes!$C$10:$C$26, MATCH( E145, CALCS│Outcomes!$O$10:$O$26, 0 ) )</f>
        <v>WSH</v>
      </c>
      <c r="E145" s="100">
        <f xml:space="preserve"> SMALL( CALCS│Outcomes!$O$10:$O$26, C145 )</f>
        <v>-4.9276431662583402E-3</v>
      </c>
    </row>
    <row r="146" spans="3:5" outlineLevel="1" x14ac:dyDescent="0.2">
      <c r="C146" s="86">
        <v>2</v>
      </c>
      <c r="D146" s="203" t="str">
        <f xml:space="preserve"> INDEX( CALCS│Outcomes!$C$10:$C$26, MATCH( E146, CALCS│Outcomes!$O$10:$O$26, 0 ) )</f>
        <v>SVE</v>
      </c>
      <c r="E146" s="100">
        <f xml:space="preserve"> SMALL( CALCS│Outcomes!$O$10:$O$26, C146 )</f>
        <v>-3.8447849462971639E-3</v>
      </c>
    </row>
    <row r="147" spans="3:5" outlineLevel="1" x14ac:dyDescent="0.2">
      <c r="C147" s="86">
        <v>3</v>
      </c>
      <c r="D147" s="203" t="str">
        <f xml:space="preserve"> INDEX( CALCS│Outcomes!$C$10:$C$26, MATCH( E147, CALCS│Outcomes!$O$10:$O$26, 0 ) )</f>
        <v>SEW</v>
      </c>
      <c r="E147" s="100">
        <f xml:space="preserve"> SMALL( CALCS│Outcomes!$O$10:$O$26, C147 )</f>
        <v>-2.027889848237375E-3</v>
      </c>
    </row>
    <row r="148" spans="3:5" outlineLevel="1" x14ac:dyDescent="0.2">
      <c r="C148" s="86">
        <v>4</v>
      </c>
      <c r="D148" s="203" t="str">
        <f xml:space="preserve"> INDEX( CALCS│Outcomes!$C$10:$C$26, MATCH( E148, CALCS│Outcomes!$O$10:$O$26, 0 ) )</f>
        <v>PRT</v>
      </c>
      <c r="E148" s="100">
        <f xml:space="preserve"> SMALL( CALCS│Outcomes!$O$10:$O$26, C148 )</f>
        <v>-1.9213287574860473E-3</v>
      </c>
    </row>
    <row r="149" spans="3:5" outlineLevel="1" x14ac:dyDescent="0.2">
      <c r="C149" s="86">
        <v>5</v>
      </c>
      <c r="D149" s="203" t="str">
        <f xml:space="preserve"> INDEX( CALCS│Outcomes!$C$10:$C$26, MATCH( E149, CALCS│Outcomes!$O$10:$O$26, 0 ) )</f>
        <v>WSX</v>
      </c>
      <c r="E149" s="100">
        <f xml:space="preserve"> SMALL( CALCS│Outcomes!$O$10:$O$26, C149 )</f>
        <v>-6.8780340394038197E-4</v>
      </c>
    </row>
    <row r="150" spans="3:5" outlineLevel="1" x14ac:dyDescent="0.2">
      <c r="C150" s="86">
        <v>6</v>
      </c>
      <c r="D150" s="203" t="str">
        <f xml:space="preserve"> INDEX( CALCS│Outcomes!$C$10:$C$26, MATCH( E150, CALCS│Outcomes!$O$10:$O$26, 0 ) )</f>
        <v>SWB</v>
      </c>
      <c r="E150" s="100">
        <f xml:space="preserve"> SMALL( CALCS│Outcomes!$O$10:$O$26, C150 )</f>
        <v>-4.7265828235784082E-4</v>
      </c>
    </row>
    <row r="151" spans="3:5" outlineLevel="1" x14ac:dyDescent="0.2">
      <c r="C151" s="86">
        <v>7</v>
      </c>
      <c r="D151" s="203" t="str">
        <f xml:space="preserve"> INDEX( CALCS│Outcomes!$C$10:$C$26, MATCH( E151, CALCS│Outcomes!$O$10:$O$26, 0 ) )</f>
        <v>UU</v>
      </c>
      <c r="E151" s="100">
        <f xml:space="preserve"> SMALL( CALCS│Outcomes!$O$10:$O$26, C151 )</f>
        <v>-4.4848459635856428E-4</v>
      </c>
    </row>
    <row r="152" spans="3:5" outlineLevel="1" x14ac:dyDescent="0.2">
      <c r="C152" s="86">
        <v>8</v>
      </c>
      <c r="D152" s="203" t="str">
        <f xml:space="preserve"> INDEX( CALCS│Outcomes!$C$10:$C$26, MATCH( E152, CALCS│Outcomes!$O$10:$O$26, 0 ) )</f>
        <v>BRL</v>
      </c>
      <c r="E152" s="100">
        <f xml:space="preserve"> SMALL( CALCS│Outcomes!$O$10:$O$26, C152 )</f>
        <v>-1.2593583452429573E-4</v>
      </c>
    </row>
    <row r="153" spans="3:5" outlineLevel="1" x14ac:dyDescent="0.2">
      <c r="C153" s="86">
        <v>9</v>
      </c>
      <c r="D153" s="203" t="str">
        <f xml:space="preserve"> INDEX( CALCS│Outcomes!$C$10:$C$26, MATCH( E153, CALCS│Outcomes!$O$10:$O$26, 0 ) )</f>
        <v>SES</v>
      </c>
      <c r="E153" s="100">
        <f xml:space="preserve"> SMALL( CALCS│Outcomes!$O$10:$O$26, C153 )</f>
        <v>1.3239408244861844E-4</v>
      </c>
    </row>
    <row r="154" spans="3:5" outlineLevel="1" x14ac:dyDescent="0.2">
      <c r="C154" s="86">
        <v>10</v>
      </c>
      <c r="D154" s="203" t="str">
        <f xml:space="preserve"> INDEX( CALCS│Outcomes!$C$10:$C$26, MATCH( E154, CALCS│Outcomes!$O$10:$O$26, 0 ) )</f>
        <v>HDD</v>
      </c>
      <c r="E154" s="100">
        <f xml:space="preserve"> SMALL( CALCS│Outcomes!$O$10:$O$26, C154 )</f>
        <v>3.679630865994621E-4</v>
      </c>
    </row>
    <row r="155" spans="3:5" outlineLevel="1" x14ac:dyDescent="0.2">
      <c r="C155" s="86">
        <v>11</v>
      </c>
      <c r="D155" s="203" t="str">
        <f xml:space="preserve"> INDEX( CALCS│Outcomes!$C$10:$C$26, MATCH( E155, CALCS│Outcomes!$O$10:$O$26, 0 ) )</f>
        <v>ANH</v>
      </c>
      <c r="E155" s="100">
        <f xml:space="preserve"> SMALL( CALCS│Outcomes!$O$10:$O$26, C155 )</f>
        <v>6.7674819701276495E-4</v>
      </c>
    </row>
    <row r="156" spans="3:5" outlineLevel="1" x14ac:dyDescent="0.2">
      <c r="C156" s="86">
        <v>12</v>
      </c>
      <c r="D156" s="203" t="str">
        <f xml:space="preserve"> INDEX( CALCS│Outcomes!$C$10:$C$26, MATCH( E156, CALCS│Outcomes!$O$10:$O$26, 0 ) )</f>
        <v>SSC</v>
      </c>
      <c r="E156" s="100">
        <f xml:space="preserve"> SMALL( CALCS│Outcomes!$O$10:$O$26, C156 )</f>
        <v>1.9794529888049516E-3</v>
      </c>
    </row>
    <row r="157" spans="3:5" outlineLevel="1" x14ac:dyDescent="0.2">
      <c r="C157" s="86">
        <v>13</v>
      </c>
      <c r="D157" s="203" t="str">
        <f xml:space="preserve"> INDEX( CALCS│Outcomes!$C$10:$C$26, MATCH( E157, CALCS│Outcomes!$O$10:$O$26, 0 ) )</f>
        <v>AFW</v>
      </c>
      <c r="E157" s="100">
        <f xml:space="preserve"> SMALL( CALCS│Outcomes!$O$10:$O$26, C157 )</f>
        <v>2.1274325867920128E-3</v>
      </c>
    </row>
    <row r="158" spans="3:5" outlineLevel="1" x14ac:dyDescent="0.2">
      <c r="C158" s="86">
        <v>14</v>
      </c>
      <c r="D158" s="203" t="str">
        <f xml:space="preserve"> INDEX( CALCS│Outcomes!$C$10:$C$26, MATCH( E158, CALCS│Outcomes!$O$10:$O$26, 0 ) )</f>
        <v>NES</v>
      </c>
      <c r="E158" s="100">
        <f xml:space="preserve"> SMALL( CALCS│Outcomes!$O$10:$O$26, C158 )</f>
        <v>3.4099549040424648E-3</v>
      </c>
    </row>
    <row r="159" spans="3:5" outlineLevel="1" x14ac:dyDescent="0.2">
      <c r="C159" s="86">
        <v>15</v>
      </c>
      <c r="D159" s="203" t="str">
        <f xml:space="preserve"> INDEX( CALCS│Outcomes!$C$10:$C$26, MATCH( E159, CALCS│Outcomes!$O$10:$O$26, 0 ) )</f>
        <v>SRN</v>
      </c>
      <c r="E159" s="100">
        <f xml:space="preserve"> SMALL( CALCS│Outcomes!$O$10:$O$26, C159 )</f>
        <v>6.6394336829326463E-3</v>
      </c>
    </row>
    <row r="160" spans="3:5" outlineLevel="1" x14ac:dyDescent="0.2">
      <c r="C160" s="86">
        <v>16</v>
      </c>
      <c r="D160" s="203" t="str">
        <f xml:space="preserve"> INDEX( CALCS│Outcomes!$C$10:$C$26, MATCH( E160, CALCS│Outcomes!$O$10:$O$26, 0 ) )</f>
        <v>YKY</v>
      </c>
      <c r="E160" s="100">
        <f xml:space="preserve"> SMALL( CALCS│Outcomes!$O$10:$O$26, C160 )</f>
        <v>8.1212467648359744E-3</v>
      </c>
    </row>
    <row r="161" spans="2:18" outlineLevel="1" x14ac:dyDescent="0.2">
      <c r="C161" s="86">
        <v>17</v>
      </c>
      <c r="D161" s="203" t="str">
        <f xml:space="preserve"> INDEX( CALCS│Outcomes!$C$10:$C$26, MATCH( E161, CALCS│Outcomes!$O$10:$O$26, 0 ) )</f>
        <v>TMS</v>
      </c>
      <c r="E161" s="100">
        <f xml:space="preserve"> SMALL( CALCS│Outcomes!$O$10:$O$26, C161 )</f>
        <v>1.4481707949208417E-2</v>
      </c>
    </row>
    <row r="162" spans="2:18" outlineLevel="1" x14ac:dyDescent="0.2">
      <c r="D162" s="81" t="s">
        <v>257</v>
      </c>
      <c r="E162" s="102">
        <f>CALCS│Outcomes!O28</f>
        <v>2.3479805407217322E-2</v>
      </c>
    </row>
    <row r="164" spans="2:18" ht="13.5" x14ac:dyDescent="0.25">
      <c r="B164" s="9" t="s">
        <v>261</v>
      </c>
      <c r="C164" s="9"/>
      <c r="D164" s="10"/>
      <c r="E164" s="10"/>
      <c r="F164" s="10"/>
      <c r="G164" s="10"/>
      <c r="H164" s="10"/>
      <c r="I164" s="10"/>
      <c r="J164" s="10"/>
      <c r="K164" s="10"/>
      <c r="L164" s="9" t="s">
        <v>585</v>
      </c>
      <c r="M164" s="10"/>
      <c r="N164" s="10"/>
      <c r="O164" s="10"/>
      <c r="P164" s="10"/>
      <c r="Q164" s="10"/>
      <c r="R164" s="10"/>
    </row>
    <row r="165" spans="2:18" outlineLevel="1" x14ac:dyDescent="0.2"/>
    <row r="166" spans="2:18" ht="13.5" outlineLevel="1" x14ac:dyDescent="0.25">
      <c r="B166" s="35" t="s">
        <v>560</v>
      </c>
      <c r="C166" s="35"/>
      <c r="D166" s="35"/>
      <c r="E166" s="35"/>
      <c r="F166" s="35"/>
      <c r="G166" s="35"/>
      <c r="H166" s="35"/>
      <c r="I166" s="35"/>
      <c r="J166" s="35"/>
      <c r="K166" s="35"/>
      <c r="L166" s="35"/>
      <c r="M166" s="35"/>
      <c r="N166" s="35"/>
      <c r="O166" s="35"/>
      <c r="P166" s="35"/>
      <c r="Q166" s="35"/>
      <c r="R166" s="35"/>
    </row>
    <row r="167" spans="2:18" outlineLevel="1" x14ac:dyDescent="0.2"/>
    <row r="168" spans="2:18" outlineLevel="1" x14ac:dyDescent="0.2"/>
    <row r="169" spans="2:18" outlineLevel="1" x14ac:dyDescent="0.2"/>
    <row r="170" spans="2:18" outlineLevel="1" x14ac:dyDescent="0.2"/>
    <row r="171" spans="2:18" outlineLevel="1" x14ac:dyDescent="0.2"/>
    <row r="172" spans="2:18" outlineLevel="1" x14ac:dyDescent="0.2"/>
    <row r="173" spans="2:18" outlineLevel="1" x14ac:dyDescent="0.2"/>
    <row r="174" spans="2:18" outlineLevel="1" x14ac:dyDescent="0.2"/>
    <row r="175" spans="2:18" outlineLevel="1" x14ac:dyDescent="0.2"/>
    <row r="176" spans="2:18" outlineLevel="1" x14ac:dyDescent="0.2"/>
    <row r="177" spans="2:18" outlineLevel="1" x14ac:dyDescent="0.2"/>
    <row r="178" spans="2:18" outlineLevel="1" x14ac:dyDescent="0.2"/>
    <row r="179" spans="2:18" outlineLevel="1" x14ac:dyDescent="0.2"/>
    <row r="180" spans="2:18" outlineLevel="1" x14ac:dyDescent="0.2"/>
    <row r="181" spans="2:18" outlineLevel="1" x14ac:dyDescent="0.2"/>
    <row r="182" spans="2:18" outlineLevel="1" x14ac:dyDescent="0.2"/>
    <row r="183" spans="2:18" outlineLevel="1" x14ac:dyDescent="0.2"/>
    <row r="184" spans="2:18" outlineLevel="1" x14ac:dyDescent="0.2"/>
    <row r="185" spans="2:18" outlineLevel="1" x14ac:dyDescent="0.2"/>
    <row r="186" spans="2:18" ht="13.5" outlineLevel="1" x14ac:dyDescent="0.25">
      <c r="B186" s="35" t="str">
        <f xml:space="preserve"> "Net change in supply interruptions (mins/property) from 2012-13 to " &amp; Year</f>
        <v>Net change in supply interruptions (mins/property) from 2012-13 to 2018-19</v>
      </c>
      <c r="C186" s="35"/>
      <c r="D186" s="35"/>
      <c r="E186" s="35"/>
      <c r="F186" s="35"/>
      <c r="G186" s="35"/>
      <c r="H186" s="35"/>
      <c r="I186" s="35"/>
      <c r="J186" s="35"/>
      <c r="K186" s="35"/>
      <c r="L186" s="35"/>
      <c r="M186" s="35"/>
      <c r="N186" s="35"/>
      <c r="O186" s="35"/>
      <c r="P186" s="35"/>
      <c r="Q186" s="35"/>
      <c r="R186" s="35"/>
    </row>
    <row r="187" spans="2:18" outlineLevel="1" x14ac:dyDescent="0.2"/>
    <row r="188" spans="2:18" ht="25.5" outlineLevel="1" x14ac:dyDescent="0.2">
      <c r="C188" s="354" t="s">
        <v>548</v>
      </c>
      <c r="D188" s="354" t="s">
        <v>344</v>
      </c>
      <c r="E188" s="354" t="s">
        <v>559</v>
      </c>
    </row>
    <row r="189" spans="2:18" outlineLevel="1" x14ac:dyDescent="0.2">
      <c r="C189" s="86">
        <v>1</v>
      </c>
      <c r="D189" s="203" t="str">
        <f xml:space="preserve"> INDEX( CALCS│Outcomes!$C$80:$C$96, MATCH( E189, CALCS│Outcomes!$O$80:$O$96, 0 ) )</f>
        <v>WSX</v>
      </c>
      <c r="E189" s="103">
        <f xml:space="preserve"> SMALL( CALCS│Outcomes!$O$80:$O$96, C189 )</f>
        <v>-0.75624999999999998</v>
      </c>
    </row>
    <row r="190" spans="2:18" outlineLevel="1" x14ac:dyDescent="0.2">
      <c r="C190" s="86">
        <v>2</v>
      </c>
      <c r="D190" s="203" t="str">
        <f xml:space="preserve"> INDEX( CALCS│Outcomes!$C$80:$C$96, MATCH( E190, CALCS│Outcomes!$O$80:$O$96, 0 ) )</f>
        <v>WSH</v>
      </c>
      <c r="E190" s="100">
        <f xml:space="preserve"> SMALL( CALCS│Outcomes!$O$80:$O$96, C190 )</f>
        <v>-0.69811320754716977</v>
      </c>
    </row>
    <row r="191" spans="2:18" outlineLevel="1" x14ac:dyDescent="0.2">
      <c r="C191" s="86">
        <v>3</v>
      </c>
      <c r="D191" s="203" t="str">
        <f xml:space="preserve"> INDEX( CALCS│Outcomes!$C$80:$C$96, MATCH( E191, CALCS│Outcomes!$O$80:$O$96, 0 ) )</f>
        <v>SRN</v>
      </c>
      <c r="E191" s="100">
        <f xml:space="preserve"> SMALL( CALCS│Outcomes!$O$80:$O$96, C191 )</f>
        <v>-0.59000000000000008</v>
      </c>
    </row>
    <row r="192" spans="2:18" outlineLevel="1" x14ac:dyDescent="0.2">
      <c r="C192" s="86">
        <v>4</v>
      </c>
      <c r="D192" s="203" t="str">
        <f xml:space="preserve"> INDEX( CALCS│Outcomes!$C$80:$C$96, MATCH( E192, CALCS│Outcomes!$O$80:$O$96, 0 ) )</f>
        <v>UU</v>
      </c>
      <c r="E192" s="100">
        <f xml:space="preserve"> SMALL( CALCS│Outcomes!$O$80:$O$96, C192 )</f>
        <v>-0.4883720930232559</v>
      </c>
    </row>
    <row r="193" spans="2:18" outlineLevel="1" x14ac:dyDescent="0.2">
      <c r="C193" s="86">
        <v>5</v>
      </c>
      <c r="D193" s="203" t="str">
        <f xml:space="preserve"> INDEX( CALCS│Outcomes!$C$80:$C$96, MATCH( E193, CALCS│Outcomes!$O$80:$O$96, 0 ) )</f>
        <v>SWB</v>
      </c>
      <c r="E193" s="100">
        <f xml:space="preserve"> SMALL( CALCS│Outcomes!$O$80:$O$96, C193 )</f>
        <v>-0.4280198795183735</v>
      </c>
    </row>
    <row r="194" spans="2:18" outlineLevel="1" x14ac:dyDescent="0.2">
      <c r="C194" s="86">
        <v>6</v>
      </c>
      <c r="D194" s="203" t="str">
        <f xml:space="preserve"> INDEX( CALCS│Outcomes!$C$80:$C$96, MATCH( E194, CALCS│Outcomes!$O$80:$O$96, 0 ) )</f>
        <v>ANH</v>
      </c>
      <c r="E194" s="100">
        <f xml:space="preserve"> SMALL( CALCS│Outcomes!$O$80:$O$96, C194 )</f>
        <v>-0.36739130434782608</v>
      </c>
    </row>
    <row r="195" spans="2:18" outlineLevel="1" x14ac:dyDescent="0.2">
      <c r="C195" s="86">
        <v>7</v>
      </c>
      <c r="D195" s="203" t="str">
        <f xml:space="preserve"> INDEX( CALCS│Outcomes!$C$80:$C$96, MATCH( E195, CALCS│Outcomes!$O$80:$O$96, 0 ) )</f>
        <v>BRL</v>
      </c>
      <c r="E195" s="100">
        <f xml:space="preserve"> SMALL( CALCS│Outcomes!$O$80:$O$96, C195 )</f>
        <v>-0.36316087079445858</v>
      </c>
    </row>
    <row r="196" spans="2:18" outlineLevel="1" x14ac:dyDescent="0.2">
      <c r="C196" s="86">
        <v>8</v>
      </c>
      <c r="D196" s="203" t="str">
        <f xml:space="preserve"> INDEX( CALCS│Outcomes!$C$80:$C$96, MATCH( E196, CALCS│Outcomes!$O$80:$O$96, 0 ) )</f>
        <v>AFW</v>
      </c>
      <c r="E196" s="100">
        <f xml:space="preserve"> SMALL( CALCS│Outcomes!$O$80:$O$96, C196 )</f>
        <v>-0.34741310203169518</v>
      </c>
    </row>
    <row r="197" spans="2:18" outlineLevel="1" x14ac:dyDescent="0.2">
      <c r="C197" s="86">
        <v>9</v>
      </c>
      <c r="D197" s="203" t="str">
        <f xml:space="preserve"> INDEX( CALCS│Outcomes!$C$80:$C$96, MATCH( E197, CALCS│Outcomes!$O$80:$O$96, 0 ) )</f>
        <v>SVE</v>
      </c>
      <c r="E197" s="100">
        <f xml:space="preserve"> SMALL( CALCS│Outcomes!$O$80:$O$96, C197 )</f>
        <v>-0.34432870370370366</v>
      </c>
    </row>
    <row r="198" spans="2:18" outlineLevel="1" x14ac:dyDescent="0.2">
      <c r="C198" s="86">
        <v>10</v>
      </c>
      <c r="D198" s="203" t="str">
        <f xml:space="preserve"> INDEX( CALCS│Outcomes!$C$80:$C$96, MATCH( E198, CALCS│Outcomes!$O$80:$O$96, 0 ) )</f>
        <v>SSC</v>
      </c>
      <c r="E198" s="100">
        <f xml:space="preserve"> SMALL( CALCS│Outcomes!$O$80:$O$96, C198 )</f>
        <v>-0.27364197859584999</v>
      </c>
    </row>
    <row r="199" spans="2:18" outlineLevel="1" x14ac:dyDescent="0.2">
      <c r="C199" s="86">
        <v>11</v>
      </c>
      <c r="D199" s="203" t="str">
        <f xml:space="preserve"> INDEX( CALCS│Outcomes!$C$80:$C$96, MATCH( E199, CALCS│Outcomes!$O$80:$O$96, 0 ) )</f>
        <v>PRT</v>
      </c>
      <c r="E199" s="100">
        <f xml:space="preserve"> SMALL( CALCS│Outcomes!$O$80:$O$96, C199 )</f>
        <v>-2.9850746268656851E-2</v>
      </c>
    </row>
    <row r="200" spans="2:18" outlineLevel="1" x14ac:dyDescent="0.2">
      <c r="C200" s="86">
        <v>12</v>
      </c>
      <c r="D200" s="203" t="str">
        <f xml:space="preserve"> INDEX( CALCS│Outcomes!$C$80:$C$96, MATCH( E200, CALCS│Outcomes!$O$80:$O$96, 0 ) )</f>
        <v>YKY</v>
      </c>
      <c r="E200" s="100">
        <f xml:space="preserve"> SMALL( CALCS│Outcomes!$O$80:$O$96, C200 )</f>
        <v>2.5490196078431348E-2</v>
      </c>
    </row>
    <row r="201" spans="2:18" outlineLevel="1" x14ac:dyDescent="0.2">
      <c r="C201" s="86">
        <v>13</v>
      </c>
      <c r="D201" s="203" t="str">
        <f xml:space="preserve"> INDEX( CALCS│Outcomes!$C$80:$C$96, MATCH( E201, CALCS│Outcomes!$O$80:$O$96, 0 ) )</f>
        <v>SEW</v>
      </c>
      <c r="E201" s="100">
        <f xml:space="preserve"> SMALL( CALCS│Outcomes!$O$80:$O$96, C201 )</f>
        <v>7.575757575757576E-2</v>
      </c>
    </row>
    <row r="202" spans="2:18" outlineLevel="1" x14ac:dyDescent="0.2">
      <c r="C202" s="86">
        <v>14</v>
      </c>
      <c r="D202" s="203" t="str">
        <f xml:space="preserve"> INDEX( CALCS│Outcomes!$C$80:$C$96, MATCH( E202, CALCS│Outcomes!$O$80:$O$96, 0 ) )</f>
        <v>SES</v>
      </c>
      <c r="E202" s="100">
        <f xml:space="preserve"> SMALL( CALCS│Outcomes!$O$80:$O$96, C202 )</f>
        <v>8.0000000000000196E-2</v>
      </c>
    </row>
    <row r="203" spans="2:18" outlineLevel="1" x14ac:dyDescent="0.2">
      <c r="C203" s="86">
        <v>15</v>
      </c>
      <c r="D203" s="203" t="str">
        <f xml:space="preserve"> INDEX( CALCS│Outcomes!$C$80:$C$96, MATCH( E203, CALCS│Outcomes!$O$80:$O$96, 0 ) )</f>
        <v>NES</v>
      </c>
      <c r="E203" s="100">
        <f xml:space="preserve"> SMALL( CALCS│Outcomes!$O$80:$O$96, C203 )</f>
        <v>0.32374100719424448</v>
      </c>
    </row>
    <row r="204" spans="2:18" outlineLevel="1" x14ac:dyDescent="0.2">
      <c r="C204" s="86">
        <v>16</v>
      </c>
      <c r="D204" s="203" t="str">
        <f xml:space="preserve"> INDEX( CALCS│Outcomes!$C$80:$C$96, MATCH( E204, CALCS│Outcomes!$O$80:$O$96, 0 ) )</f>
        <v>TMS</v>
      </c>
      <c r="E204" s="100">
        <f xml:space="preserve"> SMALL( CALCS│Outcomes!$O$80:$O$96, C204 )</f>
        <v>0.64062500000000011</v>
      </c>
    </row>
    <row r="205" spans="2:18" outlineLevel="1" x14ac:dyDescent="0.2">
      <c r="C205" s="86">
        <v>17</v>
      </c>
      <c r="D205" s="203" t="str">
        <f xml:space="preserve"> INDEX( CALCS│Outcomes!$C$80:$C$96, MATCH( E205, CALCS│Outcomes!$O$80:$O$96, 0 ) )</f>
        <v>HDD</v>
      </c>
      <c r="E205" s="103">
        <f xml:space="preserve"> SMALL( CALCS│Outcomes!$O$80:$O$96, C205 )</f>
        <v>0.86965811965811957</v>
      </c>
    </row>
    <row r="206" spans="2:18" outlineLevel="1" x14ac:dyDescent="0.2">
      <c r="D206" s="81" t="s">
        <v>257</v>
      </c>
      <c r="E206" s="102">
        <f>CALCS│Outcomes!O98</f>
        <v>-0.281096158498639</v>
      </c>
    </row>
    <row r="208" spans="2:18" ht="13.5" x14ac:dyDescent="0.25">
      <c r="B208" s="9" t="s">
        <v>162</v>
      </c>
      <c r="C208" s="9"/>
      <c r="D208" s="10"/>
      <c r="E208" s="10"/>
      <c r="F208" s="10"/>
      <c r="G208" s="10"/>
      <c r="H208" s="10"/>
      <c r="I208" s="10"/>
      <c r="J208" s="10"/>
      <c r="K208" s="10"/>
      <c r="L208" s="9" t="s">
        <v>586</v>
      </c>
      <c r="M208" s="10"/>
      <c r="N208" s="10"/>
      <c r="O208" s="10"/>
      <c r="P208" s="10"/>
      <c r="Q208" s="10"/>
      <c r="R208" s="10"/>
    </row>
    <row r="209" spans="2:18" outlineLevel="1" x14ac:dyDescent="0.2"/>
    <row r="210" spans="2:18" ht="13.5" outlineLevel="1" x14ac:dyDescent="0.25">
      <c r="B210" s="35" t="s">
        <v>561</v>
      </c>
      <c r="C210" s="35"/>
      <c r="D210" s="35"/>
      <c r="E210" s="35"/>
      <c r="F210" s="35"/>
      <c r="G210" s="35"/>
      <c r="H210" s="35"/>
      <c r="I210" s="35"/>
      <c r="J210" s="35"/>
      <c r="K210" s="35"/>
      <c r="L210" s="35"/>
      <c r="M210" s="35"/>
      <c r="N210" s="35"/>
      <c r="O210" s="35"/>
      <c r="P210" s="35"/>
      <c r="Q210" s="35"/>
      <c r="R210" s="35"/>
    </row>
    <row r="211" spans="2:18" outlineLevel="1" x14ac:dyDescent="0.2"/>
    <row r="212" spans="2:18" outlineLevel="1" x14ac:dyDescent="0.2"/>
    <row r="213" spans="2:18" outlineLevel="1" x14ac:dyDescent="0.2"/>
    <row r="214" spans="2:18" outlineLevel="1" x14ac:dyDescent="0.2"/>
    <row r="215" spans="2:18" outlineLevel="1" x14ac:dyDescent="0.2"/>
    <row r="216" spans="2:18" outlineLevel="1" x14ac:dyDescent="0.2"/>
    <row r="217" spans="2:18" outlineLevel="1" x14ac:dyDescent="0.2"/>
    <row r="218" spans="2:18" outlineLevel="1" x14ac:dyDescent="0.2"/>
    <row r="219" spans="2:18" outlineLevel="1" x14ac:dyDescent="0.2"/>
    <row r="220" spans="2:18" outlineLevel="1" x14ac:dyDescent="0.2"/>
    <row r="221" spans="2:18" outlineLevel="1" x14ac:dyDescent="0.2"/>
    <row r="222" spans="2:18" outlineLevel="1" x14ac:dyDescent="0.2"/>
    <row r="223" spans="2:18" outlineLevel="1" x14ac:dyDescent="0.2"/>
    <row r="224" spans="2:18" outlineLevel="1" x14ac:dyDescent="0.2"/>
    <row r="225" spans="2:18" outlineLevel="1" x14ac:dyDescent="0.2"/>
    <row r="226" spans="2:18" outlineLevel="1" x14ac:dyDescent="0.2"/>
    <row r="227" spans="2:18" outlineLevel="1" x14ac:dyDescent="0.2"/>
    <row r="228" spans="2:18" outlineLevel="1" x14ac:dyDescent="0.2"/>
    <row r="229" spans="2:18" outlineLevel="1" x14ac:dyDescent="0.2"/>
    <row r="230" spans="2:18" ht="13.5" outlineLevel="1" x14ac:dyDescent="0.25">
      <c r="B230" s="35" t="str">
        <f xml:space="preserve"> "Net change in water quality contacts from 2012-13 to " &amp; Year</f>
        <v>Net change in water quality contacts from 2012-13 to 2018-19</v>
      </c>
      <c r="C230" s="35"/>
      <c r="D230" s="35"/>
      <c r="E230" s="35"/>
      <c r="F230" s="35"/>
      <c r="G230" s="35"/>
      <c r="H230" s="35"/>
      <c r="I230" s="35"/>
      <c r="J230" s="35"/>
      <c r="K230" s="35"/>
      <c r="L230" s="35"/>
      <c r="M230" s="35"/>
      <c r="N230" s="35"/>
      <c r="O230" s="35"/>
      <c r="P230" s="35"/>
      <c r="Q230" s="35"/>
      <c r="R230" s="35"/>
    </row>
    <row r="231" spans="2:18" outlineLevel="1" x14ac:dyDescent="0.2"/>
    <row r="232" spans="2:18" ht="25.5" outlineLevel="1" x14ac:dyDescent="0.2">
      <c r="C232" s="354" t="s">
        <v>548</v>
      </c>
      <c r="D232" s="354" t="s">
        <v>344</v>
      </c>
      <c r="E232" s="354" t="s">
        <v>559</v>
      </c>
    </row>
    <row r="233" spans="2:18" outlineLevel="1" x14ac:dyDescent="0.2">
      <c r="C233" s="86">
        <v>1</v>
      </c>
      <c r="D233" s="203" t="str">
        <f xml:space="preserve"> INDEX( CALCS│Outcomes!$C$173:$C$189, MATCH( E233, CALCS│Outcomes!$O$173:$O$189, 0 ) )</f>
        <v>HDD</v>
      </c>
      <c r="E233" s="100">
        <f xml:space="preserve"> SMALL( CALCS│Outcomes!$O$173:$O$189, C233 )</f>
        <v>-0.54192073170731703</v>
      </c>
    </row>
    <row r="234" spans="2:18" outlineLevel="1" x14ac:dyDescent="0.2">
      <c r="C234" s="86">
        <v>2</v>
      </c>
      <c r="D234" s="203" t="str">
        <f xml:space="preserve"> INDEX( CALCS│Outcomes!$C$173:$C$189, MATCH( E234, CALCS│Outcomes!$O$173:$O$189, 0 ) )</f>
        <v>SWB</v>
      </c>
      <c r="E234" s="100">
        <f xml:space="preserve"> SMALL( CALCS│Outcomes!$O$173:$O$189, C234 )</f>
        <v>-0.47214934409687187</v>
      </c>
    </row>
    <row r="235" spans="2:18" outlineLevel="1" x14ac:dyDescent="0.2">
      <c r="C235" s="86">
        <v>3</v>
      </c>
      <c r="D235" s="203" t="str">
        <f xml:space="preserve"> INDEX( CALCS│Outcomes!$C$173:$C$189, MATCH( E235, CALCS│Outcomes!$O$173:$O$189, 0 ) )</f>
        <v>WSX</v>
      </c>
      <c r="E235" s="100">
        <f xml:space="preserve"> SMALL( CALCS│Outcomes!$O$173:$O$189, C235 )</f>
        <v>-0.34098360655737703</v>
      </c>
    </row>
    <row r="236" spans="2:18" outlineLevel="1" x14ac:dyDescent="0.2">
      <c r="C236" s="86">
        <v>4</v>
      </c>
      <c r="D236" s="203" t="str">
        <f xml:space="preserve"> INDEX( CALCS│Outcomes!$C$173:$C$189, MATCH( E236, CALCS│Outcomes!$O$173:$O$189, 0 ) )</f>
        <v>SEW</v>
      </c>
      <c r="E236" s="100">
        <f xml:space="preserve"> SMALL( CALCS│Outcomes!$O$173:$O$189, C236 )</f>
        <v>-0.33373469797310856</v>
      </c>
    </row>
    <row r="237" spans="2:18" outlineLevel="1" x14ac:dyDescent="0.2">
      <c r="C237" s="86">
        <v>5</v>
      </c>
      <c r="D237" s="203" t="str">
        <f xml:space="preserve"> INDEX( CALCS│Outcomes!$C$173:$C$189, MATCH( E237, CALCS│Outcomes!$O$173:$O$189, 0 ) )</f>
        <v>NES</v>
      </c>
      <c r="E237" s="100">
        <f xml:space="preserve"> SMALL( CALCS│Outcomes!$O$173:$O$189, C237 )</f>
        <v>-0.30685156892701843</v>
      </c>
    </row>
    <row r="238" spans="2:18" outlineLevel="1" x14ac:dyDescent="0.2">
      <c r="C238" s="86">
        <v>6</v>
      </c>
      <c r="D238" s="203" t="str">
        <f xml:space="preserve"> INDEX( CALCS│Outcomes!$C$173:$C$189, MATCH( E238, CALCS│Outcomes!$O$173:$O$189, 0 ) )</f>
        <v>YKY</v>
      </c>
      <c r="E238" s="100">
        <f xml:space="preserve"> SMALL( CALCS│Outcomes!$O$173:$O$189, C238 )</f>
        <v>-0.27881105510168608</v>
      </c>
    </row>
    <row r="239" spans="2:18" outlineLevel="1" x14ac:dyDescent="0.2">
      <c r="C239" s="86">
        <v>7</v>
      </c>
      <c r="D239" s="203" t="str">
        <f xml:space="preserve"> INDEX( CALCS│Outcomes!$C$173:$C$189, MATCH( E239, CALCS│Outcomes!$O$173:$O$189, 0 ) )</f>
        <v>ANH</v>
      </c>
      <c r="E239" s="100">
        <f xml:space="preserve"> SMALL( CALCS│Outcomes!$O$173:$O$189, C239 )</f>
        <v>-0.22322580645161291</v>
      </c>
    </row>
    <row r="240" spans="2:18" outlineLevel="1" x14ac:dyDescent="0.2">
      <c r="C240" s="86">
        <v>8</v>
      </c>
      <c r="D240" s="203" t="str">
        <f xml:space="preserve"> INDEX( CALCS│Outcomes!$C$173:$C$189, MATCH( E240, CALCS│Outcomes!$O$173:$O$189, 0 ) )</f>
        <v>BRL</v>
      </c>
      <c r="E240" s="100">
        <f xml:space="preserve"> SMALL( CALCS│Outcomes!$O$173:$O$189, C240 )</f>
        <v>-0.21986089644513138</v>
      </c>
    </row>
    <row r="241" spans="2:18" outlineLevel="1" x14ac:dyDescent="0.2">
      <c r="C241" s="86">
        <v>9</v>
      </c>
      <c r="D241" s="203" t="str">
        <f xml:space="preserve"> INDEX( CALCS│Outcomes!$C$173:$C$189, MATCH( E241, CALCS│Outcomes!$O$173:$O$189, 0 ) )</f>
        <v>AFW</v>
      </c>
      <c r="E241" s="100">
        <f xml:space="preserve"> SMALL( CALCS│Outcomes!$O$173:$O$189, C241 )</f>
        <v>-0.1707774798927614</v>
      </c>
    </row>
    <row r="242" spans="2:18" outlineLevel="1" x14ac:dyDescent="0.2">
      <c r="C242" s="86">
        <v>10</v>
      </c>
      <c r="D242" s="203" t="str">
        <f xml:space="preserve"> INDEX( CALCS│Outcomes!$C$173:$C$189, MATCH( E242, CALCS│Outcomes!$O$173:$O$189, 0 ) )</f>
        <v>SRN</v>
      </c>
      <c r="E242" s="100">
        <f xml:space="preserve"> SMALL( CALCS│Outcomes!$O$173:$O$189, C242 )</f>
        <v>-0.15817409766454352</v>
      </c>
    </row>
    <row r="243" spans="2:18" outlineLevel="1" x14ac:dyDescent="0.2">
      <c r="C243" s="86">
        <v>11</v>
      </c>
      <c r="D243" s="203" t="str">
        <f xml:space="preserve"> INDEX( CALCS│Outcomes!$C$173:$C$189, MATCH( E243, CALCS│Outcomes!$O$173:$O$189, 0 ) )</f>
        <v>PRT</v>
      </c>
      <c r="E243" s="100">
        <f xml:space="preserve"> SMALL( CALCS│Outcomes!$O$173:$O$189, C243 )</f>
        <v>-0.14520547945205478</v>
      </c>
    </row>
    <row r="244" spans="2:18" outlineLevel="1" x14ac:dyDescent="0.2">
      <c r="C244" s="86">
        <v>12</v>
      </c>
      <c r="D244" s="203" t="str">
        <f xml:space="preserve"> INDEX( CALCS│Outcomes!$C$173:$C$189, MATCH( E244, CALCS│Outcomes!$O$173:$O$189, 0 ) )</f>
        <v>SSC</v>
      </c>
      <c r="E244" s="100">
        <f xml:space="preserve"> SMALL( CALCS│Outcomes!$O$173:$O$189, C244 )</f>
        <v>-0.13314936184891341</v>
      </c>
    </row>
    <row r="245" spans="2:18" outlineLevel="1" x14ac:dyDescent="0.2">
      <c r="C245" s="86">
        <v>13</v>
      </c>
      <c r="D245" s="203" t="str">
        <f xml:space="preserve"> INDEX( CALCS│Outcomes!$C$173:$C$189, MATCH( E245, CALCS│Outcomes!$O$173:$O$189, 0 ) )</f>
        <v>UU</v>
      </c>
      <c r="E245" s="100">
        <f xml:space="preserve"> SMALL( CALCS│Outcomes!$O$173:$O$189, C245 )</f>
        <v>-5.5209656925031769E-2</v>
      </c>
    </row>
    <row r="246" spans="2:18" outlineLevel="1" x14ac:dyDescent="0.2">
      <c r="C246" s="86">
        <v>14</v>
      </c>
      <c r="D246" s="203" t="str">
        <f xml:space="preserve"> INDEX( CALCS│Outcomes!$C$173:$C$189, MATCH( E246, CALCS│Outcomes!$O$173:$O$189, 0 ) )</f>
        <v>SVE</v>
      </c>
      <c r="E246" s="100">
        <f xml:space="preserve"> SMALL( CALCS│Outcomes!$O$173:$O$189, C246 )</f>
        <v>-2.4584514053764266E-2</v>
      </c>
    </row>
    <row r="247" spans="2:18" outlineLevel="1" x14ac:dyDescent="0.2">
      <c r="C247" s="86">
        <v>15</v>
      </c>
      <c r="D247" s="203" t="str">
        <f xml:space="preserve"> INDEX( CALCS│Outcomes!$C$173:$C$189, MATCH( E247, CALCS│Outcomes!$O$173:$O$189, 0 ) )</f>
        <v>TMS</v>
      </c>
      <c r="E247" s="100">
        <f xml:space="preserve"> SMALL( CALCS│Outcomes!$O$173:$O$189, C247 )</f>
        <v>1.3782796413151777E-2</v>
      </c>
    </row>
    <row r="248" spans="2:18" outlineLevel="1" x14ac:dyDescent="0.2">
      <c r="C248" s="86">
        <v>16</v>
      </c>
      <c r="D248" s="203" t="str">
        <f xml:space="preserve"> INDEX( CALCS│Outcomes!$C$173:$C$189, MATCH( E248, CALCS│Outcomes!$O$173:$O$189, 0 ) )</f>
        <v>SES</v>
      </c>
      <c r="E248" s="103">
        <f xml:space="preserve"> SMALL( CALCS│Outcomes!$O$173:$O$189, C248 )</f>
        <v>4.4041450777202069E-2</v>
      </c>
    </row>
    <row r="249" spans="2:18" outlineLevel="1" x14ac:dyDescent="0.2">
      <c r="C249" s="86">
        <v>17</v>
      </c>
      <c r="D249" s="203" t="str">
        <f xml:space="preserve"> INDEX( CALCS│Outcomes!$C$173:$C$189, MATCH( E249, CALCS│Outcomes!$O$173:$O$189, 0 ) )</f>
        <v>WSH</v>
      </c>
      <c r="E249" s="100">
        <f xml:space="preserve"> SMALL( CALCS│Outcomes!$O$173:$O$189, C249 )</f>
        <v>8.5069266290405329E-2</v>
      </c>
    </row>
    <row r="250" spans="2:18" outlineLevel="1" x14ac:dyDescent="0.2">
      <c r="D250" s="81" t="s">
        <v>257</v>
      </c>
      <c r="E250" s="102">
        <f>CALCS│Outcomes!O191</f>
        <v>-0.17189726911856137</v>
      </c>
    </row>
    <row r="252" spans="2:18" ht="13.5" x14ac:dyDescent="0.25">
      <c r="B252" s="9" t="s">
        <v>163</v>
      </c>
      <c r="C252" s="9"/>
      <c r="D252" s="10"/>
      <c r="E252" s="10"/>
      <c r="F252" s="10"/>
      <c r="G252" s="10"/>
      <c r="H252" s="10"/>
      <c r="I252" s="10"/>
      <c r="J252" s="10"/>
      <c r="K252" s="10"/>
      <c r="L252" s="9" t="s">
        <v>587</v>
      </c>
      <c r="M252" s="10"/>
      <c r="N252" s="10"/>
      <c r="O252" s="10"/>
      <c r="P252" s="10"/>
      <c r="Q252" s="10"/>
      <c r="R252" s="10"/>
    </row>
    <row r="253" spans="2:18" outlineLevel="1" x14ac:dyDescent="0.2"/>
    <row r="254" spans="2:18" ht="13.5" outlineLevel="1" x14ac:dyDescent="0.25">
      <c r="B254" s="35" t="s">
        <v>562</v>
      </c>
      <c r="C254" s="35"/>
      <c r="D254" s="35"/>
      <c r="E254" s="35"/>
      <c r="F254" s="35"/>
      <c r="G254" s="35"/>
      <c r="H254" s="35"/>
      <c r="I254" s="35"/>
      <c r="J254" s="35"/>
      <c r="K254" s="35"/>
      <c r="L254" s="35"/>
      <c r="M254" s="35"/>
      <c r="N254" s="35"/>
      <c r="O254" s="35"/>
      <c r="P254" s="35"/>
      <c r="Q254" s="35"/>
      <c r="R254" s="35"/>
    </row>
    <row r="255" spans="2:18" outlineLevel="1" x14ac:dyDescent="0.2"/>
    <row r="256" spans="2:18" outlineLevel="1" x14ac:dyDescent="0.2"/>
    <row r="257" spans="3:9" outlineLevel="1" x14ac:dyDescent="0.2">
      <c r="C257" s="354" t="s">
        <v>344</v>
      </c>
      <c r="D257" s="354" t="s">
        <v>253</v>
      </c>
      <c r="E257" s="354" t="s">
        <v>171</v>
      </c>
      <c r="F257" s="354" t="s">
        <v>172</v>
      </c>
      <c r="G257" s="354" t="s">
        <v>173</v>
      </c>
      <c r="H257" s="354" t="s">
        <v>150</v>
      </c>
    </row>
    <row r="258" spans="3:9" outlineLevel="1" x14ac:dyDescent="0.2">
      <c r="C258" s="81" t="s">
        <v>79</v>
      </c>
      <c r="D258" s="101">
        <f>CALCS│Outcomes!G198</f>
        <v>475</v>
      </c>
      <c r="E258" s="101">
        <f>CALCS│Outcomes!H198</f>
        <v>411</v>
      </c>
      <c r="F258" s="101">
        <f>CALCS│Outcomes!I198</f>
        <v>430</v>
      </c>
      <c r="G258" s="101">
        <f>CALCS│Outcomes!J198</f>
        <v>396</v>
      </c>
      <c r="H258" s="101">
        <f>CALCS│Outcomes!K198</f>
        <v>342</v>
      </c>
      <c r="I258" s="77"/>
    </row>
    <row r="259" spans="3:9" outlineLevel="1" x14ac:dyDescent="0.2">
      <c r="C259" s="81" t="s">
        <v>81</v>
      </c>
      <c r="D259" s="101">
        <f>CALCS│Outcomes!G199</f>
        <v>265</v>
      </c>
      <c r="E259" s="101">
        <f>CALCS│Outcomes!H199</f>
        <v>223</v>
      </c>
      <c r="F259" s="101">
        <f>CALCS│Outcomes!I199</f>
        <v>242</v>
      </c>
      <c r="G259" s="101">
        <f>CALCS│Outcomes!J199</f>
        <v>221</v>
      </c>
      <c r="H259" s="101">
        <f>CALCS│Outcomes!K199</f>
        <v>221</v>
      </c>
      <c r="I259" s="77"/>
    </row>
    <row r="260" spans="3:9" outlineLevel="1" x14ac:dyDescent="0.2">
      <c r="C260" s="81" t="s">
        <v>86</v>
      </c>
      <c r="D260" s="101">
        <f>CALCS│Outcomes!G201</f>
        <v>416</v>
      </c>
      <c r="E260" s="101">
        <f>CALCS│Outcomes!H201</f>
        <v>362</v>
      </c>
      <c r="F260" s="101">
        <f>CALCS│Outcomes!I201</f>
        <v>334</v>
      </c>
      <c r="G260" s="101">
        <f>CALCS│Outcomes!J201</f>
        <v>295</v>
      </c>
      <c r="H260" s="101">
        <f>CALCS│Outcomes!K201</f>
        <v>370</v>
      </c>
      <c r="I260" s="77"/>
    </row>
    <row r="261" spans="3:9" outlineLevel="1" x14ac:dyDescent="0.2">
      <c r="C261" s="81" t="s">
        <v>563</v>
      </c>
      <c r="D261" s="113">
        <f>CALCS│Outcomes!G202+CALCS│Outcomes!G200</f>
        <v>1168</v>
      </c>
      <c r="E261" s="113">
        <f>CALCS│Outcomes!H202+CALCS│Outcomes!H200</f>
        <v>809</v>
      </c>
      <c r="F261" s="113">
        <f>CALCS│Outcomes!I202+CALCS│Outcomes!I200</f>
        <v>901</v>
      </c>
      <c r="G261" s="113">
        <f>CALCS│Outcomes!J202+CALCS│Outcomes!J200</f>
        <v>662</v>
      </c>
      <c r="H261" s="113">
        <f>CALCS│Outcomes!K202+CALCS│Outcomes!K200</f>
        <v>729</v>
      </c>
      <c r="I261" s="77"/>
    </row>
    <row r="262" spans="3:9" outlineLevel="1" x14ac:dyDescent="0.2">
      <c r="C262" s="81" t="s">
        <v>90</v>
      </c>
      <c r="D262" s="101">
        <f>CALCS│Outcomes!G203</f>
        <v>182</v>
      </c>
      <c r="E262" s="101">
        <f>CALCS│Outcomes!H203</f>
        <v>189</v>
      </c>
      <c r="F262" s="101">
        <f>CALCS│Outcomes!I203</f>
        <v>165</v>
      </c>
      <c r="G262" s="101">
        <f>CALCS│Outcomes!J203</f>
        <v>141</v>
      </c>
      <c r="H262" s="101">
        <f>CALCS│Outcomes!K203</f>
        <v>93</v>
      </c>
      <c r="I262" s="77"/>
    </row>
    <row r="263" spans="3:9" outlineLevel="1" x14ac:dyDescent="0.2">
      <c r="C263" s="81" t="s">
        <v>93</v>
      </c>
      <c r="D263" s="101">
        <f>CALCS│Outcomes!G204</f>
        <v>487</v>
      </c>
      <c r="E263" s="101">
        <f>CALCS│Outcomes!H204</f>
        <v>492</v>
      </c>
      <c r="F263" s="101">
        <f>CALCS│Outcomes!I204</f>
        <v>448</v>
      </c>
      <c r="G263" s="101">
        <f>CALCS│Outcomes!J204</f>
        <v>401</v>
      </c>
      <c r="H263" s="101">
        <f>CALCS│Outcomes!K204</f>
        <v>389</v>
      </c>
      <c r="I263" s="77"/>
    </row>
    <row r="264" spans="3:9" outlineLevel="1" x14ac:dyDescent="0.2">
      <c r="C264" s="81" t="s">
        <v>95</v>
      </c>
      <c r="D264" s="101">
        <f>CALCS│Outcomes!G205</f>
        <v>1655</v>
      </c>
      <c r="E264" s="101">
        <f>CALCS│Outcomes!H205</f>
        <v>1403</v>
      </c>
      <c r="F264" s="101">
        <f>CALCS│Outcomes!I205</f>
        <v>1214</v>
      </c>
      <c r="G264" s="101">
        <f>CALCS│Outcomes!J205</f>
        <v>1062</v>
      </c>
      <c r="H264" s="101">
        <f>CALCS│Outcomes!K205</f>
        <v>1032</v>
      </c>
      <c r="I264" s="77"/>
    </row>
    <row r="265" spans="3:9" outlineLevel="1" x14ac:dyDescent="0.2">
      <c r="C265" s="81" t="s">
        <v>97</v>
      </c>
      <c r="D265" s="101">
        <f>CALCS│Outcomes!G206</f>
        <v>808</v>
      </c>
      <c r="E265" s="101">
        <f>CALCS│Outcomes!H206</f>
        <v>986</v>
      </c>
      <c r="F265" s="101">
        <f>CALCS│Outcomes!I206</f>
        <v>941</v>
      </c>
      <c r="G265" s="101">
        <f>CALCS│Outcomes!J206</f>
        <v>650</v>
      </c>
      <c r="H265" s="101">
        <f>CALCS│Outcomes!K206</f>
        <v>566</v>
      </c>
      <c r="I265" s="77"/>
    </row>
    <row r="266" spans="3:9" outlineLevel="1" x14ac:dyDescent="0.2">
      <c r="C266" s="81" t="s">
        <v>99</v>
      </c>
      <c r="D266" s="101">
        <f>CALCS│Outcomes!G207</f>
        <v>140</v>
      </c>
      <c r="E266" s="101">
        <f>CALCS│Outcomes!H207</f>
        <v>167</v>
      </c>
      <c r="F266" s="101">
        <f>CALCS│Outcomes!I207</f>
        <v>148</v>
      </c>
      <c r="G266" s="101">
        <f>CALCS│Outcomes!J207</f>
        <v>151</v>
      </c>
      <c r="H266" s="101">
        <f>CALCS│Outcomes!K207</f>
        <v>179</v>
      </c>
      <c r="I266" s="77"/>
    </row>
    <row r="267" spans="3:9" outlineLevel="1" x14ac:dyDescent="0.2">
      <c r="C267" s="81" t="s">
        <v>101</v>
      </c>
      <c r="D267" s="101">
        <f>CALCS│Outcomes!G208</f>
        <v>1947</v>
      </c>
      <c r="E267" s="101">
        <f>CALCS│Outcomes!H208</f>
        <v>1842</v>
      </c>
      <c r="F267" s="101">
        <f>CALCS│Outcomes!I208</f>
        <v>1769</v>
      </c>
      <c r="G267" s="101">
        <f>CALCS│Outcomes!J208</f>
        <v>1682</v>
      </c>
      <c r="H267" s="101">
        <f>CALCS│Outcomes!K208</f>
        <v>1692</v>
      </c>
      <c r="I267" s="77"/>
    </row>
    <row r="268" spans="3:9" outlineLevel="1" x14ac:dyDescent="0.2"/>
    <row r="269" spans="3:9" outlineLevel="1" x14ac:dyDescent="0.2"/>
    <row r="270" spans="3:9" outlineLevel="1" x14ac:dyDescent="0.2"/>
    <row r="271" spans="3:9" outlineLevel="1" x14ac:dyDescent="0.2"/>
    <row r="272" spans="3:9" outlineLevel="1" x14ac:dyDescent="0.2"/>
    <row r="273" spans="2:18" outlineLevel="1" x14ac:dyDescent="0.2"/>
    <row r="274" spans="2:18" ht="13.5" outlineLevel="1" x14ac:dyDescent="0.25">
      <c r="B274" s="35" t="str">
        <f xml:space="preserve"> "Net change in sewer flooding incidents from 2014-15 to " &amp; Year</f>
        <v>Net change in sewer flooding incidents from 2014-15 to 2018-19</v>
      </c>
      <c r="C274" s="35"/>
      <c r="D274" s="35"/>
      <c r="E274" s="35"/>
      <c r="F274" s="35"/>
      <c r="G274" s="35"/>
      <c r="H274" s="35"/>
      <c r="I274" s="35"/>
      <c r="J274" s="35"/>
      <c r="K274" s="35"/>
      <c r="L274" s="35"/>
      <c r="M274" s="35"/>
      <c r="N274" s="35"/>
      <c r="O274" s="35"/>
      <c r="P274" s="35"/>
      <c r="Q274" s="35"/>
      <c r="R274" s="35"/>
    </row>
    <row r="275" spans="2:18" outlineLevel="1" x14ac:dyDescent="0.2"/>
    <row r="276" spans="2:18" ht="25.5" outlineLevel="1" x14ac:dyDescent="0.2">
      <c r="C276" s="354" t="s">
        <v>548</v>
      </c>
      <c r="D276" s="354" t="s">
        <v>344</v>
      </c>
      <c r="E276" s="354" t="s">
        <v>559</v>
      </c>
    </row>
    <row r="277" spans="2:18" outlineLevel="1" x14ac:dyDescent="0.2">
      <c r="C277" s="86">
        <v>1</v>
      </c>
      <c r="D277" s="203" t="str">
        <f xml:space="preserve"> INDEX( CALCS│Outcomes!$C$198:$C$208, MATCH( E277, CALCS│Outcomes!$O$198:$O$208, 0 ) )</f>
        <v>SWB</v>
      </c>
      <c r="E277" s="100">
        <f xml:space="preserve"> SMALL( CALCS│Outcomes!$O$198:$O$208, C277 )</f>
        <v>-0.48901098901098899</v>
      </c>
    </row>
    <row r="278" spans="2:18" outlineLevel="1" x14ac:dyDescent="0.2">
      <c r="C278" s="86">
        <v>2</v>
      </c>
      <c r="D278" s="203" t="str">
        <f xml:space="preserve"> INDEX( CALCS│Outcomes!$C$198:$C$208, MATCH( E278, CALCS│Outcomes!$O$198:$O$208, 0 ) )</f>
        <v>SVE</v>
      </c>
      <c r="E278" s="100">
        <f xml:space="preserve"> SMALL( CALCS│Outcomes!$O$198:$O$208, C278 )</f>
        <v>-0.37928082191780821</v>
      </c>
    </row>
    <row r="279" spans="2:18" outlineLevel="1" x14ac:dyDescent="0.2">
      <c r="C279" s="86">
        <v>3</v>
      </c>
      <c r="D279" s="203" t="str">
        <f xml:space="preserve"> INDEX( CALCS│Outcomes!$C$198:$C$208, MATCH( E279, CALCS│Outcomes!$O$198:$O$208, 0 ) )</f>
        <v>TMS</v>
      </c>
      <c r="E279" s="100">
        <f xml:space="preserve"> SMALL( CALCS│Outcomes!$O$198:$O$208, C279 )</f>
        <v>-0.37643504531722055</v>
      </c>
    </row>
    <row r="280" spans="2:18" outlineLevel="1" x14ac:dyDescent="0.2">
      <c r="C280" s="86">
        <v>4</v>
      </c>
      <c r="D280" s="203" t="str">
        <f xml:space="preserve"> INDEX( CALCS│Outcomes!$C$198:$C$208, MATCH( E280, CALCS│Outcomes!$O$198:$O$208, 0 ) )</f>
        <v>UU</v>
      </c>
      <c r="E280" s="100">
        <f xml:space="preserve"> SMALL( CALCS│Outcomes!$O$198:$O$208, C280 )</f>
        <v>-0.29950495049504949</v>
      </c>
    </row>
    <row r="281" spans="2:18" outlineLevel="1" x14ac:dyDescent="0.2">
      <c r="C281" s="86">
        <v>5</v>
      </c>
      <c r="D281" s="203" t="str">
        <f xml:space="preserve"> INDEX( CALCS│Outcomes!$C$198:$C$208, MATCH( E281, CALCS│Outcomes!$O$198:$O$208, 0 ) )</f>
        <v>ANH</v>
      </c>
      <c r="E281" s="100">
        <f xml:space="preserve"> SMALL( CALCS│Outcomes!$O$198:$O$208, C281 )</f>
        <v>-0.28000000000000003</v>
      </c>
    </row>
    <row r="282" spans="2:18" outlineLevel="1" x14ac:dyDescent="0.2">
      <c r="C282" s="86">
        <v>6</v>
      </c>
      <c r="D282" s="203" t="str">
        <f xml:space="preserve"> INDEX( CALCS│Outcomes!$C$198:$C$208, MATCH( E282, CALCS│Outcomes!$O$198:$O$208, 0 ) )</f>
        <v>SRN</v>
      </c>
      <c r="E282" s="100">
        <f xml:space="preserve"> SMALL( CALCS│Outcomes!$O$198:$O$208, C282 )</f>
        <v>-0.20123203285420946</v>
      </c>
    </row>
    <row r="283" spans="2:18" outlineLevel="1" x14ac:dyDescent="0.2">
      <c r="C283" s="86">
        <v>7</v>
      </c>
      <c r="D283" s="203" t="str">
        <f xml:space="preserve"> INDEX( CALCS│Outcomes!$C$198:$C$208, MATCH( E283, CALCS│Outcomes!$O$198:$O$208, 0 ) )</f>
        <v>WSH</v>
      </c>
      <c r="E283" s="100">
        <f xml:space="preserve"> SMALL( CALCS│Outcomes!$O$198:$O$208, C283 )</f>
        <v>-0.16603773584905659</v>
      </c>
    </row>
    <row r="284" spans="2:18" outlineLevel="1" x14ac:dyDescent="0.2">
      <c r="C284" s="86">
        <v>8</v>
      </c>
      <c r="D284" s="203" t="str">
        <f xml:space="preserve"> INDEX( CALCS│Outcomes!$C$198:$C$208, MATCH( E284, CALCS│Outcomes!$O$198:$O$208, 0 ) )</f>
        <v>YKY</v>
      </c>
      <c r="E284" s="100">
        <f xml:space="preserve"> SMALL( CALCS│Outcomes!$O$198:$O$208, C284 )</f>
        <v>-0.13097072419106318</v>
      </c>
    </row>
    <row r="285" spans="2:18" outlineLevel="1" x14ac:dyDescent="0.2">
      <c r="C285" s="86">
        <v>9</v>
      </c>
      <c r="D285" s="203" t="str">
        <f xml:space="preserve"> INDEX( CALCS│Outcomes!$C$198:$C$208, MATCH( E285, CALCS│Outcomes!$O$198:$O$208, 0 ) )</f>
        <v>NES</v>
      </c>
      <c r="E285" s="100">
        <f xml:space="preserve"> SMALL( CALCS│Outcomes!$O$198:$O$208, C285 )</f>
        <v>-0.11057692307692307</v>
      </c>
    </row>
    <row r="286" spans="2:18" outlineLevel="1" x14ac:dyDescent="0.2">
      <c r="C286" s="86">
        <v>10</v>
      </c>
      <c r="D286" s="203" t="str">
        <f xml:space="preserve"> INDEX( CALCS│Outcomes!$C$198:$C$208, MATCH( E286, CALCS│Outcomes!$O$198:$O$208, 0 ) )</f>
        <v>WSX</v>
      </c>
      <c r="E286" s="100">
        <f xml:space="preserve"> SMALL( CALCS│Outcomes!$O$198:$O$208, C286 )</f>
        <v>0.27857142857142858</v>
      </c>
    </row>
    <row r="287" spans="2:18" outlineLevel="1" x14ac:dyDescent="0.2">
      <c r="D287" s="81" t="s">
        <v>257</v>
      </c>
      <c r="E287" s="102">
        <f>CALCS│Outcomes!O210</f>
        <v>-0.25586636616730746</v>
      </c>
    </row>
    <row r="288" spans="2:18" outlineLevel="1" x14ac:dyDescent="0.2"/>
    <row r="289" spans="2:18" outlineLevel="1" x14ac:dyDescent="0.2"/>
    <row r="290" spans="2:18" outlineLevel="1" x14ac:dyDescent="0.2"/>
    <row r="291" spans="2:18" outlineLevel="1" x14ac:dyDescent="0.2"/>
    <row r="293" spans="2:18" ht="13.5" x14ac:dyDescent="0.25">
      <c r="B293" s="9" t="s">
        <v>164</v>
      </c>
      <c r="C293" s="9"/>
      <c r="D293" s="10"/>
      <c r="E293" s="10"/>
      <c r="F293" s="10"/>
      <c r="G293" s="10"/>
      <c r="H293" s="10"/>
      <c r="I293" s="10"/>
      <c r="J293" s="10"/>
      <c r="K293" s="10"/>
      <c r="L293" s="9" t="s">
        <v>588</v>
      </c>
      <c r="M293" s="10"/>
      <c r="N293" s="10"/>
      <c r="O293" s="10"/>
      <c r="P293" s="10"/>
      <c r="Q293" s="10"/>
      <c r="R293" s="10"/>
    </row>
    <row r="294" spans="2:18" outlineLevel="1" x14ac:dyDescent="0.2"/>
    <row r="295" spans="2:18" ht="13.5" outlineLevel="1" x14ac:dyDescent="0.25">
      <c r="B295" s="35" t="s">
        <v>564</v>
      </c>
      <c r="C295" s="35"/>
      <c r="D295" s="35"/>
      <c r="E295" s="35"/>
      <c r="F295" s="35"/>
      <c r="G295" s="35"/>
      <c r="H295" s="35"/>
      <c r="I295" s="35"/>
      <c r="J295" s="35"/>
      <c r="K295" s="35"/>
      <c r="L295" s="35"/>
      <c r="M295" s="35"/>
      <c r="N295" s="35"/>
      <c r="O295" s="35"/>
      <c r="P295" s="35"/>
      <c r="Q295" s="35"/>
      <c r="R295" s="35"/>
    </row>
    <row r="296" spans="2:18" outlineLevel="1" x14ac:dyDescent="0.2"/>
    <row r="297" spans="2:18" outlineLevel="1" x14ac:dyDescent="0.2">
      <c r="C297" s="354" t="s">
        <v>344</v>
      </c>
      <c r="D297" s="354" t="s">
        <v>251</v>
      </c>
      <c r="E297" s="354" t="s">
        <v>252</v>
      </c>
      <c r="F297" s="354" t="s">
        <v>253</v>
      </c>
      <c r="G297" s="354" t="s">
        <v>171</v>
      </c>
      <c r="H297" s="354" t="s">
        <v>172</v>
      </c>
      <c r="I297" s="354" t="s">
        <v>173</v>
      </c>
      <c r="J297" s="354" t="s">
        <v>150</v>
      </c>
    </row>
    <row r="298" spans="2:18" outlineLevel="1" x14ac:dyDescent="0.2">
      <c r="C298" s="81" t="s">
        <v>79</v>
      </c>
      <c r="D298" s="101">
        <f>CALCS│Outcomes!E265</f>
        <v>446</v>
      </c>
      <c r="E298" s="101">
        <f>CALCS│Outcomes!F265</f>
        <v>392</v>
      </c>
      <c r="F298" s="101">
        <f>CALCS│Outcomes!G265</f>
        <v>392</v>
      </c>
      <c r="G298" s="101">
        <f>CALCS│Outcomes!H265</f>
        <v>151</v>
      </c>
      <c r="H298" s="101">
        <f>CALCS│Outcomes!I265</f>
        <v>220</v>
      </c>
      <c r="I298" s="101">
        <f>CALCS│Outcomes!J265</f>
        <v>224</v>
      </c>
      <c r="J298" s="101">
        <f>CALCS│Outcomes!K265</f>
        <v>189</v>
      </c>
    </row>
    <row r="299" spans="2:18" outlineLevel="1" x14ac:dyDescent="0.2">
      <c r="C299" s="81" t="s">
        <v>81</v>
      </c>
      <c r="D299" s="101">
        <f>CALCS│Outcomes!E266</f>
        <v>193</v>
      </c>
      <c r="E299" s="101">
        <f>CALCS│Outcomes!F266</f>
        <v>120</v>
      </c>
      <c r="F299" s="101">
        <f>CALCS│Outcomes!G266</f>
        <v>104</v>
      </c>
      <c r="G299" s="101">
        <f>CALCS│Outcomes!H266</f>
        <v>107</v>
      </c>
      <c r="H299" s="101">
        <f>CALCS│Outcomes!I266</f>
        <v>105</v>
      </c>
      <c r="I299" s="101">
        <f>CALCS│Outcomes!J266</f>
        <v>101</v>
      </c>
      <c r="J299" s="101">
        <f>CALCS│Outcomes!K266</f>
        <v>98</v>
      </c>
    </row>
    <row r="300" spans="2:18" outlineLevel="1" x14ac:dyDescent="0.2">
      <c r="C300" s="81" t="s">
        <v>86</v>
      </c>
      <c r="D300" s="101">
        <f>CALCS│Outcomes!E268</f>
        <v>192</v>
      </c>
      <c r="E300" s="101">
        <f>CALCS│Outcomes!F268</f>
        <v>127</v>
      </c>
      <c r="F300" s="101">
        <f>CALCS│Outcomes!G268</f>
        <v>87</v>
      </c>
      <c r="G300" s="101">
        <f>CALCS│Outcomes!H268</f>
        <v>156</v>
      </c>
      <c r="H300" s="101">
        <f>CALCS│Outcomes!I268</f>
        <v>110</v>
      </c>
      <c r="I300" s="101">
        <f>CALCS│Outcomes!J268</f>
        <v>50</v>
      </c>
      <c r="J300" s="101">
        <f>CALCS│Outcomes!K268</f>
        <v>37</v>
      </c>
    </row>
    <row r="301" spans="2:18" outlineLevel="1" x14ac:dyDescent="0.2">
      <c r="C301" s="81" t="s">
        <v>563</v>
      </c>
      <c r="D301" s="113">
        <f>CALCS│Outcomes!E267 + CALCS│Outcomes!E269</f>
        <v>365</v>
      </c>
      <c r="E301" s="113">
        <f>CALCS│Outcomes!F267 + CALCS│Outcomes!F269</f>
        <v>431</v>
      </c>
      <c r="F301" s="113">
        <f>CALCS│Outcomes!G267 + CALCS│Outcomes!G269</f>
        <v>351</v>
      </c>
      <c r="G301" s="113">
        <f>CALCS│Outcomes!H267 + CALCS│Outcomes!H269</f>
        <v>255</v>
      </c>
      <c r="H301" s="113">
        <f>CALCS│Outcomes!I267 + CALCS│Outcomes!I269</f>
        <v>268</v>
      </c>
      <c r="I301" s="113">
        <f>CALCS│Outcomes!J267 + CALCS│Outcomes!J269</f>
        <v>277</v>
      </c>
      <c r="J301" s="113">
        <f>CALCS│Outcomes!K267 + CALCS│Outcomes!K269</f>
        <v>283</v>
      </c>
    </row>
    <row r="302" spans="2:18" outlineLevel="1" x14ac:dyDescent="0.2">
      <c r="C302" s="81" t="s">
        <v>90</v>
      </c>
      <c r="D302" s="101">
        <f>CALCS│Outcomes!E270</f>
        <v>206</v>
      </c>
      <c r="E302" s="101">
        <f>CALCS│Outcomes!F270</f>
        <v>246</v>
      </c>
      <c r="F302" s="101">
        <f>CALCS│Outcomes!G270</f>
        <v>156</v>
      </c>
      <c r="G302" s="101">
        <f>CALCS│Outcomes!H270</f>
        <v>158</v>
      </c>
      <c r="H302" s="101">
        <f>CALCS│Outcomes!I270</f>
        <v>179</v>
      </c>
      <c r="I302" s="101">
        <f>CALCS│Outcomes!J270</f>
        <v>169</v>
      </c>
      <c r="J302" s="101">
        <f>CALCS│Outcomes!K270</f>
        <v>168</v>
      </c>
    </row>
    <row r="303" spans="2:18" outlineLevel="1" x14ac:dyDescent="0.2">
      <c r="C303" s="81" t="s">
        <v>93</v>
      </c>
      <c r="D303" s="101">
        <f>CALCS│Outcomes!E271</f>
        <v>409</v>
      </c>
      <c r="E303" s="101">
        <f>CALCS│Outcomes!F271</f>
        <v>320</v>
      </c>
      <c r="F303" s="101">
        <f>CALCS│Outcomes!G271</f>
        <v>287</v>
      </c>
      <c r="G303" s="101">
        <f>CALCS│Outcomes!H271</f>
        <v>161</v>
      </c>
      <c r="H303" s="101">
        <f>CALCS│Outcomes!I271</f>
        <v>138</v>
      </c>
      <c r="I303" s="101">
        <f>CALCS│Outcomes!J271</f>
        <v>123</v>
      </c>
      <c r="J303" s="101">
        <f>CALCS│Outcomes!K271</f>
        <v>149</v>
      </c>
    </row>
    <row r="304" spans="2:18" outlineLevel="1" x14ac:dyDescent="0.2">
      <c r="C304" s="81" t="s">
        <v>95</v>
      </c>
      <c r="D304" s="101">
        <f>CALCS│Outcomes!E272</f>
        <v>468</v>
      </c>
      <c r="E304" s="101">
        <f>CALCS│Outcomes!F272</f>
        <v>612</v>
      </c>
      <c r="F304" s="101">
        <f>CALCS│Outcomes!G272</f>
        <v>506</v>
      </c>
      <c r="G304" s="101">
        <f>CALCS│Outcomes!H272</f>
        <v>263</v>
      </c>
      <c r="H304" s="101">
        <f>CALCS│Outcomes!I272</f>
        <v>357</v>
      </c>
      <c r="I304" s="101">
        <f>CALCS│Outcomes!J272</f>
        <v>302</v>
      </c>
      <c r="J304" s="101">
        <f>CALCS│Outcomes!K272</f>
        <v>297</v>
      </c>
    </row>
    <row r="305" spans="2:18" outlineLevel="1" x14ac:dyDescent="0.2">
      <c r="C305" s="81" t="s">
        <v>97</v>
      </c>
      <c r="D305" s="101">
        <f>CALCS│Outcomes!E273</f>
        <v>324</v>
      </c>
      <c r="E305" s="101">
        <f>CALCS│Outcomes!F273</f>
        <v>208</v>
      </c>
      <c r="F305" s="101">
        <f>CALCS│Outcomes!G273</f>
        <v>214</v>
      </c>
      <c r="G305" s="101">
        <f>CALCS│Outcomes!H273</f>
        <v>175</v>
      </c>
      <c r="H305" s="101">
        <f>CALCS│Outcomes!I273</f>
        <v>171</v>
      </c>
      <c r="I305" s="101">
        <f>CALCS│Outcomes!J273</f>
        <v>166</v>
      </c>
      <c r="J305" s="101">
        <f>CALCS│Outcomes!K273</f>
        <v>179</v>
      </c>
    </row>
    <row r="306" spans="2:18" outlineLevel="1" x14ac:dyDescent="0.2">
      <c r="C306" s="81" t="s">
        <v>99</v>
      </c>
      <c r="D306" s="101">
        <f>CALCS│Outcomes!E274</f>
        <v>61</v>
      </c>
      <c r="E306" s="101">
        <f>CALCS│Outcomes!F274</f>
        <v>83</v>
      </c>
      <c r="F306" s="101">
        <f>CALCS│Outcomes!G274</f>
        <v>75</v>
      </c>
      <c r="G306" s="101">
        <f>CALCS│Outcomes!H274</f>
        <v>83</v>
      </c>
      <c r="H306" s="101">
        <f>CALCS│Outcomes!I274</f>
        <v>74</v>
      </c>
      <c r="I306" s="101">
        <f>CALCS│Outcomes!J274</f>
        <v>79</v>
      </c>
      <c r="J306" s="101">
        <f>CALCS│Outcomes!K274</f>
        <v>82</v>
      </c>
    </row>
    <row r="307" spans="2:18" outlineLevel="1" x14ac:dyDescent="0.2">
      <c r="C307" s="81" t="s">
        <v>101</v>
      </c>
      <c r="D307" s="101">
        <f>CALCS│Outcomes!E275</f>
        <v>253</v>
      </c>
      <c r="E307" s="101">
        <f>CALCS│Outcomes!F275</f>
        <v>239</v>
      </c>
      <c r="F307" s="101">
        <f>CALCS│Outcomes!G275</f>
        <v>180</v>
      </c>
      <c r="G307" s="101">
        <f>CALCS│Outcomes!H275</f>
        <v>219</v>
      </c>
      <c r="H307" s="101">
        <f>CALCS│Outcomes!I275</f>
        <v>237</v>
      </c>
      <c r="I307" s="101">
        <f>CALCS│Outcomes!J275</f>
        <v>222</v>
      </c>
      <c r="J307" s="101">
        <f>CALCS│Outcomes!K275</f>
        <v>224</v>
      </c>
    </row>
    <row r="308" spans="2:18" outlineLevel="1" x14ac:dyDescent="0.2">
      <c r="I308" s="77"/>
    </row>
    <row r="309" spans="2:18" outlineLevel="1" x14ac:dyDescent="0.2"/>
    <row r="310" spans="2:18" outlineLevel="1" x14ac:dyDescent="0.2"/>
    <row r="311" spans="2:18" outlineLevel="1" x14ac:dyDescent="0.2"/>
    <row r="312" spans="2:18" outlineLevel="1" x14ac:dyDescent="0.2"/>
    <row r="313" spans="2:18" outlineLevel="1" x14ac:dyDescent="0.2"/>
    <row r="314" spans="2:18" outlineLevel="1" x14ac:dyDescent="0.2"/>
    <row r="315" spans="2:18" ht="13.5" outlineLevel="1" x14ac:dyDescent="0.25">
      <c r="B315" s="35" t="str">
        <f xml:space="preserve"> "Net change in pollution incidents from 2012-13 to " &amp; Year</f>
        <v>Net change in pollution incidents from 2012-13 to 2018-19</v>
      </c>
      <c r="C315" s="35"/>
      <c r="D315" s="35"/>
      <c r="E315" s="35"/>
      <c r="F315" s="35"/>
      <c r="G315" s="35"/>
      <c r="H315" s="35"/>
      <c r="I315" s="35"/>
      <c r="J315" s="35"/>
      <c r="K315" s="35"/>
      <c r="L315" s="35"/>
      <c r="M315" s="35"/>
      <c r="N315" s="35"/>
      <c r="O315" s="35"/>
      <c r="P315" s="35"/>
      <c r="Q315" s="35"/>
      <c r="R315" s="35"/>
    </row>
    <row r="316" spans="2:18" outlineLevel="1" x14ac:dyDescent="0.2"/>
    <row r="317" spans="2:18" ht="25.5" outlineLevel="1" x14ac:dyDescent="0.2">
      <c r="C317" s="354" t="s">
        <v>548</v>
      </c>
      <c r="D317" s="354" t="s">
        <v>344</v>
      </c>
      <c r="E317" s="354" t="s">
        <v>559</v>
      </c>
    </row>
    <row r="318" spans="2:18" outlineLevel="1" x14ac:dyDescent="0.2">
      <c r="C318" s="86">
        <v>1</v>
      </c>
      <c r="D318" s="203" t="str">
        <f xml:space="preserve"> INDEX( CALCS│Outcomes!$C$265:$C$275, MATCH( E318, CALCS│Outcomes!$O$265:$O$275, 0 ) )</f>
        <v>NES</v>
      </c>
      <c r="E318" s="100">
        <f xml:space="preserve"> SMALL( CALCS│Outcomes!$O$265:$O$275, C318 )</f>
        <v>-0.80729166666666663</v>
      </c>
    </row>
    <row r="319" spans="2:18" outlineLevel="1" x14ac:dyDescent="0.2">
      <c r="C319" s="86">
        <v>2</v>
      </c>
      <c r="D319" s="203" t="str">
        <f xml:space="preserve"> INDEX( CALCS│Outcomes!$C$265:$C$275, MATCH( E319, CALCS│Outcomes!$O$265:$O$275, 0 ) )</f>
        <v>SRN</v>
      </c>
      <c r="E319" s="100">
        <f xml:space="preserve"> SMALL( CALCS│Outcomes!$O$265:$O$275, C319 )</f>
        <v>-0.63569682151589246</v>
      </c>
    </row>
    <row r="320" spans="2:18" outlineLevel="1" x14ac:dyDescent="0.2">
      <c r="C320" s="86">
        <v>3</v>
      </c>
      <c r="D320" s="203" t="str">
        <f xml:space="preserve"> INDEX( CALCS│Outcomes!$C$265:$C$275, MATCH( E320, CALCS│Outcomes!$O$265:$O$275, 0 ) )</f>
        <v>ANH</v>
      </c>
      <c r="E320" s="100">
        <f xml:space="preserve"> SMALL( CALCS│Outcomes!$O$265:$O$275, C320 )</f>
        <v>-0.57623318385650224</v>
      </c>
    </row>
    <row r="321" spans="2:18" outlineLevel="1" x14ac:dyDescent="0.2">
      <c r="C321" s="86">
        <v>4</v>
      </c>
      <c r="D321" s="203" t="str">
        <f xml:space="preserve"> INDEX( CALCS│Outcomes!$C$265:$C$275, MATCH( E321, CALCS│Outcomes!$O$265:$O$275, 0 ) )</f>
        <v>WSH</v>
      </c>
      <c r="E321" s="100">
        <f xml:space="preserve"> SMALL( CALCS│Outcomes!$O$265:$O$275, C321 )</f>
        <v>-0.49222797927461137</v>
      </c>
    </row>
    <row r="322" spans="2:18" outlineLevel="1" x14ac:dyDescent="0.2">
      <c r="C322" s="86">
        <v>5</v>
      </c>
      <c r="D322" s="203" t="str">
        <f xml:space="preserve"> INDEX( CALCS│Outcomes!$C$265:$C$275, MATCH( E322, CALCS│Outcomes!$O$265:$O$275, 0 ) )</f>
        <v>UU</v>
      </c>
      <c r="E322" s="100">
        <f xml:space="preserve"> SMALL( CALCS│Outcomes!$O$265:$O$275, C322 )</f>
        <v>-0.44753086419753085</v>
      </c>
    </row>
    <row r="323" spans="2:18" outlineLevel="1" x14ac:dyDescent="0.2">
      <c r="C323" s="86">
        <v>6</v>
      </c>
      <c r="D323" s="203" t="str">
        <f xml:space="preserve"> INDEX( CALCS│Outcomes!$C$265:$C$275, MATCH( E323, CALCS│Outcomes!$O$265:$O$275, 0 ) )</f>
        <v>TMS</v>
      </c>
      <c r="E323" s="100">
        <f xml:space="preserve"> SMALL( CALCS│Outcomes!$O$265:$O$275, C323 )</f>
        <v>-0.36538461538461536</v>
      </c>
    </row>
    <row r="324" spans="2:18" outlineLevel="1" x14ac:dyDescent="0.2">
      <c r="C324" s="86">
        <v>7</v>
      </c>
      <c r="D324" s="203" t="str">
        <f xml:space="preserve"> INDEX( CALCS│Outcomes!$C$265:$C$275, MATCH( E324, CALCS│Outcomes!$O$265:$O$275, 0 ) )</f>
        <v>SVE</v>
      </c>
      <c r="E324" s="100">
        <f xml:space="preserve"> SMALL( CALCS│Outcomes!$O$265:$O$275, C324 )</f>
        <v>-0.23561643835616439</v>
      </c>
    </row>
    <row r="325" spans="2:18" outlineLevel="1" x14ac:dyDescent="0.2">
      <c r="C325" s="86">
        <v>8</v>
      </c>
      <c r="D325" s="203" t="str">
        <f xml:space="preserve"> INDEX( CALCS│Outcomes!$C$265:$C$275, MATCH( E325, CALCS│Outcomes!$O$265:$O$275, 0 ) )</f>
        <v>SWB</v>
      </c>
      <c r="E325" s="100">
        <f xml:space="preserve"> SMALL( CALCS│Outcomes!$O$265:$O$275, C325 )</f>
        <v>-0.18446601941747573</v>
      </c>
    </row>
    <row r="326" spans="2:18" outlineLevel="1" x14ac:dyDescent="0.2">
      <c r="C326" s="86">
        <v>9</v>
      </c>
      <c r="D326" s="203" t="str">
        <f xml:space="preserve"> INDEX( CALCS│Outcomes!$C$265:$C$275, MATCH( E326, CALCS│Outcomes!$O$265:$O$275, 0 ) )</f>
        <v>YKY</v>
      </c>
      <c r="E326" s="100">
        <f xml:space="preserve"> SMALL( CALCS│Outcomes!$O$265:$O$275, C326 )</f>
        <v>-0.11462450592885376</v>
      </c>
    </row>
    <row r="327" spans="2:18" outlineLevel="1" x14ac:dyDescent="0.2">
      <c r="C327" s="86">
        <v>10</v>
      </c>
      <c r="D327" s="203" t="str">
        <f xml:space="preserve"> INDEX( CALCS│Outcomes!$C$265:$C$275, MATCH( E327, CALCS│Outcomes!$O$265:$O$275, 0 ) )</f>
        <v>WSX</v>
      </c>
      <c r="E327" s="100">
        <f xml:space="preserve"> SMALL( CALCS│Outcomes!$O$265:$O$275, C327 )</f>
        <v>0.34426229508196721</v>
      </c>
    </row>
    <row r="328" spans="2:18" outlineLevel="1" x14ac:dyDescent="0.2">
      <c r="D328" s="81" t="s">
        <v>257</v>
      </c>
      <c r="E328" s="102">
        <f>CALCS│Outcomes!O277</f>
        <v>-0.41515255399382928</v>
      </c>
    </row>
    <row r="329" spans="2:18" outlineLevel="1" x14ac:dyDescent="0.2"/>
    <row r="330" spans="2:18" outlineLevel="1" x14ac:dyDescent="0.2"/>
    <row r="331" spans="2:18" outlineLevel="1" x14ac:dyDescent="0.2"/>
    <row r="332" spans="2:18" outlineLevel="1" x14ac:dyDescent="0.2"/>
    <row r="334" spans="2:18" x14ac:dyDescent="0.2">
      <c r="B334" s="20" t="s">
        <v>26</v>
      </c>
      <c r="C334" s="20"/>
      <c r="D334" s="20"/>
      <c r="E334" s="20"/>
      <c r="F334" s="20"/>
      <c r="G334" s="20"/>
      <c r="H334" s="20"/>
      <c r="I334" s="20"/>
      <c r="J334" s="20"/>
      <c r="K334" s="20"/>
      <c r="L334" s="20"/>
      <c r="M334" s="20"/>
      <c r="N334" s="20"/>
      <c r="O334" s="20"/>
      <c r="P334" s="20"/>
      <c r="Q334" s="20"/>
      <c r="R334" s="2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L112"/>
  <sheetViews>
    <sheetView showGridLines="0" workbookViewId="0"/>
  </sheetViews>
  <sheetFormatPr defaultRowHeight="12.75" x14ac:dyDescent="0.2"/>
  <cols>
    <col min="1" max="2" width="2.625" style="8" customWidth="1"/>
    <col min="3" max="4" width="10" style="8" customWidth="1"/>
    <col min="5" max="5" width="2.625" style="8" customWidth="1"/>
    <col min="6" max="11" width="10" style="8" customWidth="1"/>
    <col min="12" max="12" width="11.125" style="8" customWidth="1"/>
    <col min="13" max="16384" width="9" style="8"/>
  </cols>
  <sheetData>
    <row r="2" spans="2:12" ht="13.5" x14ac:dyDescent="0.25">
      <c r="B2" s="9" t="s">
        <v>27</v>
      </c>
      <c r="C2" s="9"/>
      <c r="D2" s="9"/>
      <c r="E2" s="9"/>
      <c r="F2" s="9"/>
      <c r="G2" s="9"/>
      <c r="H2" s="9"/>
      <c r="I2" s="9"/>
      <c r="J2" s="9"/>
      <c r="K2" s="9"/>
      <c r="L2" s="9"/>
    </row>
    <row r="4" spans="2:12" ht="13.5" x14ac:dyDescent="0.25">
      <c r="B4" s="36" t="s">
        <v>28</v>
      </c>
      <c r="C4" s="36"/>
      <c r="D4" s="36"/>
      <c r="E4" s="36"/>
      <c r="F4" s="36"/>
      <c r="G4" s="36"/>
      <c r="H4" s="36"/>
      <c r="I4" s="36"/>
      <c r="J4" s="36"/>
      <c r="K4" s="36"/>
      <c r="L4" s="36"/>
    </row>
    <row r="27" spans="2:12" ht="13.5" x14ac:dyDescent="0.25">
      <c r="B27" s="36" t="s">
        <v>29</v>
      </c>
      <c r="C27" s="36"/>
      <c r="D27" s="36"/>
      <c r="E27" s="36"/>
      <c r="F27" s="36"/>
      <c r="G27" s="36"/>
      <c r="H27" s="36"/>
      <c r="I27" s="36"/>
      <c r="J27" s="36"/>
      <c r="K27" s="36"/>
      <c r="L27" s="36"/>
    </row>
    <row r="29" spans="2:12" s="84" customFormat="1" ht="15.95" customHeight="1" x14ac:dyDescent="0.2">
      <c r="B29" s="266"/>
      <c r="C29" s="318" t="s">
        <v>30</v>
      </c>
      <c r="D29" s="319"/>
      <c r="E29" s="266"/>
      <c r="F29" s="266" t="s">
        <v>31</v>
      </c>
      <c r="G29" s="266"/>
      <c r="H29" s="266"/>
      <c r="I29" s="266"/>
      <c r="J29" s="266"/>
      <c r="K29" s="266"/>
      <c r="L29" s="266"/>
    </row>
    <row r="30" spans="2:12" ht="6" customHeight="1" x14ac:dyDescent="0.2">
      <c r="C30" s="308"/>
      <c r="D30" s="308"/>
    </row>
    <row r="31" spans="2:12" s="84" customFormat="1" ht="15.95" customHeight="1" x14ac:dyDescent="0.2">
      <c r="B31" s="266"/>
      <c r="C31" s="320" t="s">
        <v>32</v>
      </c>
      <c r="D31" s="321"/>
      <c r="E31" s="266"/>
      <c r="F31" s="266" t="s">
        <v>33</v>
      </c>
      <c r="G31" s="266"/>
      <c r="H31" s="266"/>
      <c r="I31" s="266"/>
      <c r="J31" s="266"/>
      <c r="K31" s="266"/>
      <c r="L31" s="266"/>
    </row>
    <row r="32" spans="2:12" ht="6" customHeight="1" x14ac:dyDescent="0.2">
      <c r="C32" s="308"/>
      <c r="D32" s="308"/>
    </row>
    <row r="33" spans="2:12" s="84" customFormat="1" ht="15.95" customHeight="1" x14ac:dyDescent="0.2">
      <c r="B33" s="266"/>
      <c r="C33" s="322" t="s">
        <v>34</v>
      </c>
      <c r="D33" s="323"/>
      <c r="E33" s="266"/>
      <c r="F33" s="266" t="s">
        <v>35</v>
      </c>
      <c r="G33" s="266"/>
      <c r="H33" s="266"/>
      <c r="I33" s="266"/>
      <c r="J33" s="266"/>
      <c r="K33" s="266"/>
      <c r="L33" s="266"/>
    </row>
    <row r="34" spans="2:12" ht="6" customHeight="1" x14ac:dyDescent="0.2">
      <c r="C34" s="308"/>
      <c r="D34" s="308"/>
    </row>
    <row r="35" spans="2:12" s="84" customFormat="1" ht="15.95" customHeight="1" x14ac:dyDescent="0.2">
      <c r="B35" s="266"/>
      <c r="C35" s="309" t="s">
        <v>36</v>
      </c>
      <c r="D35" s="310"/>
      <c r="E35" s="266"/>
      <c r="F35" s="266" t="s">
        <v>37</v>
      </c>
      <c r="G35" s="266"/>
      <c r="H35" s="266"/>
      <c r="I35" s="266"/>
      <c r="J35" s="266"/>
      <c r="K35" s="266"/>
      <c r="L35" s="266"/>
    </row>
    <row r="37" spans="2:12" ht="13.5" x14ac:dyDescent="0.25">
      <c r="B37" s="42" t="s">
        <v>38</v>
      </c>
      <c r="C37" s="42"/>
      <c r="D37" s="42"/>
      <c r="E37" s="42"/>
      <c r="F37" s="42"/>
      <c r="G37" s="42"/>
      <c r="H37" s="42"/>
      <c r="I37" s="42"/>
      <c r="J37" s="42"/>
      <c r="K37" s="42"/>
      <c r="L37" s="42"/>
    </row>
    <row r="39" spans="2:12" s="84" customFormat="1" ht="15.95" customHeight="1" x14ac:dyDescent="0.2">
      <c r="B39" s="266"/>
      <c r="C39" s="316" t="s">
        <v>39</v>
      </c>
      <c r="D39" s="316"/>
      <c r="E39" s="266"/>
      <c r="F39" s="266" t="s">
        <v>40</v>
      </c>
      <c r="G39" s="266"/>
      <c r="H39" s="266"/>
      <c r="I39" s="266"/>
      <c r="J39" s="266"/>
      <c r="K39" s="266"/>
      <c r="L39" s="266"/>
    </row>
    <row r="40" spans="2:12" s="84" customFormat="1" ht="15.95" customHeight="1" x14ac:dyDescent="0.2">
      <c r="B40" s="266"/>
      <c r="C40" s="317" t="s">
        <v>41</v>
      </c>
      <c r="D40" s="317"/>
      <c r="E40" s="266"/>
      <c r="F40" s="266" t="s">
        <v>42</v>
      </c>
      <c r="G40" s="266"/>
      <c r="H40" s="266"/>
      <c r="I40" s="266"/>
      <c r="J40" s="266"/>
      <c r="K40" s="266"/>
      <c r="L40" s="266"/>
    </row>
    <row r="41" spans="2:12" s="84" customFormat="1" ht="15.95" customHeight="1" x14ac:dyDescent="0.2">
      <c r="B41" s="266"/>
      <c r="C41" s="324" t="s">
        <v>43</v>
      </c>
      <c r="D41" s="324"/>
      <c r="E41" s="266"/>
      <c r="F41" s="266" t="s">
        <v>44</v>
      </c>
      <c r="G41" s="266"/>
      <c r="H41" s="266"/>
      <c r="I41" s="266"/>
      <c r="J41" s="266"/>
      <c r="K41" s="266"/>
      <c r="L41" s="266"/>
    </row>
    <row r="42" spans="2:12" s="84" customFormat="1" ht="15.95" customHeight="1" x14ac:dyDescent="0.2">
      <c r="B42" s="266"/>
      <c r="C42" s="325" t="s">
        <v>45</v>
      </c>
      <c r="D42" s="325"/>
      <c r="E42" s="266"/>
      <c r="F42" s="266" t="s">
        <v>46</v>
      </c>
      <c r="G42" s="266"/>
      <c r="H42" s="266"/>
      <c r="I42" s="266"/>
      <c r="J42" s="266"/>
      <c r="K42" s="266"/>
      <c r="L42" s="266"/>
    </row>
    <row r="43" spans="2:12" s="84" customFormat="1" ht="15.95" customHeight="1" x14ac:dyDescent="0.2">
      <c r="B43" s="266"/>
      <c r="C43" s="326" t="s">
        <v>47</v>
      </c>
      <c r="D43" s="326"/>
      <c r="E43" s="266"/>
      <c r="F43" s="266" t="s">
        <v>48</v>
      </c>
      <c r="G43" s="266"/>
      <c r="H43" s="266"/>
      <c r="I43" s="266"/>
      <c r="J43" s="266"/>
      <c r="K43" s="266"/>
      <c r="L43" s="266"/>
    </row>
    <row r="44" spans="2:12" s="84" customFormat="1" ht="15.95" customHeight="1" x14ac:dyDescent="0.2">
      <c r="B44" s="266"/>
      <c r="C44" s="327" t="s">
        <v>49</v>
      </c>
      <c r="D44" s="327"/>
      <c r="E44" s="266"/>
      <c r="F44" s="266" t="s">
        <v>50</v>
      </c>
      <c r="G44" s="266"/>
      <c r="H44" s="266"/>
      <c r="I44" s="266"/>
      <c r="J44" s="266"/>
      <c r="K44" s="266"/>
      <c r="L44" s="266"/>
    </row>
    <row r="45" spans="2:12" ht="6" customHeight="1" x14ac:dyDescent="0.2">
      <c r="C45" s="311"/>
      <c r="D45" s="311"/>
    </row>
    <row r="46" spans="2:12" s="84" customFormat="1" ht="15.95" customHeight="1" x14ac:dyDescent="0.2">
      <c r="B46" s="266"/>
      <c r="C46" s="312" t="s">
        <v>51</v>
      </c>
      <c r="D46" s="313"/>
      <c r="E46" s="266"/>
      <c r="F46" s="266" t="s">
        <v>52</v>
      </c>
      <c r="G46" s="266"/>
      <c r="H46" s="266"/>
      <c r="I46" s="266"/>
      <c r="J46" s="266"/>
      <c r="K46" s="266"/>
      <c r="L46" s="266"/>
    </row>
    <row r="47" spans="2:12" s="84" customFormat="1" ht="15.95" customHeight="1" x14ac:dyDescent="0.2">
      <c r="B47" s="266"/>
      <c r="C47" s="314" t="s">
        <v>53</v>
      </c>
      <c r="D47" s="315"/>
      <c r="E47" s="266"/>
      <c r="F47" s="266" t="s">
        <v>54</v>
      </c>
      <c r="G47" s="266"/>
      <c r="H47" s="266"/>
      <c r="I47" s="266"/>
      <c r="J47" s="266"/>
      <c r="K47" s="266"/>
      <c r="L47" s="266"/>
    </row>
    <row r="48" spans="2:12" s="84" customFormat="1" ht="15.95" customHeight="1" x14ac:dyDescent="0.2">
      <c r="B48" s="266"/>
      <c r="C48" s="330" t="s">
        <v>55</v>
      </c>
      <c r="D48" s="331"/>
      <c r="E48" s="266"/>
      <c r="F48" s="266" t="s">
        <v>56</v>
      </c>
      <c r="G48" s="266"/>
      <c r="H48" s="266"/>
      <c r="I48" s="266"/>
      <c r="J48" s="266"/>
      <c r="K48" s="266"/>
      <c r="L48" s="266"/>
    </row>
    <row r="49" spans="2:12" s="84" customFormat="1" ht="15.95" customHeight="1" x14ac:dyDescent="0.2">
      <c r="B49" s="266"/>
      <c r="C49" s="332" t="s">
        <v>57</v>
      </c>
      <c r="D49" s="333"/>
      <c r="E49" s="266"/>
      <c r="F49" s="266" t="s">
        <v>58</v>
      </c>
      <c r="G49" s="266"/>
      <c r="H49" s="266"/>
      <c r="I49" s="266"/>
      <c r="J49" s="266"/>
      <c r="K49" s="266"/>
      <c r="L49" s="266"/>
    </row>
    <row r="50" spans="2:12" s="84" customFormat="1" ht="15.95" customHeight="1" x14ac:dyDescent="0.2">
      <c r="B50" s="266"/>
      <c r="C50" s="334" t="s">
        <v>59</v>
      </c>
      <c r="D50" s="335"/>
      <c r="E50" s="266"/>
      <c r="F50" s="266" t="s">
        <v>60</v>
      </c>
      <c r="G50" s="266"/>
      <c r="H50" s="266"/>
      <c r="I50" s="266"/>
      <c r="J50" s="266"/>
      <c r="K50" s="266"/>
      <c r="L50" s="266"/>
    </row>
    <row r="51" spans="2:12" s="84" customFormat="1" ht="15.95" customHeight="1" x14ac:dyDescent="0.2">
      <c r="B51" s="266"/>
      <c r="C51" s="328" t="s">
        <v>61</v>
      </c>
      <c r="D51" s="329"/>
      <c r="E51" s="266"/>
      <c r="F51" s="266" t="s">
        <v>62</v>
      </c>
      <c r="G51" s="266"/>
      <c r="H51" s="266"/>
      <c r="I51" s="266"/>
      <c r="J51" s="266"/>
      <c r="K51" s="266"/>
      <c r="L51" s="266"/>
    </row>
    <row r="53" spans="2:12" ht="13.5" x14ac:dyDescent="0.25">
      <c r="B53" s="42" t="s">
        <v>63</v>
      </c>
      <c r="C53" s="42"/>
      <c r="D53" s="42"/>
      <c r="E53" s="42"/>
      <c r="F53" s="42"/>
      <c r="G53" s="42"/>
      <c r="H53" s="42"/>
      <c r="I53" s="42"/>
      <c r="J53" s="42"/>
      <c r="K53" s="42"/>
      <c r="L53" s="42"/>
    </row>
    <row r="55" spans="2:12" x14ac:dyDescent="0.2">
      <c r="C55" s="13" t="s">
        <v>64</v>
      </c>
      <c r="G55" s="13" t="s">
        <v>65</v>
      </c>
    </row>
    <row r="56" spans="2:12" ht="6" customHeight="1" x14ac:dyDescent="0.2"/>
    <row r="57" spans="2:12" s="84" customFormat="1" ht="15.95" customHeight="1" x14ac:dyDescent="0.2">
      <c r="B57" s="266"/>
      <c r="C57" s="220"/>
      <c r="D57" s="222" t="s">
        <v>66</v>
      </c>
      <c r="E57" s="221"/>
      <c r="F57" s="266"/>
      <c r="G57" s="375"/>
      <c r="H57" s="223" t="s">
        <v>67</v>
      </c>
      <c r="I57" s="266"/>
      <c r="J57" s="266"/>
      <c r="K57" s="266"/>
      <c r="L57" s="266"/>
    </row>
    <row r="58" spans="2:12" s="84" customFormat="1" ht="15.95" customHeight="1" x14ac:dyDescent="0.2">
      <c r="B58" s="266"/>
      <c r="C58" s="377"/>
      <c r="D58" s="222" t="s">
        <v>68</v>
      </c>
      <c r="E58" s="221"/>
      <c r="F58" s="266"/>
      <c r="G58" s="300"/>
      <c r="H58" s="223" t="s">
        <v>69</v>
      </c>
      <c r="I58" s="266"/>
      <c r="J58" s="266"/>
      <c r="K58" s="266"/>
      <c r="L58" s="266"/>
    </row>
    <row r="59" spans="2:12" s="84" customFormat="1" ht="15.95" customHeight="1" x14ac:dyDescent="0.2">
      <c r="B59" s="266"/>
      <c r="C59" s="219"/>
      <c r="D59" s="222" t="s">
        <v>70</v>
      </c>
      <c r="E59" s="221"/>
      <c r="F59" s="266"/>
      <c r="G59" s="376"/>
      <c r="H59" s="223" t="s">
        <v>71</v>
      </c>
      <c r="I59" s="266"/>
      <c r="J59" s="266"/>
      <c r="K59" s="266"/>
      <c r="L59" s="266"/>
    </row>
    <row r="60" spans="2:12" x14ac:dyDescent="0.2">
      <c r="D60" s="44"/>
    </row>
    <row r="61" spans="2:12" x14ac:dyDescent="0.2">
      <c r="C61" s="13" t="s">
        <v>72</v>
      </c>
      <c r="G61" s="13"/>
    </row>
    <row r="62" spans="2:12" ht="6" customHeight="1" x14ac:dyDescent="0.2">
      <c r="D62" s="44"/>
    </row>
    <row r="63" spans="2:12" s="84" customFormat="1" ht="15.95" customHeight="1" x14ac:dyDescent="0.2">
      <c r="B63" s="266"/>
      <c r="C63" s="379" t="s">
        <v>567</v>
      </c>
      <c r="D63" s="223" t="s">
        <v>73</v>
      </c>
      <c r="E63" s="266"/>
      <c r="F63" s="266"/>
      <c r="G63" s="266"/>
      <c r="H63" s="266"/>
      <c r="I63" s="266"/>
      <c r="J63" s="266"/>
      <c r="K63" s="266"/>
      <c r="L63" s="266"/>
    </row>
    <row r="64" spans="2:12" s="84" customFormat="1" ht="15.95" customHeight="1" x14ac:dyDescent="0.2">
      <c r="B64" s="266"/>
      <c r="C64" s="379" t="s">
        <v>565</v>
      </c>
      <c r="D64" s="378" t="s">
        <v>74</v>
      </c>
      <c r="E64" s="221"/>
      <c r="F64" s="266"/>
      <c r="G64" s="266"/>
      <c r="H64" s="266"/>
      <c r="I64" s="266"/>
      <c r="J64" s="266"/>
      <c r="K64" s="266"/>
      <c r="L64" s="266"/>
    </row>
    <row r="65" spans="2:12" s="84" customFormat="1" ht="15.95" customHeight="1" x14ac:dyDescent="0.2">
      <c r="B65" s="266"/>
      <c r="C65" s="379" t="s">
        <v>566</v>
      </c>
      <c r="D65" s="378" t="s">
        <v>75</v>
      </c>
      <c r="E65" s="221"/>
      <c r="F65" s="266"/>
      <c r="G65" s="266"/>
      <c r="H65" s="266"/>
      <c r="I65" s="266"/>
      <c r="J65" s="266"/>
      <c r="K65" s="266"/>
      <c r="L65" s="266"/>
    </row>
    <row r="67" spans="2:12" ht="13.5" x14ac:dyDescent="0.25">
      <c r="B67" s="42" t="s">
        <v>76</v>
      </c>
      <c r="C67" s="42"/>
      <c r="D67" s="42"/>
      <c r="E67" s="42"/>
      <c r="F67" s="42"/>
      <c r="G67" s="42"/>
      <c r="H67" s="42"/>
      <c r="I67" s="42"/>
      <c r="J67" s="42"/>
      <c r="K67" s="42"/>
      <c r="L67" s="42"/>
    </row>
    <row r="69" spans="2:12" s="84" customFormat="1" ht="25.5" customHeight="1" x14ac:dyDescent="0.2">
      <c r="B69" s="266"/>
      <c r="C69" s="226" t="s">
        <v>77</v>
      </c>
      <c r="D69" s="227" t="s">
        <v>78</v>
      </c>
      <c r="E69" s="227"/>
      <c r="F69" s="227"/>
      <c r="G69" s="227"/>
      <c r="H69" s="227"/>
      <c r="I69" s="266"/>
      <c r="J69" s="266"/>
      <c r="K69" s="266"/>
      <c r="L69" s="266"/>
    </row>
    <row r="70" spans="2:12" s="84" customFormat="1" ht="15.95" customHeight="1" x14ac:dyDescent="0.2">
      <c r="B70" s="266"/>
      <c r="C70" s="224" t="s">
        <v>79</v>
      </c>
      <c r="D70" s="225" t="s">
        <v>80</v>
      </c>
      <c r="E70" s="225"/>
      <c r="F70" s="225"/>
      <c r="G70" s="225"/>
      <c r="H70" s="266"/>
      <c r="I70" s="266"/>
      <c r="J70" s="266"/>
      <c r="K70" s="266"/>
      <c r="L70" s="266"/>
    </row>
    <row r="71" spans="2:12" s="84" customFormat="1" ht="15.95" customHeight="1" x14ac:dyDescent="0.2">
      <c r="B71" s="266"/>
      <c r="C71" s="224" t="s">
        <v>81</v>
      </c>
      <c r="D71" s="225" t="s">
        <v>82</v>
      </c>
      <c r="E71" s="225"/>
      <c r="F71" s="225"/>
      <c r="G71" s="225" t="s">
        <v>83</v>
      </c>
      <c r="H71" s="266"/>
      <c r="I71" s="266"/>
      <c r="J71" s="266"/>
      <c r="K71" s="266"/>
      <c r="L71" s="266"/>
    </row>
    <row r="72" spans="2:12" s="84" customFormat="1" ht="15.95" customHeight="1" x14ac:dyDescent="0.2">
      <c r="B72" s="266"/>
      <c r="C72" s="224" t="s">
        <v>84</v>
      </c>
      <c r="D72" s="225" t="s">
        <v>85</v>
      </c>
      <c r="E72" s="225"/>
      <c r="F72" s="225"/>
      <c r="G72" s="225"/>
      <c r="H72" s="266"/>
      <c r="I72" s="266"/>
      <c r="J72" s="266"/>
      <c r="K72" s="266"/>
      <c r="L72" s="266"/>
    </row>
    <row r="73" spans="2:12" s="84" customFormat="1" ht="15.95" customHeight="1" x14ac:dyDescent="0.2">
      <c r="B73" s="266"/>
      <c r="C73" s="224" t="s">
        <v>86</v>
      </c>
      <c r="D73" s="225" t="s">
        <v>87</v>
      </c>
      <c r="E73" s="225"/>
      <c r="F73" s="225"/>
      <c r="G73" s="225"/>
      <c r="H73" s="266"/>
      <c r="I73" s="266"/>
      <c r="J73" s="266"/>
      <c r="K73" s="266"/>
      <c r="L73" s="266"/>
    </row>
    <row r="74" spans="2:12" s="84" customFormat="1" ht="15.95" customHeight="1" x14ac:dyDescent="0.2">
      <c r="B74" s="266"/>
      <c r="C74" s="224" t="s">
        <v>88</v>
      </c>
      <c r="D74" s="225" t="s">
        <v>89</v>
      </c>
      <c r="E74" s="225"/>
      <c r="F74" s="225"/>
      <c r="G74" s="225"/>
      <c r="H74" s="266"/>
      <c r="I74" s="266"/>
      <c r="J74" s="266"/>
      <c r="K74" s="266"/>
      <c r="L74" s="266"/>
    </row>
    <row r="75" spans="2:12" s="84" customFormat="1" ht="15.95" customHeight="1" x14ac:dyDescent="0.2">
      <c r="B75" s="266"/>
      <c r="C75" s="224" t="s">
        <v>90</v>
      </c>
      <c r="D75" s="225" t="s">
        <v>91</v>
      </c>
      <c r="E75" s="225"/>
      <c r="F75" s="225"/>
      <c r="G75" s="225" t="s">
        <v>92</v>
      </c>
      <c r="H75" s="266"/>
      <c r="I75" s="266"/>
      <c r="J75" s="266"/>
      <c r="K75" s="266"/>
      <c r="L75" s="266"/>
    </row>
    <row r="76" spans="2:12" s="84" customFormat="1" ht="15.95" customHeight="1" x14ac:dyDescent="0.2">
      <c r="B76" s="266"/>
      <c r="C76" s="224" t="s">
        <v>93</v>
      </c>
      <c r="D76" s="225" t="s">
        <v>94</v>
      </c>
      <c r="E76" s="225"/>
      <c r="F76" s="225"/>
      <c r="G76" s="225"/>
      <c r="H76" s="266"/>
      <c r="I76" s="266"/>
      <c r="J76" s="266"/>
      <c r="K76" s="266"/>
      <c r="L76" s="266"/>
    </row>
    <row r="77" spans="2:12" s="84" customFormat="1" ht="15.95" customHeight="1" x14ac:dyDescent="0.2">
      <c r="B77" s="266"/>
      <c r="C77" s="224" t="s">
        <v>95</v>
      </c>
      <c r="D77" s="225" t="s">
        <v>96</v>
      </c>
      <c r="E77" s="225"/>
      <c r="F77" s="225"/>
      <c r="G77" s="225"/>
      <c r="H77" s="266"/>
      <c r="I77" s="266"/>
      <c r="J77" s="266"/>
      <c r="K77" s="266"/>
      <c r="L77" s="266"/>
    </row>
    <row r="78" spans="2:12" s="84" customFormat="1" ht="15.95" customHeight="1" x14ac:dyDescent="0.2">
      <c r="B78" s="266"/>
      <c r="C78" s="224" t="s">
        <v>97</v>
      </c>
      <c r="D78" s="225" t="s">
        <v>98</v>
      </c>
      <c r="E78" s="225"/>
      <c r="F78" s="225"/>
      <c r="G78" s="225"/>
      <c r="H78" s="266"/>
      <c r="I78" s="266"/>
      <c r="J78" s="266"/>
      <c r="K78" s="266"/>
      <c r="L78" s="266"/>
    </row>
    <row r="79" spans="2:12" s="84" customFormat="1" ht="15.95" customHeight="1" x14ac:dyDescent="0.2">
      <c r="B79" s="266"/>
      <c r="C79" s="224" t="s">
        <v>99</v>
      </c>
      <c r="D79" s="225" t="s">
        <v>100</v>
      </c>
      <c r="E79" s="225"/>
      <c r="F79" s="225"/>
      <c r="G79" s="225"/>
      <c r="H79" s="266"/>
      <c r="I79" s="266"/>
      <c r="J79" s="266"/>
      <c r="K79" s="266"/>
      <c r="L79" s="266"/>
    </row>
    <row r="80" spans="2:12" s="84" customFormat="1" ht="15.95" customHeight="1" x14ac:dyDescent="0.2">
      <c r="B80" s="266"/>
      <c r="C80" s="224" t="s">
        <v>101</v>
      </c>
      <c r="D80" s="225" t="s">
        <v>102</v>
      </c>
      <c r="E80" s="225"/>
      <c r="F80" s="225"/>
      <c r="G80" s="225"/>
      <c r="H80" s="266"/>
      <c r="I80" s="266"/>
      <c r="J80" s="266"/>
      <c r="K80" s="266"/>
      <c r="L80" s="266"/>
    </row>
    <row r="81" spans="2:12" s="84" customFormat="1" ht="15.95" customHeight="1" x14ac:dyDescent="0.2">
      <c r="B81" s="266"/>
      <c r="C81" s="224" t="s">
        <v>103</v>
      </c>
      <c r="D81" s="225" t="s">
        <v>104</v>
      </c>
      <c r="E81" s="225"/>
      <c r="F81" s="225"/>
      <c r="G81" s="225"/>
      <c r="H81" s="266"/>
      <c r="I81" s="266"/>
      <c r="J81" s="266"/>
      <c r="K81" s="266"/>
      <c r="L81" s="266"/>
    </row>
    <row r="82" spans="2:12" s="84" customFormat="1" ht="15.95" customHeight="1" x14ac:dyDescent="0.2">
      <c r="B82" s="266"/>
      <c r="C82" s="224" t="s">
        <v>105</v>
      </c>
      <c r="D82" s="225" t="s">
        <v>106</v>
      </c>
      <c r="E82" s="225"/>
      <c r="F82" s="225"/>
      <c r="G82" s="225"/>
      <c r="H82" s="266"/>
      <c r="I82" s="266"/>
      <c r="J82" s="266"/>
      <c r="K82" s="266"/>
      <c r="L82" s="266"/>
    </row>
    <row r="83" spans="2:12" s="84" customFormat="1" ht="15.95" customHeight="1" x14ac:dyDescent="0.2">
      <c r="B83" s="266"/>
      <c r="C83" s="224" t="s">
        <v>107</v>
      </c>
      <c r="D83" s="225" t="s">
        <v>108</v>
      </c>
      <c r="E83" s="225"/>
      <c r="F83" s="225"/>
      <c r="G83" s="225"/>
      <c r="H83" s="266"/>
      <c r="I83" s="266"/>
      <c r="J83" s="266"/>
      <c r="K83" s="266"/>
      <c r="L83" s="266"/>
    </row>
    <row r="84" spans="2:12" s="84" customFormat="1" ht="15.95" customHeight="1" x14ac:dyDescent="0.2">
      <c r="B84" s="266"/>
      <c r="C84" s="224" t="s">
        <v>109</v>
      </c>
      <c r="D84" s="225" t="s">
        <v>110</v>
      </c>
      <c r="E84" s="225"/>
      <c r="F84" s="225"/>
      <c r="G84" s="225"/>
      <c r="H84" s="266"/>
      <c r="I84" s="266"/>
      <c r="J84" s="266"/>
      <c r="K84" s="266"/>
      <c r="L84" s="266"/>
    </row>
    <row r="85" spans="2:12" s="84" customFormat="1" ht="15.95" customHeight="1" x14ac:dyDescent="0.2">
      <c r="B85" s="266"/>
      <c r="C85" s="224" t="s">
        <v>111</v>
      </c>
      <c r="D85" s="225" t="s">
        <v>112</v>
      </c>
      <c r="E85" s="225"/>
      <c r="F85" s="225"/>
      <c r="G85" s="225"/>
      <c r="H85" s="266"/>
      <c r="I85" s="266"/>
      <c r="J85" s="266"/>
      <c r="K85" s="266"/>
      <c r="L85" s="266"/>
    </row>
    <row r="86" spans="2:12" s="84" customFormat="1" ht="15.95" customHeight="1" x14ac:dyDescent="0.2">
      <c r="B86" s="266"/>
      <c r="C86" s="228" t="s">
        <v>113</v>
      </c>
      <c r="D86" s="229" t="s">
        <v>114</v>
      </c>
      <c r="E86" s="229"/>
      <c r="F86" s="229"/>
      <c r="G86" s="229"/>
      <c r="H86" s="229"/>
      <c r="I86" s="266"/>
      <c r="J86" s="266"/>
      <c r="K86" s="266"/>
      <c r="L86" s="266"/>
    </row>
    <row r="87" spans="2:12" s="84" customFormat="1" ht="15.95" customHeight="1" x14ac:dyDescent="0.2">
      <c r="B87" s="266"/>
      <c r="C87" s="224" t="s">
        <v>115</v>
      </c>
      <c r="D87" s="225" t="s">
        <v>116</v>
      </c>
      <c r="E87" s="225"/>
      <c r="F87" s="225"/>
      <c r="G87" s="225"/>
      <c r="H87" s="266"/>
      <c r="I87" s="266"/>
      <c r="J87" s="266"/>
      <c r="K87" s="266"/>
      <c r="L87" s="266"/>
    </row>
    <row r="88" spans="2:12" s="84" customFormat="1" ht="15.95" customHeight="1" x14ac:dyDescent="0.2">
      <c r="B88" s="266"/>
      <c r="C88" s="228" t="s">
        <v>117</v>
      </c>
      <c r="D88" s="229" t="s">
        <v>91</v>
      </c>
      <c r="E88" s="229"/>
      <c r="F88" s="229"/>
      <c r="G88" s="229" t="s">
        <v>118</v>
      </c>
      <c r="H88" s="229"/>
      <c r="I88" s="266"/>
      <c r="J88" s="266"/>
      <c r="K88" s="266"/>
      <c r="L88" s="266"/>
    </row>
    <row r="89" spans="2:12" s="84" customFormat="1" ht="15.95" customHeight="1" x14ac:dyDescent="0.2">
      <c r="B89" s="266"/>
      <c r="C89" s="224" t="s">
        <v>119</v>
      </c>
      <c r="D89" s="225" t="s">
        <v>89</v>
      </c>
      <c r="E89" s="225"/>
      <c r="F89" s="225"/>
      <c r="G89" s="225" t="s">
        <v>120</v>
      </c>
      <c r="H89" s="266"/>
      <c r="I89" s="266"/>
      <c r="J89" s="266"/>
      <c r="K89" s="266"/>
      <c r="L89" s="266"/>
    </row>
    <row r="90" spans="2:12" s="84" customFormat="1" ht="15.95" customHeight="1" x14ac:dyDescent="0.2">
      <c r="B90" s="266"/>
      <c r="C90" s="224" t="s">
        <v>121</v>
      </c>
      <c r="D90" s="225" t="s">
        <v>122</v>
      </c>
      <c r="E90" s="225"/>
      <c r="F90" s="225"/>
      <c r="G90" s="225" t="s">
        <v>120</v>
      </c>
      <c r="H90" s="266"/>
      <c r="I90" s="266"/>
      <c r="J90" s="266"/>
      <c r="K90" s="266"/>
      <c r="L90" s="266"/>
    </row>
    <row r="92" spans="2:12" ht="13.5" x14ac:dyDescent="0.25">
      <c r="B92" s="42" t="s">
        <v>123</v>
      </c>
      <c r="C92" s="42"/>
      <c r="D92" s="42"/>
      <c r="E92" s="42"/>
      <c r="F92" s="42"/>
      <c r="G92" s="42"/>
      <c r="H92" s="42"/>
      <c r="I92" s="42"/>
      <c r="J92" s="42"/>
      <c r="K92" s="42"/>
      <c r="L92" s="42"/>
    </row>
    <row r="94" spans="2:12" s="84" customFormat="1" ht="15.95" customHeight="1" x14ac:dyDescent="0.2">
      <c r="B94" s="266"/>
      <c r="C94" s="230" t="s">
        <v>124</v>
      </c>
      <c r="D94" s="230" t="s">
        <v>125</v>
      </c>
      <c r="E94" s="227"/>
      <c r="F94" s="227"/>
      <c r="G94" s="227"/>
      <c r="H94" s="227"/>
      <c r="I94" s="266"/>
      <c r="J94" s="266"/>
      <c r="K94" s="266"/>
      <c r="L94" s="266"/>
    </row>
    <row r="95" spans="2:12" s="84" customFormat="1" ht="15.95" customHeight="1" x14ac:dyDescent="0.2">
      <c r="B95" s="266"/>
      <c r="C95" s="246" t="s">
        <v>126</v>
      </c>
      <c r="D95" s="266" t="s">
        <v>127</v>
      </c>
      <c r="E95" s="266"/>
      <c r="F95" s="266"/>
      <c r="G95" s="266"/>
      <c r="H95" s="266"/>
      <c r="I95" s="266"/>
      <c r="J95" s="266"/>
      <c r="K95" s="266"/>
      <c r="L95" s="266"/>
    </row>
    <row r="96" spans="2:12" s="84" customFormat="1" ht="15.95" customHeight="1" x14ac:dyDescent="0.2">
      <c r="B96" s="266"/>
      <c r="C96" s="246" t="s">
        <v>128</v>
      </c>
      <c r="D96" s="266" t="s">
        <v>129</v>
      </c>
      <c r="E96" s="266"/>
      <c r="F96" s="266"/>
      <c r="G96" s="266"/>
      <c r="H96" s="266"/>
      <c r="I96" s="266"/>
      <c r="J96" s="266"/>
      <c r="K96" s="266"/>
      <c r="L96" s="266"/>
    </row>
    <row r="97" spans="2:12" s="84" customFormat="1" ht="15.95" customHeight="1" x14ac:dyDescent="0.2">
      <c r="B97" s="266"/>
      <c r="C97" s="246" t="s">
        <v>130</v>
      </c>
      <c r="D97" s="266" t="s">
        <v>131</v>
      </c>
      <c r="E97" s="266"/>
      <c r="F97" s="266"/>
      <c r="G97" s="266"/>
      <c r="H97" s="266"/>
      <c r="I97" s="266"/>
      <c r="J97" s="266"/>
      <c r="K97" s="266"/>
      <c r="L97" s="266"/>
    </row>
    <row r="98" spans="2:12" s="84" customFormat="1" ht="15.95" customHeight="1" x14ac:dyDescent="0.2">
      <c r="B98" s="266"/>
      <c r="C98" s="246" t="s">
        <v>132</v>
      </c>
      <c r="D98" s="266" t="s">
        <v>133</v>
      </c>
      <c r="E98" s="266"/>
      <c r="F98" s="266"/>
      <c r="G98" s="266"/>
      <c r="H98" s="266"/>
      <c r="I98" s="266"/>
      <c r="J98" s="266"/>
      <c r="K98" s="266"/>
      <c r="L98" s="266"/>
    </row>
    <row r="99" spans="2:12" s="84" customFormat="1" ht="15.95" customHeight="1" x14ac:dyDescent="0.2">
      <c r="B99" s="266"/>
      <c r="C99" s="246" t="s">
        <v>134</v>
      </c>
      <c r="D99" s="266" t="s">
        <v>135</v>
      </c>
      <c r="E99" s="266"/>
      <c r="F99" s="266"/>
      <c r="G99" s="266"/>
      <c r="H99" s="266"/>
      <c r="I99" s="266"/>
      <c r="J99" s="266"/>
      <c r="K99" s="266"/>
      <c r="L99" s="266"/>
    </row>
    <row r="100" spans="2:12" s="84" customFormat="1" ht="15.95" customHeight="1" x14ac:dyDescent="0.2">
      <c r="B100" s="266"/>
      <c r="C100" s="246" t="s">
        <v>136</v>
      </c>
      <c r="D100" s="266" t="s">
        <v>137</v>
      </c>
      <c r="E100" s="266"/>
      <c r="F100" s="266"/>
      <c r="G100" s="266"/>
      <c r="H100" s="266"/>
      <c r="I100" s="266"/>
      <c r="J100" s="266"/>
      <c r="K100" s="266"/>
      <c r="L100" s="266"/>
    </row>
    <row r="101" spans="2:12" s="84" customFormat="1" ht="15.95" customHeight="1" x14ac:dyDescent="0.2">
      <c r="B101" s="266"/>
      <c r="C101" s="246" t="s">
        <v>138</v>
      </c>
      <c r="D101" s="266" t="s">
        <v>139</v>
      </c>
      <c r="E101" s="266"/>
      <c r="F101" s="266"/>
      <c r="G101" s="266"/>
      <c r="H101" s="266"/>
      <c r="I101" s="266"/>
      <c r="J101" s="266"/>
      <c r="K101" s="266"/>
      <c r="L101" s="266"/>
    </row>
    <row r="102" spans="2:12" s="84" customFormat="1" ht="15.95" customHeight="1" x14ac:dyDescent="0.2">
      <c r="B102" s="266"/>
      <c r="C102" s="246" t="s">
        <v>140</v>
      </c>
      <c r="D102" s="266" t="s">
        <v>141</v>
      </c>
      <c r="E102" s="266"/>
      <c r="F102" s="266"/>
      <c r="G102" s="266"/>
      <c r="H102" s="266"/>
      <c r="I102" s="266"/>
      <c r="J102" s="266"/>
      <c r="K102" s="266"/>
      <c r="L102" s="266"/>
    </row>
    <row r="103" spans="2:12" s="84" customFormat="1" ht="15.95" customHeight="1" x14ac:dyDescent="0.2">
      <c r="B103" s="266"/>
      <c r="C103" s="246" t="s">
        <v>142</v>
      </c>
      <c r="D103" s="266" t="s">
        <v>143</v>
      </c>
      <c r="E103" s="266"/>
      <c r="F103" s="266"/>
      <c r="G103" s="266"/>
      <c r="H103" s="266"/>
      <c r="I103" s="266"/>
      <c r="J103" s="266"/>
      <c r="K103" s="266"/>
      <c r="L103" s="266"/>
    </row>
    <row r="104" spans="2:12" s="84" customFormat="1" ht="15.95" customHeight="1" x14ac:dyDescent="0.2">
      <c r="B104" s="266"/>
      <c r="C104" s="246" t="s">
        <v>144</v>
      </c>
      <c r="D104" s="266" t="s">
        <v>145</v>
      </c>
      <c r="E104" s="266"/>
      <c r="F104" s="266"/>
      <c r="G104" s="266"/>
      <c r="H104" s="266"/>
      <c r="I104" s="266"/>
      <c r="J104" s="266"/>
      <c r="K104" s="266"/>
      <c r="L104" s="266"/>
    </row>
    <row r="105" spans="2:12" s="84" customFormat="1" ht="15.95" customHeight="1" x14ac:dyDescent="0.2">
      <c r="B105" s="266"/>
      <c r="C105" s="246" t="s">
        <v>146</v>
      </c>
      <c r="D105" s="266" t="s">
        <v>147</v>
      </c>
      <c r="E105" s="266"/>
      <c r="F105" s="266"/>
      <c r="G105" s="266"/>
      <c r="H105" s="266"/>
      <c r="I105" s="266"/>
      <c r="J105" s="266"/>
      <c r="K105" s="266"/>
      <c r="L105" s="266"/>
    </row>
    <row r="107" spans="2:12" ht="13.5" x14ac:dyDescent="0.25">
      <c r="B107" s="9" t="s">
        <v>148</v>
      </c>
      <c r="C107" s="9"/>
      <c r="D107" s="9"/>
      <c r="E107" s="9"/>
      <c r="F107" s="9"/>
      <c r="G107" s="9"/>
      <c r="H107" s="9"/>
      <c r="I107" s="9"/>
      <c r="J107" s="9"/>
      <c r="K107" s="9"/>
      <c r="L107" s="9"/>
    </row>
    <row r="109" spans="2:12" s="84" customFormat="1" ht="15.95" customHeight="1" x14ac:dyDescent="0.2">
      <c r="B109" s="266"/>
      <c r="C109" s="266" t="s">
        <v>149</v>
      </c>
      <c r="D109" s="266"/>
      <c r="E109" s="266"/>
      <c r="F109" s="271" t="s">
        <v>150</v>
      </c>
      <c r="G109" s="266"/>
      <c r="H109" s="266"/>
      <c r="I109" s="266"/>
      <c r="J109" s="266"/>
      <c r="K109" s="266"/>
      <c r="L109" s="266"/>
    </row>
    <row r="110" spans="2:12" s="84" customFormat="1" ht="15.95" customHeight="1" x14ac:dyDescent="0.2">
      <c r="B110" s="266"/>
      <c r="C110" s="266" t="s">
        <v>151</v>
      </c>
      <c r="D110" s="266"/>
      <c r="E110" s="266"/>
      <c r="F110" s="135" t="str">
        <f xml:space="preserve"> VALUE( LEFT( Year, 4 ) - 1 ) &amp; "-" &amp; VALUE( RIGHT( Year, 2 ) - 1 )</f>
        <v>2017-18</v>
      </c>
      <c r="G110" s="266"/>
      <c r="H110" s="266"/>
      <c r="I110" s="266"/>
      <c r="J110" s="266"/>
      <c r="K110" s="266"/>
      <c r="L110" s="266"/>
    </row>
    <row r="112" spans="2:12" x14ac:dyDescent="0.2">
      <c r="B112" s="20" t="s">
        <v>26</v>
      </c>
      <c r="C112" s="20"/>
      <c r="D112" s="20"/>
      <c r="E112" s="20"/>
      <c r="F112" s="20"/>
      <c r="G112" s="20"/>
      <c r="H112" s="20"/>
      <c r="I112" s="20"/>
      <c r="J112" s="20"/>
      <c r="K112" s="20"/>
      <c r="L112" s="20"/>
    </row>
  </sheetData>
  <mergeCells count="20">
    <mergeCell ref="C51:D51"/>
    <mergeCell ref="C48:D48"/>
    <mergeCell ref="C49:D49"/>
    <mergeCell ref="C50:D50"/>
    <mergeCell ref="C29:D29"/>
    <mergeCell ref="C30:D30"/>
    <mergeCell ref="C31:D31"/>
    <mergeCell ref="C32:D32"/>
    <mergeCell ref="C33:D33"/>
    <mergeCell ref="C34:D34"/>
    <mergeCell ref="C35:D35"/>
    <mergeCell ref="C45:D45"/>
    <mergeCell ref="C46:D46"/>
    <mergeCell ref="C47:D47"/>
    <mergeCell ref="C39:D39"/>
    <mergeCell ref="C40:D40"/>
    <mergeCell ref="C41:D41"/>
    <mergeCell ref="C42:D42"/>
    <mergeCell ref="C43:D43"/>
    <mergeCell ref="C44:D4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B2:O26"/>
  <sheetViews>
    <sheetView showGridLines="0" zoomScaleNormal="100" workbookViewId="0"/>
  </sheetViews>
  <sheetFormatPr defaultRowHeight="12.75" x14ac:dyDescent="0.2"/>
  <cols>
    <col min="1" max="1" width="2.625" style="84" customWidth="1"/>
    <col min="2" max="2" width="22" style="84" bestFit="1" customWidth="1"/>
    <col min="3" max="12" width="10.75" style="84" customWidth="1"/>
    <col min="13" max="13" width="9" style="84" customWidth="1"/>
    <col min="14" max="14" width="3.625" style="84" customWidth="1"/>
    <col min="15" max="15" width="19.25" style="84" bestFit="1" customWidth="1"/>
    <col min="16" max="16384" width="9" style="84"/>
  </cols>
  <sheetData>
    <row r="2" spans="2:15" s="253" customFormat="1" ht="15.75" x14ac:dyDescent="0.2">
      <c r="B2" s="256" t="s">
        <v>152</v>
      </c>
      <c r="C2" s="257"/>
      <c r="D2" s="257"/>
      <c r="E2" s="257"/>
      <c r="F2" s="257"/>
      <c r="G2" s="257"/>
      <c r="H2" s="257"/>
      <c r="I2" s="257"/>
      <c r="J2" s="297" t="s">
        <v>570</v>
      </c>
      <c r="K2" s="257"/>
      <c r="L2" s="257"/>
    </row>
    <row r="3" spans="2:15" s="253" customFormat="1" x14ac:dyDescent="0.2">
      <c r="B3" s="266"/>
      <c r="C3" s="266"/>
      <c r="D3" s="266"/>
      <c r="E3" s="266"/>
      <c r="F3" s="266"/>
      <c r="G3" s="266"/>
      <c r="H3" s="266"/>
      <c r="I3" s="266"/>
      <c r="J3" s="266"/>
      <c r="K3" s="266"/>
      <c r="L3" s="266"/>
    </row>
    <row r="4" spans="2:15" ht="20.100000000000001" customHeight="1" thickBot="1" x14ac:dyDescent="0.25">
      <c r="B4" s="288"/>
      <c r="C4" s="338" t="s">
        <v>153</v>
      </c>
      <c r="D4" s="339"/>
      <c r="E4" s="336" t="s">
        <v>154</v>
      </c>
      <c r="F4" s="337"/>
      <c r="G4" s="337"/>
      <c r="H4" s="337"/>
      <c r="I4" s="337"/>
      <c r="J4" s="337"/>
      <c r="K4" s="337"/>
      <c r="L4" s="337"/>
    </row>
    <row r="5" spans="2:15" ht="54.75" thickTop="1" x14ac:dyDescent="0.2">
      <c r="B5" s="365"/>
      <c r="C5" s="366" t="s">
        <v>155</v>
      </c>
      <c r="D5" s="367" t="s">
        <v>156</v>
      </c>
      <c r="E5" s="368" t="s">
        <v>157</v>
      </c>
      <c r="F5" s="369" t="s">
        <v>158</v>
      </c>
      <c r="G5" s="369" t="s">
        <v>159</v>
      </c>
      <c r="H5" s="369" t="s">
        <v>160</v>
      </c>
      <c r="I5" s="369" t="s">
        <v>161</v>
      </c>
      <c r="J5" s="369" t="s">
        <v>162</v>
      </c>
      <c r="K5" s="369" t="s">
        <v>163</v>
      </c>
      <c r="L5" s="369" t="s">
        <v>164</v>
      </c>
    </row>
    <row r="6" spans="2:15" ht="16.5" customHeight="1" thickBot="1" x14ac:dyDescent="0.25">
      <c r="B6" s="290" t="s">
        <v>165</v>
      </c>
      <c r="C6" s="221"/>
      <c r="D6" s="221"/>
      <c r="E6" s="221"/>
      <c r="F6" s="221"/>
      <c r="G6" s="221"/>
      <c r="H6" s="221"/>
      <c r="I6" s="221"/>
      <c r="J6" s="221"/>
      <c r="K6" s="221"/>
      <c r="L6" s="289"/>
      <c r="N6" s="340" t="s">
        <v>589</v>
      </c>
      <c r="O6" s="341"/>
    </row>
    <row r="7" spans="2:15" ht="16.5" customHeight="1" thickTop="1" x14ac:dyDescent="0.2">
      <c r="B7" s="371" t="s">
        <v>80</v>
      </c>
      <c r="C7" s="260" t="str">
        <f xml:space="preserve"> VLOOKUP($B7, OUTPUT│Totex!$I$7:$M$23, 4, 0 )</f>
        <v>▼</v>
      </c>
      <c r="D7" s="261" t="str">
        <f xml:space="preserve"> VLOOKUP($B7, OUTPUT│Totex!$I$79:$M$95, 4, 0 )</f>
        <v>▼</v>
      </c>
      <c r="E7" s="258" t="str">
        <f xml:space="preserve"> IFERROR( IF( ABS( CALCS│Summary!H36 ) &lt;= 0.01, "", IF( CALCS│Summary!H36 &lt; 0, 'Map &amp; Key'!$C$65, 'Map &amp; Key'!$C$64 ) ), "-" )</f>
        <v>▲</v>
      </c>
      <c r="F7" s="122" t="str">
        <f xml:space="preserve"> IFERROR( IF( ABS( CALCS│Summary!H65 ) &lt;= 0.01, "", IF( CALCS│Summary!H65 &lt; 0, 'Map &amp; Key'!$C$65, 'Map &amp; Key'!$C$64 ) ), "-" )</f>
        <v/>
      </c>
      <c r="G7" s="122" t="str">
        <f xml:space="preserve"> IFERROR( IF( ABS( CALCS│Summary!H94 ) &lt;= 0.01, "", IF( CALCS│Summary!H94 &lt; 0, 'Map &amp; Key'!$C$65, 'Map &amp; Key'!$C$64 ) ), "-" )</f>
        <v>▼</v>
      </c>
      <c r="H7" s="123" t="str">
        <f xml:space="preserve"> IF( ABS( CALCS│Summary!H123 ) &lt;= 0.01, "", IF( CALCS│Summary!H123 &gt; 0, 'Map &amp; Key'!$C$65, 'Map &amp; Key'!$C$64 ) )</f>
        <v>▼</v>
      </c>
      <c r="I7" s="122" t="str">
        <f xml:space="preserve"> IFERROR( IF( ABS( CALCS│Summary!M123 ) &lt;= 0.01, "", IF( CALCS│Summary!M123 &gt; 0, 'Map &amp; Key'!$C$65, 'Map &amp; Key'!$C$64 ) ), "-" )</f>
        <v>▼</v>
      </c>
      <c r="J7" s="122" t="str">
        <f xml:space="preserve"> IFERROR( IF( ABS( CALCS│Summary!R123 ) &lt;= 0.01, "", IF( CALCS│Summary!R123 &gt; 0, 'Map &amp; Key'!$C$65, 'Map &amp; Key'!$C$64 ) ), "-" )</f>
        <v>▲</v>
      </c>
      <c r="K7" s="122" t="str">
        <f xml:space="preserve"> IFERROR( IF( ABS( CALCS│Summary!W123 ) &lt;= 0.01, "", IF( CALCS│Summary!W123 &gt; 0, 'Map &amp; Key'!$C$65, 'Map &amp; Key'!$C$64 ) ), "-" )</f>
        <v>▲</v>
      </c>
      <c r="L7" s="122" t="str">
        <f xml:space="preserve"> IFERROR( IF( ABS( CALCS│Summary!AB123 ) &lt;= 0.01, "", IF( CALCS│Summary!AB123 &gt; 0, 'Map &amp; Key'!$C$65, 'Map &amp; Key'!$C$64 ) ), "-" )</f>
        <v>▲</v>
      </c>
      <c r="N7" s="303"/>
      <c r="O7" s="370" t="s">
        <v>66</v>
      </c>
    </row>
    <row r="8" spans="2:15" ht="16.5" customHeight="1" x14ac:dyDescent="0.2">
      <c r="B8" s="371" t="s">
        <v>100</v>
      </c>
      <c r="C8" s="262" t="str">
        <f xml:space="preserve"> VLOOKUP($B8, OUTPUT│Totex!$I$7:$M$23, 4, 0 )</f>
        <v>▼</v>
      </c>
      <c r="D8" s="261" t="str">
        <f xml:space="preserve"> VLOOKUP($B8, OUTPUT│Totex!$I$79:$M$95, 4, 0 )</f>
        <v>▼</v>
      </c>
      <c r="E8" s="259" t="str">
        <f xml:space="preserve"> IFERROR( IF( ABS( CALCS│Summary!H37 ) &lt;= 0.01, "", IF( CALCS│Summary!H37 &lt; 0, 'Map &amp; Key'!$C$65, 'Map &amp; Key'!$C$64 ) ), "-" )</f>
        <v/>
      </c>
      <c r="F8" s="123" t="str">
        <f xml:space="preserve"> IFERROR( IF( ABS( CALCS│Summary!H66 ) &lt;= 0.01, "", IF( CALCS│Summary!H66 &lt; 0, 'Map &amp; Key'!$C$65, 'Map &amp; Key'!$C$64 ) ), "-" )</f>
        <v/>
      </c>
      <c r="G8" s="123" t="str">
        <f xml:space="preserve"> IFERROR( IF( ABS( CALCS│Summary!H95 ) &lt;= 0.01, "", IF( CALCS│Summary!H95 &lt; 0, 'Map &amp; Key'!$C$65, 'Map &amp; Key'!$C$64 ) ), "-" )</f>
        <v>▼</v>
      </c>
      <c r="H8" s="123" t="str">
        <f xml:space="preserve"> IF( ABS( CALCS│Summary!H124 ) &lt;= 0.01, "", IF( CALCS│Summary!H124 &gt; 0, 'Map &amp; Key'!$C$65, 'Map &amp; Key'!$C$64 ) )</f>
        <v>▲</v>
      </c>
      <c r="I8" s="123" t="str">
        <f xml:space="preserve"> IFERROR( IF( ABS( CALCS│Summary!M124 ) &lt;= 0.01, "", IF( CALCS│Summary!M124 &gt; 0, 'Map &amp; Key'!$C$65, 'Map &amp; Key'!$C$64 ) ), "-" )</f>
        <v>▲</v>
      </c>
      <c r="J8" s="123" t="str">
        <f xml:space="preserve"> IFERROR( IF( ABS( CALCS│Summary!R124 ) &lt;= 0.01, "", IF( CALCS│Summary!R124 &gt; 0, 'Map &amp; Key'!$C$65, 'Map &amp; Key'!$C$64 ) ), "-" )</f>
        <v>▲</v>
      </c>
      <c r="K8" s="123" t="str">
        <f xml:space="preserve"> IFERROR( IF( ABS( CALCS│Summary!W124 ) &lt;= 0.01, "", IF( CALCS│Summary!W124 &gt; 0, 'Map &amp; Key'!$C$65, 'Map &amp; Key'!$C$64 ) ), "-" )</f>
        <v>▼</v>
      </c>
      <c r="L8" s="123" t="str">
        <f xml:space="preserve"> IFERROR( IF( ABS( CALCS│Summary!AB124 ) &lt;= 0.01, "", IF( CALCS│Summary!AB124 &gt; 0, 'Map &amp; Key'!$C$65, 'Map &amp; Key'!$C$64 ) ), "-" )</f>
        <v>▼</v>
      </c>
      <c r="N8" s="301"/>
      <c r="O8" s="350" t="s">
        <v>68</v>
      </c>
    </row>
    <row r="9" spans="2:15" ht="16.5" customHeight="1" x14ac:dyDescent="0.2">
      <c r="B9" s="371" t="s">
        <v>108</v>
      </c>
      <c r="C9" s="262" t="str">
        <f xml:space="preserve"> VLOOKUP($B9, OUTPUT│Totex!$I$7:$M$23, 4, 0 )</f>
        <v>▼</v>
      </c>
      <c r="D9" s="261" t="str">
        <f xml:space="preserve"> VLOOKUP($B9, OUTPUT│Totex!$I$79:$M$95, 4, 0 )</f>
        <v>▲</v>
      </c>
      <c r="E9" s="259" t="str">
        <f xml:space="preserve"> IFERROR( IF( ABS( CALCS│Summary!H38 ) &lt;= 0.01, "", IF( CALCS│Summary!H38 &lt; 0, 'Map &amp; Key'!$C$65, 'Map &amp; Key'!$C$64 ) ), "-" )</f>
        <v>▲</v>
      </c>
      <c r="F9" s="123" t="str">
        <f xml:space="preserve"> IFERROR( IF( ABS( CALCS│Summary!H67 ) &lt;= 0.01, "", IF( CALCS│Summary!H67 &lt; 0, 'Map &amp; Key'!$C$65, 'Map &amp; Key'!$C$64 ) ), "-" )</f>
        <v>▲</v>
      </c>
      <c r="G9" s="123" t="str">
        <f xml:space="preserve"> IFERROR( IF( ABS( CALCS│Summary!H96 ) &lt;= 0.01, "", IF( CALCS│Summary!H96 &lt; 0, 'Map &amp; Key'!$C$65, 'Map &amp; Key'!$C$64 ) ), "-" )</f>
        <v>▼</v>
      </c>
      <c r="H9" s="123" t="str">
        <f xml:space="preserve"> IF( ABS( CALCS│Summary!H125 ) &lt;= 0.01, "", IF( CALCS│Summary!H125 &gt; 0, 'Map &amp; Key'!$C$65, 'Map &amp; Key'!$C$64 ) )</f>
        <v>▲</v>
      </c>
      <c r="I9" s="123" t="str">
        <f xml:space="preserve"> IFERROR( IF( ABS( CALCS│Summary!M125 ) &lt;= 0.01, "", IF( CALCS│Summary!M125 &gt; 0, 'Map &amp; Key'!$C$65, 'Map &amp; Key'!$C$64 ) ), "-" )</f>
        <v>▲</v>
      </c>
      <c r="J9" s="123" t="str">
        <f xml:space="preserve"> IFERROR( IF( ABS( CALCS│Summary!R125 ) &lt;= 0.01, "", IF( CALCS│Summary!R125 &gt; 0, 'Map &amp; Key'!$C$65, 'Map &amp; Key'!$C$64 ) ), "-" )</f>
        <v>▲</v>
      </c>
      <c r="K9" s="123" t="str">
        <f xml:space="preserve"> IFERROR( IF( ABS( CALCS│Summary!W125 ) &lt;= 0.01, "", IF( CALCS│Summary!W125 &gt; 0, 'Map &amp; Key'!$C$65, 'Map &amp; Key'!$C$64 ) ), "-" )</f>
        <v>-</v>
      </c>
      <c r="L9" s="123" t="str">
        <f xml:space="preserve"> IFERROR( IF( ABS( CALCS│Summary!AB125 ) &lt;= 0.01, "", IF( CALCS│Summary!AB125 &gt; 0, 'Map &amp; Key'!$C$65, 'Map &amp; Key'!$C$64 ) ), "-" )</f>
        <v>-</v>
      </c>
      <c r="N9" s="302"/>
      <c r="O9" s="350" t="s">
        <v>70</v>
      </c>
    </row>
    <row r="10" spans="2:15" ht="16.5" customHeight="1" x14ac:dyDescent="0.2">
      <c r="B10" s="290" t="s">
        <v>166</v>
      </c>
      <c r="C10" s="221"/>
      <c r="D10" s="221"/>
      <c r="E10" s="221"/>
      <c r="F10" s="221"/>
      <c r="G10" s="221"/>
      <c r="H10" s="221"/>
      <c r="I10" s="221"/>
      <c r="J10" s="221"/>
      <c r="K10" s="221"/>
      <c r="L10" s="289"/>
      <c r="N10" s="304" t="s">
        <v>565</v>
      </c>
      <c r="O10" s="350" t="s">
        <v>74</v>
      </c>
    </row>
    <row r="11" spans="2:15" ht="16.5" customHeight="1" x14ac:dyDescent="0.2">
      <c r="B11" s="371" t="s">
        <v>91</v>
      </c>
      <c r="C11" s="262" t="str">
        <f xml:space="preserve"> VLOOKUP($B11, OUTPUT│Totex!$I$7:$M$23, 4, 0 )</f>
        <v>▼</v>
      </c>
      <c r="D11" s="261" t="str">
        <f xml:space="preserve"> VLOOKUP($B11, OUTPUT│Totex!$I$79:$M$95, 4, 0 )</f>
        <v>▲</v>
      </c>
      <c r="E11" s="259" t="str">
        <f xml:space="preserve"> IFERROR( IF( ABS( CALCS│Summary!H40 ) &lt;= 0.01, "", IF( CALCS│Summary!H40 &lt; 0, 'Map &amp; Key'!$C$65, 'Map &amp; Key'!$C$64 ) ), "-" )</f>
        <v>▲</v>
      </c>
      <c r="F11" s="123" t="str">
        <f xml:space="preserve"> IFERROR( IF( ABS( CALCS│Summary!H69 ) &lt;= 0.01, "", IF( CALCS│Summary!H69 &lt; 0, 'Map &amp; Key'!$C$65, 'Map &amp; Key'!$C$64 ) ), "-" )</f>
        <v/>
      </c>
      <c r="G11" s="123" t="str">
        <f xml:space="preserve"> IFERROR( IF( ABS( CALCS│Summary!H98 ) &lt;= 0.01, "", IF( CALCS│Summary!H98 &lt; 0, 'Map &amp; Key'!$C$65, 'Map &amp; Key'!$C$64 ) ), "-" )</f>
        <v>▲</v>
      </c>
      <c r="H11" s="123" t="str">
        <f xml:space="preserve"> IF( ABS( CALCS│Summary!H127 ) &lt;= 0.01, "", IF( CALCS│Summary!H127 &gt; 0, 'Map &amp; Key'!$C$65, 'Map &amp; Key'!$C$64 ) )</f>
        <v/>
      </c>
      <c r="I11" s="123" t="str">
        <f xml:space="preserve"> IFERROR( IF( ABS( CALCS│Summary!M127 ) &lt;= 0.01, "", IF( CALCS│Summary!M127 &gt; 0, 'Map &amp; Key'!$C$65, 'Map &amp; Key'!$C$64 ) ), "-" )</f>
        <v>▲</v>
      </c>
      <c r="J11" s="123" t="str">
        <f xml:space="preserve"> IFERROR( IF( ABS( CALCS│Summary!R127 ) &lt;= 0.01, "", IF( CALCS│Summary!R127 &gt; 0, 'Map &amp; Key'!$C$65, 'Map &amp; Key'!$C$64 ) ), "-" )</f>
        <v/>
      </c>
      <c r="K11" s="123" t="str">
        <f xml:space="preserve"> IFERROR( IF( ABS( CALCS│Summary!W127 ) &lt;= 0.01, "", IF( CALCS│Summary!W127 &gt; 0, 'Map &amp; Key'!$C$65, 'Map &amp; Key'!$C$64 ) ), "-" )</f>
        <v>▲</v>
      </c>
      <c r="L11" s="123" t="str">
        <f xml:space="preserve"> IFERROR( IF( ABS( CALCS│Summary!AB127 ) &lt;= 0.01, "", IF( CALCS│Summary!AB127 &gt; 0, 'Map &amp; Key'!$C$65, 'Map &amp; Key'!$C$64 ) ), "-" )</f>
        <v>▲</v>
      </c>
      <c r="N11" s="304" t="s">
        <v>566</v>
      </c>
      <c r="O11" s="350" t="s">
        <v>75</v>
      </c>
    </row>
    <row r="12" spans="2:15" ht="16.5" customHeight="1" x14ac:dyDescent="0.2">
      <c r="B12" s="290" t="s">
        <v>167</v>
      </c>
      <c r="C12" s="221"/>
      <c r="D12" s="221"/>
      <c r="E12" s="221"/>
      <c r="F12" s="221"/>
      <c r="G12" s="221"/>
      <c r="H12" s="221"/>
      <c r="I12" s="221"/>
      <c r="J12" s="221"/>
      <c r="K12" s="221"/>
      <c r="L12" s="289"/>
    </row>
    <row r="13" spans="2:15" ht="16.5" customHeight="1" x14ac:dyDescent="0.2">
      <c r="B13" s="371" t="s">
        <v>82</v>
      </c>
      <c r="C13" s="262" t="str">
        <f xml:space="preserve"> VLOOKUP($B13, OUTPUT│Totex!$I$7:$M$23, 4, 0 )</f>
        <v>▼</v>
      </c>
      <c r="D13" s="261" t="str">
        <f xml:space="preserve"> VLOOKUP($B13, OUTPUT│Totex!$I$79:$M$95, 4, 0 )</f>
        <v>▼</v>
      </c>
      <c r="E13" s="259" t="str">
        <f xml:space="preserve"> IFERROR( IF( ABS( CALCS│Summary!H42 ) &lt;= 0.01, "", IF( CALCS│Summary!H42 &lt; 0, 'Map &amp; Key'!$C$65, 'Map &amp; Key'!$C$64 ) ), "-" )</f>
        <v>▲</v>
      </c>
      <c r="F13" s="123" t="str">
        <f xml:space="preserve"> IFERROR( IF( ABS( CALCS│Summary!H71 ) &lt;= 0.01, "", IF( CALCS│Summary!H71 &lt; 0, 'Map &amp; Key'!$C$65, 'Map &amp; Key'!$C$64 ) ), "-" )</f>
        <v>▼</v>
      </c>
      <c r="G13" s="123" t="str">
        <f xml:space="preserve"> IFERROR( IF( ABS( CALCS│Summary!H100 ) &lt;= 0.01, "", IF( CALCS│Summary!H100 &lt; 0, 'Map &amp; Key'!$C$65, 'Map &amp; Key'!$C$64 ) ), "-" )</f>
        <v>▲</v>
      </c>
      <c r="H13" s="123" t="str">
        <f xml:space="preserve"> IF( ABS( CALCS│Summary!H129 ) &lt;= 0.01, "", IF( CALCS│Summary!H129 &gt; 0, 'Map &amp; Key'!$C$65, 'Map &amp; Key'!$C$64 ) )</f>
        <v>▲</v>
      </c>
      <c r="I13" s="123" t="str">
        <f xml:space="preserve"> IFERROR( IF( ABS( CALCS│Summary!M129 ) &lt;= 0.01, "", IF( CALCS│Summary!M129 &gt; 0, 'Map &amp; Key'!$C$65, 'Map &amp; Key'!$C$64 ) ), "-" )</f>
        <v>▲</v>
      </c>
      <c r="J13" s="123" t="str">
        <f xml:space="preserve"> IFERROR( IF( ABS( CALCS│Summary!R129 ) &lt;= 0.01, "", IF( CALCS│Summary!R129 &gt; 0, 'Map &amp; Key'!$C$65, 'Map &amp; Key'!$C$64 ) ), "-" )</f>
        <v>▼</v>
      </c>
      <c r="K13" s="123" t="str">
        <f xml:space="preserve"> IFERROR( IF( ABS( CALCS│Summary!W129 ) &lt;= 0.01, "", IF( CALCS│Summary!W129 &gt; 0, 'Map &amp; Key'!$C$65, 'Map &amp; Key'!$C$64 ) ), "-" )</f>
        <v/>
      </c>
      <c r="L13" s="123" t="str">
        <f xml:space="preserve"> IFERROR( IF( ABS( CALCS│Summary!AB129 ) &lt;= 0.01, "", IF( CALCS│Summary!AB129 &gt; 0, 'Map &amp; Key'!$C$65, 'Map &amp; Key'!$C$64 ) ), "-" )</f>
        <v/>
      </c>
    </row>
    <row r="14" spans="2:15" ht="16.5" customHeight="1" x14ac:dyDescent="0.2">
      <c r="B14" s="371" t="s">
        <v>87</v>
      </c>
      <c r="C14" s="262" t="str">
        <f xml:space="preserve"> VLOOKUP($B14, OUTPUT│Totex!$I$7:$M$23, 4, 0 )</f>
        <v>▼</v>
      </c>
      <c r="D14" s="261" t="str">
        <f xml:space="preserve"> VLOOKUP($B14, OUTPUT│Totex!$I$79:$M$95, 4, 0 )</f>
        <v>▼</v>
      </c>
      <c r="E14" s="259" t="str">
        <f xml:space="preserve"> IFERROR( IF( ABS( CALCS│Summary!H43 ) &lt;= 0.01, "", IF( CALCS│Summary!H43 &lt; 0, 'Map &amp; Key'!$C$65, 'Map &amp; Key'!$C$64 ) ), "-" )</f>
        <v/>
      </c>
      <c r="F14" s="123" t="str">
        <f xml:space="preserve"> IFERROR( IF( ABS( CALCS│Summary!H72 ) &lt;= 0.01, "", IF( CALCS│Summary!H72 &lt; 0, 'Map &amp; Key'!$C$65, 'Map &amp; Key'!$C$64 ) ), "-" )</f>
        <v>▼</v>
      </c>
      <c r="G14" s="123" t="str">
        <f xml:space="preserve"> IFERROR( IF( ABS( CALCS│Summary!H101 ) &lt;= 0.01, "", IF( CALCS│Summary!H101 &lt; 0, 'Map &amp; Key'!$C$65, 'Map &amp; Key'!$C$64 ) ), "-" )</f>
        <v>▼</v>
      </c>
      <c r="H14" s="123" t="str">
        <f xml:space="preserve"> IF( ABS( CALCS│Summary!H130 ) &lt;= 0.01, "", IF( CALCS│Summary!H130 &gt; 0, 'Map &amp; Key'!$C$65, 'Map &amp; Key'!$C$64 ) )</f>
        <v>▲</v>
      </c>
      <c r="I14" s="123" t="str">
        <f xml:space="preserve"> IFERROR( IF( ABS( CALCS│Summary!M130 ) &lt;= 0.01, "", IF( CALCS│Summary!M130 &gt; 0, 'Map &amp; Key'!$C$65, 'Map &amp; Key'!$C$64 ) ), "-" )</f>
        <v>▼</v>
      </c>
      <c r="J14" s="123" t="str">
        <f xml:space="preserve"> IFERROR( IF( ABS( CALCS│Summary!R130 ) &lt;= 0.01, "", IF( CALCS│Summary!R130 &gt; 0, 'Map &amp; Key'!$C$65, 'Map &amp; Key'!$C$64 ) ), "-" )</f>
        <v/>
      </c>
      <c r="K14" s="123" t="str">
        <f xml:space="preserve"> IFERROR( IF( ABS( CALCS│Summary!W130 ) &lt;= 0.01, "", IF( CALCS│Summary!W130 &gt; 0, 'Map &amp; Key'!$C$65, 'Map &amp; Key'!$C$64 ) ), "-" )</f>
        <v>▼</v>
      </c>
      <c r="L14" s="123" t="str">
        <f xml:space="preserve"> IFERROR( IF( ABS( CALCS│Summary!AB130 ) &lt;= 0.01, "", IF( CALCS│Summary!AB130 &gt; 0, 'Map &amp; Key'!$C$65, 'Map &amp; Key'!$C$64 ) ), "-" )</f>
        <v>▲</v>
      </c>
    </row>
    <row r="15" spans="2:15" ht="16.5" customHeight="1" x14ac:dyDescent="0.2">
      <c r="B15" s="371" t="s">
        <v>89</v>
      </c>
      <c r="C15" s="260" t="str">
        <f xml:space="preserve"> VLOOKUP($B15, OUTPUT│Totex!$I$7:$M$23, 4, 0 )</f>
        <v>-</v>
      </c>
      <c r="D15" s="261" t="str">
        <f xml:space="preserve"> VLOOKUP($B15, OUTPUT│Totex!$I$79:$M$95, 4, 0 )</f>
        <v>-</v>
      </c>
      <c r="E15" s="258" t="str">
        <f xml:space="preserve"> IFERROR( IF( ABS( CALCS│Summary!H44 ) &lt;= 0.01, "", IF( CALCS│Summary!H44 &lt; 0, 'Map &amp; Key'!$C$65, 'Map &amp; Key'!$C$64 ) ), "-" )</f>
        <v>-</v>
      </c>
      <c r="F15" s="123" t="str">
        <f xml:space="preserve"> IFERROR( IF( ABS( CALCS│Summary!H73 ) &lt;= 0.01, "", IF( CALCS│Summary!H73 &lt; 0, 'Map &amp; Key'!$C$65, 'Map &amp; Key'!$C$64 ) ), "-" )</f>
        <v>-</v>
      </c>
      <c r="G15" s="123" t="str">
        <f xml:space="preserve"> IFERROR( IF( ABS( CALCS│Summary!H102 ) &lt;= 0.01, "", IF( CALCS│Summary!H102 &lt; 0, 'Map &amp; Key'!$C$65, 'Map &amp; Key'!$C$64 ) ), "-" )</f>
        <v>-</v>
      </c>
      <c r="H15" s="123" t="str">
        <f xml:space="preserve"> IF( ABS( CALCS│Summary!H131 ) &lt;= 0.01, "", IF( CALCS│Summary!H131 &gt; 0, 'Map &amp; Key'!$C$65, 'Map &amp; Key'!$C$64 ) )</f>
        <v>▲</v>
      </c>
      <c r="I15" s="123" t="str">
        <f xml:space="preserve"> IFERROR( IF( ABS( CALCS│Summary!M131 ) &lt;= 0.01, "", IF( CALCS│Summary!M131 &gt; 0, 'Map &amp; Key'!$C$65, 'Map &amp; Key'!$C$64 ) ), "-" )</f>
        <v>-</v>
      </c>
      <c r="J15" s="123" t="str">
        <f xml:space="preserve"> IFERROR( IF( ABS( CALCS│Summary!R131 ) &lt;= 0.01, "", IF( CALCS│Summary!R131 &gt; 0, 'Map &amp; Key'!$C$65, 'Map &amp; Key'!$C$64 ) ), "-" )</f>
        <v>-</v>
      </c>
      <c r="K15" s="123" t="str">
        <f xml:space="preserve"> IFERROR( IF( ABS( CALCS│Summary!W131 ) &lt;= 0.01, "", IF( CALCS│Summary!W131 &gt; 0, 'Map &amp; Key'!$C$65, 'Map &amp; Key'!$C$64 ) ), "-" )</f>
        <v>-</v>
      </c>
      <c r="L15" s="123" t="str">
        <f xml:space="preserve"> IFERROR( IF( ABS( CALCS│Summary!AB131 ) &lt;= 0.01, "", IF( CALCS│Summary!AB131 &gt; 0, 'Map &amp; Key'!$C$65, 'Map &amp; Key'!$C$64 ) ), "-" )</f>
        <v>-</v>
      </c>
    </row>
    <row r="16" spans="2:15" ht="16.5" customHeight="1" x14ac:dyDescent="0.2">
      <c r="B16" s="371" t="s">
        <v>94</v>
      </c>
      <c r="C16" s="262" t="str">
        <f xml:space="preserve"> VLOOKUP($B16, OUTPUT│Totex!$I$7:$M$23, 4, 0 )</f>
        <v>▼</v>
      </c>
      <c r="D16" s="261" t="str">
        <f xml:space="preserve"> VLOOKUP($B16, OUTPUT│Totex!$I$79:$M$95, 4, 0 )</f>
        <v>▲</v>
      </c>
      <c r="E16" s="259" t="str">
        <f xml:space="preserve"> IFERROR( IF( ABS( CALCS│Summary!H45 ) &lt;= 0.01, "", IF( CALCS│Summary!H45 &lt; 0, 'Map &amp; Key'!$C$65, 'Map &amp; Key'!$C$64 ) ), "-" )</f>
        <v>▲</v>
      </c>
      <c r="F16" s="123" t="str">
        <f xml:space="preserve"> IFERROR( IF( ABS( CALCS│Summary!H74 ) &lt;= 0.01, "", IF( CALCS│Summary!H74 &lt; 0, 'Map &amp; Key'!$C$65, 'Map &amp; Key'!$C$64 ) ), "-" )</f>
        <v>▲</v>
      </c>
      <c r="G16" s="123" t="str">
        <f xml:space="preserve"> IFERROR( IF( ABS( CALCS│Summary!H103 ) &lt;= 0.01, "", IF( CALCS│Summary!H103 &lt; 0, 'Map &amp; Key'!$C$65, 'Map &amp; Key'!$C$64 ) ), "-" )</f>
        <v>▼</v>
      </c>
      <c r="H16" s="123" t="str">
        <f xml:space="preserve"> IF( ABS( CALCS│Summary!H132 ) &lt;= 0.01, "", IF( CALCS│Summary!H132 &gt; 0, 'Map &amp; Key'!$C$65, 'Map &amp; Key'!$C$64 ) )</f>
        <v>▼</v>
      </c>
      <c r="I16" s="123" t="str">
        <f xml:space="preserve"> IFERROR( IF( ABS( CALCS│Summary!M132 ) &lt;= 0.01, "", IF( CALCS│Summary!M132 &gt; 0, 'Map &amp; Key'!$C$65, 'Map &amp; Key'!$C$64 ) ), "-" )</f>
        <v>▲</v>
      </c>
      <c r="J16" s="123" t="str">
        <f xml:space="preserve"> IFERROR( IF( ABS( CALCS│Summary!R132 ) &lt;= 0.01, "", IF( CALCS│Summary!R132 &gt; 0, 'Map &amp; Key'!$C$65, 'Map &amp; Key'!$C$64 ) ), "-" )</f>
        <v>▲</v>
      </c>
      <c r="K16" s="123" t="str">
        <f xml:space="preserve"> IFERROR( IF( ABS( CALCS│Summary!W132 ) &lt;= 0.01, "", IF( CALCS│Summary!W132 &gt; 0, 'Map &amp; Key'!$C$65, 'Map &amp; Key'!$C$64 ) ), "-" )</f>
        <v>▲</v>
      </c>
      <c r="L16" s="123" t="str">
        <f xml:space="preserve"> IFERROR( IF( ABS( CALCS│Summary!AB132 ) &lt;= 0.01, "", IF( CALCS│Summary!AB132 &gt; 0, 'Map &amp; Key'!$C$65, 'Map &amp; Key'!$C$64 ) ), "-" )</f>
        <v>▼</v>
      </c>
    </row>
    <row r="17" spans="2:12" ht="16.5" customHeight="1" x14ac:dyDescent="0.2">
      <c r="B17" s="371" t="s">
        <v>98</v>
      </c>
      <c r="C17" s="262" t="str">
        <f xml:space="preserve"> VLOOKUP($B17, OUTPUT│Totex!$I$7:$M$23, 4, 0 )</f>
        <v>▲</v>
      </c>
      <c r="D17" s="261" t="str">
        <f xml:space="preserve"> VLOOKUP($B17, OUTPUT│Totex!$I$79:$M$95, 4, 0 )</f>
        <v>▼</v>
      </c>
      <c r="E17" s="259" t="str">
        <f xml:space="preserve"> IFERROR( IF( ABS( CALCS│Summary!H46 ) &lt;= 0.01, "", IF( CALCS│Summary!H46 &lt; 0, 'Map &amp; Key'!$C$65, 'Map &amp; Key'!$C$64 ) ), "-" )</f>
        <v/>
      </c>
      <c r="F17" s="123" t="str">
        <f xml:space="preserve"> IFERROR( IF( ABS( CALCS│Summary!H75 ) &lt;= 0.01, "", IF( CALCS│Summary!H75 &lt; 0, 'Map &amp; Key'!$C$65, 'Map &amp; Key'!$C$64 ) ), "-" )</f>
        <v>▲</v>
      </c>
      <c r="G17" s="123" t="str">
        <f xml:space="preserve"> IFERROR( IF( ABS( CALCS│Summary!H104 ) &lt;= 0.01, "", IF( CALCS│Summary!H104 &lt; 0, 'Map &amp; Key'!$C$65, 'Map &amp; Key'!$C$64 ) ), "-" )</f>
        <v>▲</v>
      </c>
      <c r="H17" s="123" t="str">
        <f xml:space="preserve"> IF( ABS( CALCS│Summary!H133 ) &lt;= 0.01, "", IF( CALCS│Summary!H133 &gt; 0, 'Map &amp; Key'!$C$65, 'Map &amp; Key'!$C$64 ) )</f>
        <v/>
      </c>
      <c r="I17" s="123" t="str">
        <f xml:space="preserve"> IFERROR( IF( ABS( CALCS│Summary!M133 ) &lt;= 0.01, "", IF( CALCS│Summary!M133 &gt; 0, 'Map &amp; Key'!$C$65, 'Map &amp; Key'!$C$64 ) ), "-" )</f>
        <v>▲</v>
      </c>
      <c r="J17" s="123" t="str">
        <f xml:space="preserve"> IFERROR( IF( ABS( CALCS│Summary!R133 ) &lt;= 0.01, "", IF( CALCS│Summary!R133 &gt; 0, 'Map &amp; Key'!$C$65, 'Map &amp; Key'!$C$64 ) ), "-" )</f>
        <v>▲</v>
      </c>
      <c r="K17" s="123" t="str">
        <f xml:space="preserve"> IFERROR( IF( ABS( CALCS│Summary!W133 ) &lt;= 0.01, "", IF( CALCS│Summary!W133 &gt; 0, 'Map &amp; Key'!$C$65, 'Map &amp; Key'!$C$64 ) ), "-" )</f>
        <v>▲</v>
      </c>
      <c r="L17" s="123" t="str">
        <f xml:space="preserve"> IFERROR( IF( ABS( CALCS│Summary!AB133 ) &lt;= 0.01, "", IF( CALCS│Summary!AB133 &gt; 0, 'Map &amp; Key'!$C$65, 'Map &amp; Key'!$C$64 ) ), "-" )</f>
        <v>▼</v>
      </c>
    </row>
    <row r="18" spans="2:12" ht="16.5" customHeight="1" x14ac:dyDescent="0.2">
      <c r="B18" s="371" t="s">
        <v>102</v>
      </c>
      <c r="C18" s="262" t="str">
        <f xml:space="preserve"> VLOOKUP($B18, OUTPUT│Totex!$I$7:$M$23, 4, 0 )</f>
        <v>▼</v>
      </c>
      <c r="D18" s="261" t="str">
        <f xml:space="preserve"> VLOOKUP($B18, OUTPUT│Totex!$I$79:$M$95, 4, 0 )</f>
        <v>▼</v>
      </c>
      <c r="E18" s="259" t="str">
        <f xml:space="preserve"> IFERROR( IF( ABS( CALCS│Summary!H47 ) &lt;= 0.01, "", IF( CALCS│Summary!H47 &lt; 0, 'Map &amp; Key'!$C$65, 'Map &amp; Key'!$C$64 ) ), "-" )</f>
        <v/>
      </c>
      <c r="F18" s="123" t="str">
        <f xml:space="preserve"> IFERROR( IF( ABS( CALCS│Summary!H76 ) &lt;= 0.01, "", IF( CALCS│Summary!H76 &lt; 0, 'Map &amp; Key'!$C$65, 'Map &amp; Key'!$C$64 ) ), "-" )</f>
        <v>▲</v>
      </c>
      <c r="G18" s="123" t="str">
        <f xml:space="preserve"> IFERROR( IF( ABS( CALCS│Summary!H105 ) &lt;= 0.01, "", IF( CALCS│Summary!H105 &lt; 0, 'Map &amp; Key'!$C$65, 'Map &amp; Key'!$C$64 ) ), "-" )</f>
        <v>▼</v>
      </c>
      <c r="H18" s="123" t="str">
        <f xml:space="preserve"> IF( ABS( CALCS│Summary!H134 ) &lt;= 0.01, "", IF( CALCS│Summary!H134 &gt; 0, 'Map &amp; Key'!$C$65, 'Map &amp; Key'!$C$64 ) )</f>
        <v>▲</v>
      </c>
      <c r="I18" s="123" t="str">
        <f xml:space="preserve"> IFERROR( IF( ABS( CALCS│Summary!M134 ) &lt;= 0.01, "", IF( CALCS│Summary!M134 &gt; 0, 'Map &amp; Key'!$C$65, 'Map &amp; Key'!$C$64 ) ), "-" )</f>
        <v>▼</v>
      </c>
      <c r="J18" s="123" t="str">
        <f xml:space="preserve"> IFERROR( IF( ABS( CALCS│Summary!R134 ) &lt;= 0.01, "", IF( CALCS│Summary!R134 &gt; 0, 'Map &amp; Key'!$C$65, 'Map &amp; Key'!$C$64 ) ), "-" )</f>
        <v>▼</v>
      </c>
      <c r="K18" s="123" t="str">
        <f xml:space="preserve"> IFERROR( IF( ABS( CALCS│Summary!W134 ) &lt;= 0.01, "", IF( CALCS│Summary!W134 &gt; 0, 'Map &amp; Key'!$C$65, 'Map &amp; Key'!$C$64 ) ), "-" )</f>
        <v/>
      </c>
      <c r="L18" s="123" t="str">
        <f xml:space="preserve"> IFERROR( IF( ABS( CALCS│Summary!AB134 ) &lt;= 0.01, "", IF( CALCS│Summary!AB134 &gt; 0, 'Map &amp; Key'!$C$65, 'Map &amp; Key'!$C$64 ) ), "-" )</f>
        <v>▼</v>
      </c>
    </row>
    <row r="19" spans="2:12" ht="16.5" customHeight="1" x14ac:dyDescent="0.2">
      <c r="B19" s="371" t="s">
        <v>104</v>
      </c>
      <c r="C19" s="262" t="str">
        <f xml:space="preserve"> VLOOKUP($B19, OUTPUT│Totex!$I$7:$M$23, 4, 0 )</f>
        <v>▼</v>
      </c>
      <c r="D19" s="261" t="str">
        <f xml:space="preserve"> VLOOKUP($B19, OUTPUT│Totex!$I$79:$M$95, 4, 0 )</f>
        <v>▲</v>
      </c>
      <c r="E19" s="259" t="str">
        <f xml:space="preserve"> IFERROR( IF( ABS( CALCS│Summary!H48 ) &lt;= 0.01, "", IF( CALCS│Summary!H48 &lt; 0, 'Map &amp; Key'!$C$65, 'Map &amp; Key'!$C$64 ) ), "-" )</f>
        <v/>
      </c>
      <c r="F19" s="123" t="str">
        <f xml:space="preserve"> IFERROR( IF( ABS( CALCS│Summary!H77 ) &lt;= 0.01, "", IF( CALCS│Summary!H77 &lt; 0, 'Map &amp; Key'!$C$65, 'Map &amp; Key'!$C$64 ) ), "-" )</f>
        <v>▲</v>
      </c>
      <c r="G19" s="123" t="str">
        <f xml:space="preserve"> IFERROR( IF( ABS( CALCS│Summary!H106 ) &lt;= 0.01, "", IF( CALCS│Summary!H106 &lt; 0, 'Map &amp; Key'!$C$65, 'Map &amp; Key'!$C$64 ) ), "-" )</f>
        <v>▼</v>
      </c>
      <c r="H19" s="123" t="str">
        <f xml:space="preserve"> IF( ABS( CALCS│Summary!H135 ) &lt;= 0.01, "", IF( CALCS│Summary!H135 &gt; 0, 'Map &amp; Key'!$C$65, 'Map &amp; Key'!$C$64 ) )</f>
        <v>▼</v>
      </c>
      <c r="I19" s="123" t="str">
        <f xml:space="preserve"> IFERROR( IF( ABS( CALCS│Summary!M135 ) &lt;= 0.01, "", IF( CALCS│Summary!M135 &gt; 0, 'Map &amp; Key'!$C$65, 'Map &amp; Key'!$C$64 ) ), "-" )</f>
        <v>▲</v>
      </c>
      <c r="J19" s="123" t="str">
        <f xml:space="preserve"> IFERROR( IF( ABS( CALCS│Summary!R135 ) &lt;= 0.01, "", IF( CALCS│Summary!R135 &gt; 0, 'Map &amp; Key'!$C$65, 'Map &amp; Key'!$C$64 ) ), "-" )</f>
        <v>▲</v>
      </c>
      <c r="K19" s="123" t="str">
        <f xml:space="preserve"> IFERROR( IF( ABS( CALCS│Summary!W135 ) &lt;= 0.01, "", IF( CALCS│Summary!W135 &gt; 0, 'Map &amp; Key'!$C$65, 'Map &amp; Key'!$C$64 ) ), "-" )</f>
        <v>-</v>
      </c>
      <c r="L19" s="123" t="str">
        <f xml:space="preserve"> IFERROR( IF( ABS( CALCS│Summary!AB135 ) &lt;= 0.01, "", IF( CALCS│Summary!AB135 &gt; 0, 'Map &amp; Key'!$C$65, 'Map &amp; Key'!$C$64 ) ), "-" )</f>
        <v>-</v>
      </c>
    </row>
    <row r="20" spans="2:12" ht="16.5" customHeight="1" x14ac:dyDescent="0.2">
      <c r="B20" s="371" t="s">
        <v>106</v>
      </c>
      <c r="C20" s="262" t="str">
        <f xml:space="preserve"> VLOOKUP($B20, OUTPUT│Totex!$I$7:$M$23, 4, 0 )</f>
        <v>▼</v>
      </c>
      <c r="D20" s="261" t="str">
        <f xml:space="preserve"> VLOOKUP($B20, OUTPUT│Totex!$I$79:$M$95, 4, 0 )</f>
        <v>▼</v>
      </c>
      <c r="E20" s="259" t="str">
        <f xml:space="preserve"> IFERROR( IF( ABS( CALCS│Summary!H49 ) &lt;= 0.01, "", IF( CALCS│Summary!H49 &lt; 0, 'Map &amp; Key'!$C$65, 'Map &amp; Key'!$C$64 ) ), "-" )</f>
        <v>▲</v>
      </c>
      <c r="F20" s="123" t="str">
        <f xml:space="preserve"> IFERROR( IF( ABS( CALCS│Summary!H78 ) &lt;= 0.01, "", IF( CALCS│Summary!H78 &lt; 0, 'Map &amp; Key'!$C$65, 'Map &amp; Key'!$C$64 ) ), "-" )</f>
        <v/>
      </c>
      <c r="G20" s="123" t="str">
        <f xml:space="preserve"> IFERROR( IF( ABS( CALCS│Summary!H107 ) &lt;= 0.01, "", IF( CALCS│Summary!H107 &lt; 0, 'Map &amp; Key'!$C$65, 'Map &amp; Key'!$C$64 ) ), "-" )</f>
        <v>▼</v>
      </c>
      <c r="H20" s="123" t="str">
        <f xml:space="preserve"> IF( ABS( CALCS│Summary!H136 ) &lt;= 0.01, "", IF( CALCS│Summary!H136 &gt; 0, 'Map &amp; Key'!$C$65, 'Map &amp; Key'!$C$64 ) )</f>
        <v>▲</v>
      </c>
      <c r="I20" s="123" t="str">
        <f xml:space="preserve"> IFERROR( IF( ABS( CALCS│Summary!M136 ) &lt;= 0.01, "", IF( CALCS│Summary!M136 &gt; 0, 'Map &amp; Key'!$C$65, 'Map &amp; Key'!$C$64 ) ), "-" )</f>
        <v>▲</v>
      </c>
      <c r="J20" s="123" t="str">
        <f xml:space="preserve"> IFERROR( IF( ABS( CALCS│Summary!R136 ) &lt;= 0.01, "", IF( CALCS│Summary!R136 &gt; 0, 'Map &amp; Key'!$C$65, 'Map &amp; Key'!$C$64 ) ), "-" )</f>
        <v>▼</v>
      </c>
      <c r="K20" s="123" t="str">
        <f xml:space="preserve"> IFERROR( IF( ABS( CALCS│Summary!W136 ) &lt;= 0.01, "", IF( CALCS│Summary!W136 &gt; 0, 'Map &amp; Key'!$C$65, 'Map &amp; Key'!$C$64 ) ), "-" )</f>
        <v>-</v>
      </c>
      <c r="L20" s="123" t="str">
        <f xml:space="preserve"> IFERROR( IF( ABS( CALCS│Summary!AB136 ) &lt;= 0.01, "", IF( CALCS│Summary!AB136 &gt; 0, 'Map &amp; Key'!$C$65, 'Map &amp; Key'!$C$64 ) ), "-" )</f>
        <v>-</v>
      </c>
    </row>
    <row r="21" spans="2:12" ht="16.5" customHeight="1" x14ac:dyDescent="0.2">
      <c r="B21" s="371" t="s">
        <v>112</v>
      </c>
      <c r="C21" s="262" t="str">
        <f xml:space="preserve"> VLOOKUP($B21, OUTPUT│Totex!$I$7:$M$23, 4, 0 )</f>
        <v>▼</v>
      </c>
      <c r="D21" s="261" t="str">
        <f xml:space="preserve"> VLOOKUP($B21, OUTPUT│Totex!$I$79:$M$95, 4, 0 )</f>
        <v>▲</v>
      </c>
      <c r="E21" s="259" t="str">
        <f xml:space="preserve"> IFERROR( IF( ABS( CALCS│Summary!H50 ) &lt;= 0.01, "", IF( CALCS│Summary!H50 &lt; 0, 'Map &amp; Key'!$C$65, 'Map &amp; Key'!$C$64 ) ), "-" )</f>
        <v/>
      </c>
      <c r="F21" s="123" t="str">
        <f xml:space="preserve"> IFERROR( IF( ABS( CALCS│Summary!H79 ) &lt;= 0.01, "", IF( CALCS│Summary!H79 &lt; 0, 'Map &amp; Key'!$C$65, 'Map &amp; Key'!$C$64 ) ), "-" )</f>
        <v>▼</v>
      </c>
      <c r="G21" s="123" t="str">
        <f xml:space="preserve"> IFERROR( IF( ABS( CALCS│Summary!H108 ) &lt;= 0.01, "", IF( CALCS│Summary!H108 &lt; 0, 'Map &amp; Key'!$C$65, 'Map &amp; Key'!$C$64 ) ), "-" )</f>
        <v>▲</v>
      </c>
      <c r="H21" s="123" t="str">
        <f xml:space="preserve"> IF( ABS( CALCS│Summary!H137 ) &lt;= 0.01, "", IF( CALCS│Summary!H137 &gt; 0, 'Map &amp; Key'!$C$65, 'Map &amp; Key'!$C$64 ) )</f>
        <v>▲</v>
      </c>
      <c r="I21" s="123" t="str">
        <f xml:space="preserve"> IFERROR( IF( ABS( CALCS│Summary!M137 ) &lt;= 0.01, "", IF( CALCS│Summary!M137 &gt; 0, 'Map &amp; Key'!$C$65, 'Map &amp; Key'!$C$64 ) ), "-" )</f>
        <v>▲</v>
      </c>
      <c r="J21" s="123" t="str">
        <f xml:space="preserve"> IFERROR( IF( ABS( CALCS│Summary!R137 ) &lt;= 0.01, "", IF( CALCS│Summary!R137 &gt; 0, 'Map &amp; Key'!$C$65, 'Map &amp; Key'!$C$64 ) ), "-" )</f>
        <v>▲</v>
      </c>
      <c r="K21" s="123" t="str">
        <f xml:space="preserve"> IFERROR( IF( ABS( CALCS│Summary!W137 ) &lt;= 0.01, "", IF( CALCS│Summary!W137 &gt; 0, 'Map &amp; Key'!$C$65, 'Map &amp; Key'!$C$64 ) ), "-" )</f>
        <v>-</v>
      </c>
      <c r="L21" s="123" t="str">
        <f xml:space="preserve"> IFERROR( IF( ABS( CALCS│Summary!AB137 ) &lt;= 0.01, "", IF( CALCS│Summary!AB137 &gt; 0, 'Map &amp; Key'!$C$65, 'Map &amp; Key'!$C$64 ) ), "-" )</f>
        <v>-</v>
      </c>
    </row>
    <row r="22" spans="2:12" ht="16.5" customHeight="1" x14ac:dyDescent="0.2">
      <c r="B22" s="371" t="s">
        <v>114</v>
      </c>
      <c r="C22" s="262" t="str">
        <f xml:space="preserve"> VLOOKUP($B22, OUTPUT│Totex!$I$7:$M$23, 4, 0 )</f>
        <v>▼</v>
      </c>
      <c r="D22" s="261" t="str">
        <f xml:space="preserve"> VLOOKUP($B22, OUTPUT│Totex!$I$79:$M$95, 4, 0 )</f>
        <v>▲</v>
      </c>
      <c r="E22" s="259" t="str">
        <f xml:space="preserve"> IFERROR( IF( ABS( CALCS│Summary!H51 ) &lt;= 0.01, "", IF( CALCS│Summary!H51 &lt; 0, 'Map &amp; Key'!$C$65, 'Map &amp; Key'!$C$64 ) ), "-" )</f>
        <v/>
      </c>
      <c r="F22" s="123" t="str">
        <f xml:space="preserve"> IFERROR( IF( ABS( CALCS│Summary!H80 ) &lt;= 0.01, "", IF( CALCS│Summary!H80 &lt; 0, 'Map &amp; Key'!$C$65, 'Map &amp; Key'!$C$64 ) ), "-" )</f>
        <v>▲</v>
      </c>
      <c r="G22" s="122" t="str">
        <f xml:space="preserve"> IFERROR( IF( ABS( CALCS│Summary!H109 ) &lt;= 0.01, "", IF( CALCS│Summary!H109 &lt; 0, 'Map &amp; Key'!$C$65, 'Map &amp; Key'!$C$64 ) ), "-" )</f>
        <v>▲</v>
      </c>
      <c r="H22" s="123" t="str">
        <f xml:space="preserve"> IF( ABS( CALCS│Summary!H138 ) &lt;= 0.01, "", IF( CALCS│Summary!H138 &gt; 0, 'Map &amp; Key'!$C$65, 'Map &amp; Key'!$C$64 ) )</f>
        <v>▲</v>
      </c>
      <c r="I22" s="123" t="str">
        <f xml:space="preserve"> IFERROR( IF( ABS( CALCS│Summary!M138 ) &lt;= 0.01, "", IF( CALCS│Summary!M138 &gt; 0, 'Map &amp; Key'!$C$65, 'Map &amp; Key'!$C$64 ) ), "-" )</f>
        <v>▲</v>
      </c>
      <c r="J22" s="123" t="str">
        <f xml:space="preserve"> IFERROR( IF( ABS( CALCS│Summary!R138 ) &lt;= 0.01, "", IF( CALCS│Summary!R138 &gt; 0, 'Map &amp; Key'!$C$65, 'Map &amp; Key'!$C$64 ) ), "-" )</f>
        <v>▼</v>
      </c>
      <c r="K22" s="123" t="str">
        <f xml:space="preserve"> IFERROR( IF( ABS( CALCS│Summary!W138 ) &lt;= 0.01, "", IF( CALCS│Summary!W138 &gt; 0, 'Map &amp; Key'!$C$65, 'Map &amp; Key'!$C$64 ) ), "-" )</f>
        <v>-</v>
      </c>
      <c r="L22" s="123" t="str">
        <f xml:space="preserve"> IFERROR( IF( ABS( CALCS│Summary!AB138 ) &lt;= 0.01, "", IF( CALCS│Summary!AB138 &gt; 0, 'Map &amp; Key'!$C$65, 'Map &amp; Key'!$C$64 ) ), "-" )</f>
        <v>-</v>
      </c>
    </row>
    <row r="23" spans="2:12" ht="16.5" customHeight="1" x14ac:dyDescent="0.2">
      <c r="B23" s="371" t="s">
        <v>110</v>
      </c>
      <c r="C23" s="262" t="str">
        <f xml:space="preserve"> VLOOKUP($B23, OUTPUT│Totex!$I$7:$M$23, 4, 0 )</f>
        <v>▼</v>
      </c>
      <c r="D23" s="261" t="str">
        <f xml:space="preserve"> VLOOKUP($B23, OUTPUT│Totex!$I$79:$M$95, 4, 0 )</f>
        <v>▼</v>
      </c>
      <c r="E23" s="258" t="str">
        <f xml:space="preserve"> IFERROR( IF( ABS( CALCS│Summary!H52 ) &lt;= 0.01, "", IF( CALCS│Summary!H52 &lt; 0, 'Map &amp; Key'!$C$65, 'Map &amp; Key'!$C$64 ) ), "-" )</f>
        <v>▲</v>
      </c>
      <c r="F23" s="123" t="str">
        <f xml:space="preserve"> IFERROR( IF( ABS( CALCS│Summary!H81 ) &lt;= 0.01, "", IF( CALCS│Summary!H81 &lt; 0, 'Map &amp; Key'!$C$65, 'Map &amp; Key'!$C$64 ) ), "-" )</f>
        <v>▼</v>
      </c>
      <c r="G23" s="123" t="str">
        <f xml:space="preserve"> IFERROR( IF( ABS( CALCS│Summary!H110 ) &lt;= 0.01, "", IF( CALCS│Summary!H110 &lt; 0, 'Map &amp; Key'!$C$65, 'Map &amp; Key'!$C$64 ) ), "-" )</f>
        <v>▼</v>
      </c>
      <c r="H23" s="123" t="str">
        <f xml:space="preserve"> IF( ABS( CALCS│Summary!H139 ) &lt;= 0.01, "", IF( CALCS│Summary!H139 &gt; 0, 'Map &amp; Key'!$C$65, 'Map &amp; Key'!$C$64 ) )</f>
        <v/>
      </c>
      <c r="I23" s="123" t="str">
        <f xml:space="preserve"> IFERROR( IF( ABS( CALCS│Summary!M139 ) &lt;= 0.01, "", IF( CALCS│Summary!M139 &gt; 0, 'Map &amp; Key'!$C$65, 'Map &amp; Key'!$C$64 ) ), "-" )</f>
        <v>▼</v>
      </c>
      <c r="J23" s="123" t="str">
        <f xml:space="preserve"> IFERROR( IF( ABS( CALCS│Summary!R139 ) &lt;= 0.01, "", IF( CALCS│Summary!R139 &gt; 0, 'Map &amp; Key'!$C$65, 'Map &amp; Key'!$C$64 ) ), "-" )</f>
        <v>▼</v>
      </c>
      <c r="K23" s="123" t="str">
        <f xml:space="preserve"> IFERROR( IF( ABS( CALCS│Summary!W139 ) &lt;= 0.01, "", IF( CALCS│Summary!W139 &gt; 0, 'Map &amp; Key'!$C$65, 'Map &amp; Key'!$C$64 ) ), "-" )</f>
        <v>-</v>
      </c>
      <c r="L23" s="123" t="str">
        <f xml:space="preserve"> IFERROR( IF( ABS( CALCS│Summary!AB139 ) &lt;= 0.01, "", IF( CALCS│Summary!AB139 &gt; 0, 'Map &amp; Key'!$C$65, 'Map &amp; Key'!$C$64 ) ), "-" )</f>
        <v>-</v>
      </c>
    </row>
    <row r="24" spans="2:12" ht="16.5" customHeight="1" x14ac:dyDescent="0.2">
      <c r="B24" s="290" t="s">
        <v>168</v>
      </c>
      <c r="C24" s="221"/>
      <c r="D24" s="221"/>
      <c r="E24" s="221"/>
      <c r="F24" s="221"/>
      <c r="G24" s="221"/>
      <c r="H24" s="221"/>
      <c r="I24" s="221"/>
      <c r="J24" s="221"/>
      <c r="K24" s="221"/>
      <c r="L24" s="289"/>
    </row>
    <row r="25" spans="2:12" ht="16.5" customHeight="1" x14ac:dyDescent="0.2">
      <c r="B25" s="371" t="s">
        <v>85</v>
      </c>
      <c r="C25" s="262" t="str">
        <f xml:space="preserve"> VLOOKUP($B25, OUTPUT│Totex!$I$7:$M$23, 4, 0 )</f>
        <v>-</v>
      </c>
      <c r="D25" s="261" t="str">
        <f xml:space="preserve"> VLOOKUP($B25, OUTPUT│Totex!$I$79:$M$95, 4, 0 )</f>
        <v>-</v>
      </c>
      <c r="E25" s="259" t="str">
        <f xml:space="preserve"> IFERROR( IF( ABS( CALCS│Summary!H54 ) &lt;= 0.01, "", IF( CALCS│Summary!H54 &lt; 0, 'Map &amp; Key'!$C$65, 'Map &amp; Key'!$C$64 ) ), "-" )</f>
        <v>-</v>
      </c>
      <c r="F25" s="123" t="str">
        <f xml:space="preserve"> IFERROR( IF( ABS( CALCS│Summary!H83 ) &lt;= 0.01, "", IF( CALCS│Summary!H83 &lt; 0, 'Map &amp; Key'!$C$65, 'Map &amp; Key'!$C$64 ) ), "-" )</f>
        <v>-</v>
      </c>
      <c r="G25" s="123" t="str">
        <f xml:space="preserve"> IFERROR( IF( ABS( CALCS│Summary!H112 ) &lt;= 0.01, "", IF( CALCS│Summary!H112 &lt; 0, 'Map &amp; Key'!$C$65, 'Map &amp; Key'!$C$64 ) ), "-" )</f>
        <v>-</v>
      </c>
      <c r="H25" s="123" t="str">
        <f xml:space="preserve"> IF( ABS( CALCS│Summary!H141 ) &lt;= 0.01, "", IF( CALCS│Summary!H141 &gt; 0, 'Map &amp; Key'!$C$65, 'Map &amp; Key'!$C$64 ) )</f>
        <v>▼</v>
      </c>
      <c r="I25" s="123" t="str">
        <f xml:space="preserve"> IFERROR( IF( ABS( CALCS│Summary!M141 ) &lt;= 0.01, "", IF( CALCS│Summary!M141 &gt; 0, 'Map &amp; Key'!$C$65, 'Map &amp; Key'!$C$64 ) ), "-" )</f>
        <v>-</v>
      </c>
      <c r="J25" s="123" t="str">
        <f xml:space="preserve"> IFERROR( IF( ABS( CALCS│Summary!R141 ) &lt;= 0.01, "", IF( CALCS│Summary!R141 &gt; 0, 'Map &amp; Key'!$C$65, 'Map &amp; Key'!$C$64 ) ), "-" )</f>
        <v>-</v>
      </c>
      <c r="K25" s="123" t="str">
        <f xml:space="preserve"> IFERROR( IF( ABS( CALCS│Summary!W141 ) &lt;= 0.01, "", IF( CALCS│Summary!W141 &gt; 0, 'Map &amp; Key'!$C$65, 'Map &amp; Key'!$C$64 ) ), "-" )</f>
        <v>-</v>
      </c>
      <c r="L25" s="122" t="str">
        <f xml:space="preserve"> IFERROR( IF( ABS( CALCS│Summary!AB141 ) &lt;= 0.01, "", IF( CALCS│Summary!AB141 &gt; 0, 'Map &amp; Key'!$C$65, 'Map &amp; Key'!$C$64 ) ), "-" )</f>
        <v>-</v>
      </c>
    </row>
    <row r="26" spans="2:12" ht="16.5" customHeight="1" x14ac:dyDescent="0.2">
      <c r="B26" s="371" t="s">
        <v>96</v>
      </c>
      <c r="C26" s="262" t="str">
        <f xml:space="preserve"> VLOOKUP($B26, OUTPUT│Totex!$I$7:$M$23, 4, 0 )</f>
        <v>▼</v>
      </c>
      <c r="D26" s="261" t="str">
        <f xml:space="preserve"> VLOOKUP($B26, OUTPUT│Totex!$I$79:$M$95, 4, 0 )</f>
        <v>▼</v>
      </c>
      <c r="E26" s="259" t="str">
        <f xml:space="preserve"> IFERROR( IF( ABS( CALCS│Summary!H55 ) &lt;= 0.01, "", IF( CALCS│Summary!H55 &lt; 0, 'Map &amp; Key'!$C$65, 'Map &amp; Key'!$C$64 ) ), "-" )</f>
        <v>▼</v>
      </c>
      <c r="F26" s="123" t="str">
        <f xml:space="preserve"> IFERROR( IF( ABS( CALCS│Summary!H84 ) &lt;= 0.01, "", IF( CALCS│Summary!H84 &lt; 0, 'Map &amp; Key'!$C$65, 'Map &amp; Key'!$C$64 ) ), "-" )</f>
        <v>▼</v>
      </c>
      <c r="G26" s="123" t="str">
        <f xml:space="preserve"> IFERROR( IF( ABS( CALCS│Summary!H113 ) &lt;= 0.01, "", IF( CALCS│Summary!H113 &lt; 0, 'Map &amp; Key'!$C$65, 'Map &amp; Key'!$C$64 ) ), "-" )</f>
        <v>▼</v>
      </c>
      <c r="H26" s="123" t="str">
        <f xml:space="preserve"> IF( ABS( CALCS│Summary!H142 ) &lt;= 0.01, "", IF( CALCS│Summary!H142 &gt; 0, 'Map &amp; Key'!$C$65, 'Map &amp; Key'!$C$64 ) )</f>
        <v/>
      </c>
      <c r="I26" s="122" t="str">
        <f xml:space="preserve"> IFERROR( IF( ABS( CALCS│Summary!M142 ) &lt;= 0.01, "", IF( CALCS│Summary!M142 &gt; 0, 'Map &amp; Key'!$C$65, 'Map &amp; Key'!$C$64 ) ), "-" )</f>
        <v>▲</v>
      </c>
      <c r="J26" s="122" t="str">
        <f xml:space="preserve"> IFERROR( IF( ABS( CALCS│Summary!R142 ) &lt;= 0.01, "", IF( CALCS│Summary!R142 &gt; 0, 'Map &amp; Key'!$C$65, 'Map &amp; Key'!$C$64 ) ), "-" )</f>
        <v>▼</v>
      </c>
      <c r="K26" s="122" t="str">
        <f xml:space="preserve"> IFERROR( IF( ABS( CALCS│Summary!W142 ) &lt;= 0.01, "", IF( CALCS│Summary!W142 &gt; 0, 'Map &amp; Key'!$C$65, 'Map &amp; Key'!$C$64 ) ), "-" )</f>
        <v>▲</v>
      </c>
      <c r="L26" s="122" t="str">
        <f xml:space="preserve"> IFERROR( IF( ABS( CALCS│Summary!AB142 ) &lt;= 0.01, "", IF( CALCS│Summary!AB142 &gt; 0, 'Map &amp; Key'!$C$65, 'Map &amp; Key'!$C$64 ) ), "-" )</f>
        <v>▲</v>
      </c>
    </row>
  </sheetData>
  <mergeCells count="3">
    <mergeCell ref="E4:L4"/>
    <mergeCell ref="C4:D4"/>
    <mergeCell ref="N6:O6"/>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8" id="{29E7936C-D963-4B8A-97AD-17D906B93AB4}">
            <xm:f>CALCS│Summary!$F7=1</xm:f>
            <x14:dxf>
              <font>
                <b/>
                <i val="0"/>
                <color theme="3" tint="-0.24994659260841701"/>
              </font>
              <fill>
                <patternFill>
                  <bgColor theme="6"/>
                </patternFill>
              </fill>
            </x14:dxf>
          </x14:cfRule>
          <x14:cfRule type="expression" priority="29" id="{CA6587E4-8E2E-4121-84DA-65BED73E5FA0}">
            <xm:f>CALCS│Summary!$F7=2</xm:f>
            <x14:dxf>
              <font>
                <b/>
                <i val="0"/>
                <color theme="3" tint="-0.24994659260841701"/>
              </font>
              <fill>
                <patternFill>
                  <bgColor rgb="FFB9C884"/>
                </patternFill>
              </fill>
            </x14:dxf>
          </x14:cfRule>
          <x14:cfRule type="expression" priority="30" id="{6D85B2D7-8A41-435C-B578-4D6E6308FF8F}">
            <xm:f>CALCS│Summary!$F7=3</xm:f>
            <x14:dxf>
              <font>
                <b/>
                <i val="0"/>
                <color theme="3" tint="-0.24994659260841701"/>
              </font>
              <fill>
                <patternFill>
                  <bgColor theme="7"/>
                </patternFill>
              </fill>
            </x14:dxf>
          </x14:cfRule>
          <xm:sqref>C7:C9 C11 C13:C23 C25:C26</xm:sqref>
        </x14:conditionalFormatting>
        <x14:conditionalFormatting xmlns:xm="http://schemas.microsoft.com/office/excel/2006/main">
          <x14:cfRule type="expression" priority="284" id="{BDDFDB5C-B568-4D74-9A92-AC53C904E8FE}">
            <xm:f>CALCS│Summary!G36=1</xm:f>
            <x14:dxf>
              <font>
                <b/>
                <i val="0"/>
                <color theme="3" tint="-0.24994659260841701"/>
              </font>
              <fill>
                <patternFill>
                  <bgColor theme="6"/>
                </patternFill>
              </fill>
            </x14:dxf>
          </x14:cfRule>
          <x14:cfRule type="expression" priority="285" id="{BD50E19D-4921-47F1-8EB0-7E698A2CB93F}">
            <xm:f>CALCS│Summary!G36=2</xm:f>
            <x14:dxf>
              <font>
                <b/>
                <i val="0"/>
                <color theme="3"/>
              </font>
              <fill>
                <patternFill>
                  <bgColor rgb="FFB9C884"/>
                </patternFill>
              </fill>
            </x14:dxf>
          </x14:cfRule>
          <x14:cfRule type="expression" priority="286" id="{827A9874-EBA5-4858-B65E-6E0EA5A2EB25}">
            <xm:f>CALCS│Summary!G36=3</xm:f>
            <x14:dxf>
              <font>
                <b/>
                <i val="0"/>
                <color theme="3" tint="-0.24994659260841701"/>
              </font>
              <fill>
                <patternFill>
                  <bgColor theme="7"/>
                </patternFill>
              </fill>
            </x14:dxf>
          </x14:cfRule>
          <xm:sqref>E25:E26 E7:E9 E11 E13:E23</xm:sqref>
        </x14:conditionalFormatting>
        <x14:conditionalFormatting xmlns:xm="http://schemas.microsoft.com/office/excel/2006/main">
          <x14:cfRule type="expression" priority="347" id="{EFFABC80-61BF-4A95-8278-079C1E307DD5}">
            <xm:f>CALCS│Summary!G65=1</xm:f>
            <x14:dxf>
              <font>
                <b/>
                <i val="0"/>
                <color theme="3" tint="-0.24994659260841701"/>
              </font>
              <fill>
                <patternFill>
                  <bgColor theme="6"/>
                </patternFill>
              </fill>
            </x14:dxf>
          </x14:cfRule>
          <x14:cfRule type="expression" priority="348" id="{E3D0C11A-CC3D-4A6C-867B-C605E2630794}">
            <xm:f>CALCS│Summary!G65=2</xm:f>
            <x14:dxf>
              <font>
                <b/>
                <i val="0"/>
                <color theme="3" tint="-0.24994659260841701"/>
              </font>
              <fill>
                <patternFill>
                  <bgColor rgb="FFB9C884"/>
                </patternFill>
              </fill>
            </x14:dxf>
          </x14:cfRule>
          <x14:cfRule type="expression" priority="349" id="{29C30DC9-0822-48C0-8F42-7D672F537889}">
            <xm:f>CALCS│Summary!G65=3</xm:f>
            <x14:dxf>
              <font>
                <b/>
                <i val="0"/>
                <color theme="3" tint="-0.24994659260841701"/>
              </font>
              <fill>
                <patternFill>
                  <bgColor theme="7"/>
                </patternFill>
              </fill>
            </x14:dxf>
          </x14:cfRule>
          <xm:sqref>F25:F26 F7:F9 F11 F13:F23</xm:sqref>
        </x14:conditionalFormatting>
        <x14:conditionalFormatting xmlns:xm="http://schemas.microsoft.com/office/excel/2006/main">
          <x14:cfRule type="expression" priority="410" id="{211FA674-289E-400C-92B9-FD406EB9BB7E}">
            <xm:f>CALCS│Summary!G94=1</xm:f>
            <x14:dxf>
              <font>
                <b/>
                <i val="0"/>
                <color theme="3" tint="-0.24994659260841701"/>
              </font>
              <fill>
                <patternFill>
                  <bgColor theme="6"/>
                </patternFill>
              </fill>
            </x14:dxf>
          </x14:cfRule>
          <x14:cfRule type="expression" priority="411" id="{D66C9D95-8C52-4680-BA16-CCD0B54022FB}">
            <xm:f>CALCS│Summary!G94=2</xm:f>
            <x14:dxf>
              <font>
                <b/>
                <i val="0"/>
                <color theme="3" tint="-0.24994659260841701"/>
              </font>
              <fill>
                <patternFill>
                  <bgColor rgb="FFB9C884"/>
                </patternFill>
              </fill>
            </x14:dxf>
          </x14:cfRule>
          <x14:cfRule type="expression" priority="412" id="{1FF8150D-ECA2-4518-9044-33957BA1ED52}">
            <xm:f>CALCS│Summary!G94=3</xm:f>
            <x14:dxf>
              <font>
                <b/>
                <i val="0"/>
                <color theme="3" tint="-0.24994659260841701"/>
              </font>
              <fill>
                <patternFill>
                  <bgColor theme="7"/>
                </patternFill>
              </fill>
            </x14:dxf>
          </x14:cfRule>
          <xm:sqref>G25:G26 G7:G9 G11 G13:G23</xm:sqref>
        </x14:conditionalFormatting>
        <x14:conditionalFormatting xmlns:xm="http://schemas.microsoft.com/office/excel/2006/main">
          <x14:cfRule type="expression" priority="413" id="{211FA674-289E-400C-92B9-FD406EB9BB7E}">
            <xm:f>CALCS│Summary!V123=1</xm:f>
            <x14:dxf>
              <font>
                <b/>
                <i val="0"/>
                <color theme="3" tint="-0.24994659260841701"/>
              </font>
              <fill>
                <patternFill>
                  <bgColor theme="6"/>
                </patternFill>
              </fill>
            </x14:dxf>
          </x14:cfRule>
          <x14:cfRule type="expression" priority="414" id="{D66C9D95-8C52-4680-BA16-CCD0B54022FB}">
            <xm:f>CALCS│Summary!V123=2</xm:f>
            <x14:dxf>
              <font>
                <b/>
                <i val="0"/>
                <color theme="3" tint="-0.24994659260841701"/>
              </font>
              <fill>
                <patternFill>
                  <bgColor rgb="FFB9C884"/>
                </patternFill>
              </fill>
            </x14:dxf>
          </x14:cfRule>
          <x14:cfRule type="expression" priority="415" id="{1FF8150D-ECA2-4518-9044-33957BA1ED52}">
            <xm:f>CALCS│Summary!V123=3</xm:f>
            <x14:dxf>
              <font>
                <b/>
                <i val="0"/>
                <color theme="3" tint="-0.24994659260841701"/>
              </font>
              <fill>
                <patternFill>
                  <bgColor theme="7"/>
                </patternFill>
              </fill>
            </x14:dxf>
          </x14:cfRule>
          <xm:sqref>K25:K26 K7:K9 K11 K13:K23</xm:sqref>
        </x14:conditionalFormatting>
        <x14:conditionalFormatting xmlns:xm="http://schemas.microsoft.com/office/excel/2006/main">
          <x14:cfRule type="expression" priority="425" id="{932C1E71-D073-4446-B0B8-53CB523AF53B}">
            <xm:f>CALCS│Summary!AA123=1</xm:f>
            <x14:dxf>
              <font>
                <b/>
                <i val="0"/>
                <color theme="3" tint="-0.24994659260841701"/>
              </font>
              <fill>
                <patternFill>
                  <bgColor theme="6"/>
                </patternFill>
              </fill>
            </x14:dxf>
          </x14:cfRule>
          <x14:cfRule type="expression" priority="426" id="{B8AA7F7C-CA2C-4A24-8E5C-0BEB019815FA}">
            <xm:f>CALCS│Summary!AA123=2</xm:f>
            <x14:dxf>
              <font>
                <b/>
                <i val="0"/>
                <color theme="3" tint="-0.24994659260841701"/>
              </font>
              <fill>
                <patternFill>
                  <bgColor rgb="FFB9C884"/>
                </patternFill>
              </fill>
            </x14:dxf>
          </x14:cfRule>
          <x14:cfRule type="expression" priority="427" id="{F97C14F4-8201-4528-B6F9-5BCC825E7DA1}">
            <xm:f>CALCS│Summary!AA123=3</xm:f>
            <x14:dxf>
              <font>
                <b/>
                <i val="0"/>
                <color theme="3" tint="-0.24994659260841701"/>
              </font>
              <fill>
                <patternFill>
                  <bgColor theme="7"/>
                </patternFill>
              </fill>
            </x14:dxf>
          </x14:cfRule>
          <xm:sqref>L25:L26 L7:L9 L11 L13:L23</xm:sqref>
        </x14:conditionalFormatting>
        <x14:conditionalFormatting xmlns:xm="http://schemas.microsoft.com/office/excel/2006/main">
          <x14:cfRule type="expression" priority="437" id="{211FA674-289E-400C-92B9-FD406EB9BB7E}">
            <xm:f>CALCS│Summary!Q123=1</xm:f>
            <x14:dxf>
              <font>
                <b/>
                <i val="0"/>
                <color theme="3" tint="-0.24994659260841701"/>
              </font>
              <fill>
                <patternFill>
                  <bgColor theme="6"/>
                </patternFill>
              </fill>
            </x14:dxf>
          </x14:cfRule>
          <x14:cfRule type="expression" priority="438" id="{D66C9D95-8C52-4680-BA16-CCD0B54022FB}">
            <xm:f>CALCS│Summary!Q123=2</xm:f>
            <x14:dxf>
              <font>
                <b/>
                <i val="0"/>
                <color theme="3" tint="-0.24994659260841701"/>
              </font>
              <fill>
                <patternFill>
                  <bgColor rgb="FFB9C884"/>
                </patternFill>
              </fill>
            </x14:dxf>
          </x14:cfRule>
          <x14:cfRule type="expression" priority="439" id="{1FF8150D-ECA2-4518-9044-33957BA1ED52}">
            <xm:f>CALCS│Summary!Q123=3</xm:f>
            <x14:dxf>
              <font>
                <b/>
                <i val="0"/>
                <color theme="3" tint="-0.24994659260841701"/>
              </font>
              <fill>
                <patternFill>
                  <bgColor theme="7"/>
                </patternFill>
              </fill>
            </x14:dxf>
          </x14:cfRule>
          <xm:sqref>J25:J26 J7:J9 J11 J13:J23</xm:sqref>
        </x14:conditionalFormatting>
        <x14:conditionalFormatting xmlns:xm="http://schemas.microsoft.com/office/excel/2006/main">
          <x14:cfRule type="expression" priority="449" id="{211FA674-289E-400C-92B9-FD406EB9BB7E}">
            <xm:f>CALCS│Summary!L123=1</xm:f>
            <x14:dxf>
              <font>
                <b/>
                <i val="0"/>
                <color theme="3" tint="-0.24994659260841701"/>
              </font>
              <fill>
                <patternFill>
                  <bgColor theme="6"/>
                </patternFill>
              </fill>
            </x14:dxf>
          </x14:cfRule>
          <x14:cfRule type="expression" priority="450" id="{D66C9D95-8C52-4680-BA16-CCD0B54022FB}">
            <xm:f>CALCS│Summary!L123=2</xm:f>
            <x14:dxf>
              <font>
                <b/>
                <i val="0"/>
                <color theme="3" tint="-0.24994659260841701"/>
              </font>
              <fill>
                <patternFill>
                  <bgColor rgb="FFB9C884"/>
                </patternFill>
              </fill>
            </x14:dxf>
          </x14:cfRule>
          <x14:cfRule type="expression" priority="451" id="{1FF8150D-ECA2-4518-9044-33957BA1ED52}">
            <xm:f>CALCS│Summary!L123=3</xm:f>
            <x14:dxf>
              <font>
                <b/>
                <i val="0"/>
                <color theme="3" tint="-0.24994659260841701"/>
              </font>
              <fill>
                <patternFill>
                  <bgColor theme="7"/>
                </patternFill>
              </fill>
            </x14:dxf>
          </x14:cfRule>
          <xm:sqref>I25:I26 I7:I9 I11 I13:I23</xm:sqref>
        </x14:conditionalFormatting>
        <x14:conditionalFormatting xmlns:xm="http://schemas.microsoft.com/office/excel/2006/main">
          <x14:cfRule type="expression" priority="461" id="{211FA674-289E-400C-92B9-FD406EB9BB7E}">
            <xm:f>CALCS│Summary!G123=1</xm:f>
            <x14:dxf>
              <font>
                <b/>
                <i val="0"/>
                <color theme="3" tint="-0.24994659260841701"/>
              </font>
              <fill>
                <patternFill>
                  <bgColor theme="6"/>
                </patternFill>
              </fill>
            </x14:dxf>
          </x14:cfRule>
          <x14:cfRule type="expression" priority="462" id="{D66C9D95-8C52-4680-BA16-CCD0B54022FB}">
            <xm:f>CALCS│Summary!G123=2</xm:f>
            <x14:dxf>
              <font>
                <b/>
                <i val="0"/>
                <color theme="3" tint="-0.24994659260841701"/>
              </font>
              <fill>
                <patternFill>
                  <bgColor rgb="FFB9C884"/>
                </patternFill>
              </fill>
            </x14:dxf>
          </x14:cfRule>
          <x14:cfRule type="expression" priority="463" id="{1FF8150D-ECA2-4518-9044-33957BA1ED52}">
            <xm:f>CALCS│Summary!G123=3</xm:f>
            <x14:dxf>
              <font>
                <b/>
                <i val="0"/>
                <color theme="3" tint="-0.24994659260841701"/>
              </font>
              <fill>
                <patternFill>
                  <bgColor theme="7"/>
                </patternFill>
              </fill>
            </x14:dxf>
          </x14:cfRule>
          <xm:sqref>H25:H26 H11 H7:H9 H13:H23</xm:sqref>
        </x14:conditionalFormatting>
        <x14:conditionalFormatting xmlns:xm="http://schemas.microsoft.com/office/excel/2006/main">
          <x14:cfRule type="expression" priority="13" id="{67AD4143-5FAD-4376-BD6A-9A9251118A67}">
            <xm:f>CALCS│Summary!$K7=1</xm:f>
            <x14:dxf>
              <font>
                <b/>
                <i val="0"/>
                <color theme="3" tint="-0.24994659260841701"/>
              </font>
              <fill>
                <patternFill>
                  <bgColor theme="6"/>
                </patternFill>
              </fill>
            </x14:dxf>
          </x14:cfRule>
          <x14:cfRule type="expression" priority="14" id="{FF7D4293-3C0E-407E-84E7-01F6CE862BB9}">
            <xm:f>CALCS│Summary!$K7=2</xm:f>
            <x14:dxf>
              <font>
                <b/>
                <i val="0"/>
                <color theme="3" tint="-0.24994659260841701"/>
              </font>
              <fill>
                <patternFill>
                  <bgColor rgb="FFB9C884"/>
                </patternFill>
              </fill>
            </x14:dxf>
          </x14:cfRule>
          <x14:cfRule type="expression" priority="15" id="{2B903A73-D81D-433B-878F-724F00B512FC}">
            <xm:f>CALCS│Summary!$K7=3</xm:f>
            <x14:dxf>
              <font>
                <b/>
                <i val="0"/>
                <color theme="3" tint="-0.24994659260841701"/>
              </font>
              <fill>
                <patternFill>
                  <bgColor theme="7"/>
                </patternFill>
              </fill>
            </x14:dxf>
          </x14:cfRule>
          <xm:sqref>D7:D9 D11 D13:D23 D25:D26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1:N165"/>
  <sheetViews>
    <sheetView showGridLines="0" workbookViewId="0">
      <pane ySplit="3" topLeftCell="A4" activePane="bottomLeft" state="frozen"/>
      <selection pane="bottomLeft" activeCell="A4" sqref="A4"/>
    </sheetView>
  </sheetViews>
  <sheetFormatPr defaultRowHeight="12.75" x14ac:dyDescent="0.2"/>
  <cols>
    <col min="1" max="2" width="2.625" style="8" customWidth="1"/>
    <col min="3" max="3" width="23.125" style="8" bestFit="1" customWidth="1"/>
    <col min="4" max="4" width="9.875" style="11" customWidth="1"/>
    <col min="5" max="9" width="7.5" style="8" bestFit="1" customWidth="1"/>
    <col min="10" max="10" width="2.625" style="8" customWidth="1"/>
    <col min="11" max="11" width="13" style="185" customWidth="1"/>
    <col min="12" max="12" width="15.625" style="8" bestFit="1" customWidth="1"/>
    <col min="13" max="13" width="2.625" style="8" customWidth="1"/>
    <col min="14" max="16384" width="9" style="8"/>
  </cols>
  <sheetData>
    <row r="1" spans="2:14" x14ac:dyDescent="0.2">
      <c r="K1" s="186"/>
    </row>
    <row r="2" spans="2:14" s="21" customFormat="1" x14ac:dyDescent="0.2">
      <c r="B2" s="22"/>
      <c r="C2" s="22" t="s">
        <v>169</v>
      </c>
      <c r="D2" s="23" t="s">
        <v>170</v>
      </c>
      <c r="E2" s="4" t="s">
        <v>171</v>
      </c>
      <c r="F2" s="4" t="s">
        <v>172</v>
      </c>
      <c r="G2" s="4" t="s">
        <v>173</v>
      </c>
      <c r="H2" s="4" t="s">
        <v>150</v>
      </c>
      <c r="I2" s="4" t="s">
        <v>174</v>
      </c>
      <c r="J2" s="24"/>
      <c r="K2" s="25" t="s">
        <v>42</v>
      </c>
      <c r="L2" s="26"/>
      <c r="M2" s="24"/>
      <c r="N2" s="27"/>
    </row>
    <row r="3" spans="2:14" s="21" customFormat="1" x14ac:dyDescent="0.2">
      <c r="B3" s="28"/>
      <c r="C3" s="26" t="s">
        <v>175</v>
      </c>
      <c r="D3" s="26"/>
      <c r="E3" s="29">
        <v>3</v>
      </c>
      <c r="F3" s="29">
        <v>4</v>
      </c>
      <c r="G3" s="29">
        <v>5</v>
      </c>
      <c r="H3" s="29">
        <v>6</v>
      </c>
      <c r="I3" s="29">
        <v>7</v>
      </c>
      <c r="J3" s="26"/>
      <c r="K3" s="7" t="s">
        <v>205</v>
      </c>
      <c r="L3" s="26"/>
      <c r="M3" s="26"/>
      <c r="N3" s="30"/>
    </row>
    <row r="4" spans="2:14" x14ac:dyDescent="0.2">
      <c r="K4" s="186"/>
    </row>
    <row r="5" spans="2:14" ht="13.5" x14ac:dyDescent="0.25">
      <c r="B5" s="9" t="s">
        <v>176</v>
      </c>
      <c r="C5" s="9"/>
      <c r="D5" s="10"/>
      <c r="E5" s="9"/>
      <c r="F5" s="9"/>
      <c r="G5" s="9"/>
      <c r="H5" s="9"/>
      <c r="I5" s="9"/>
      <c r="J5" s="9"/>
      <c r="K5" s="182"/>
      <c r="L5" s="9"/>
      <c r="M5" s="9"/>
    </row>
    <row r="7" spans="2:14" s="34" customFormat="1" ht="13.5" x14ac:dyDescent="0.25">
      <c r="B7" s="36" t="s">
        <v>177</v>
      </c>
      <c r="C7" s="36"/>
      <c r="D7" s="37"/>
      <c r="E7" s="36"/>
      <c r="F7" s="36"/>
      <c r="G7" s="36"/>
      <c r="H7" s="36"/>
      <c r="I7" s="36"/>
      <c r="J7" s="36"/>
      <c r="K7" s="184" t="s">
        <v>178</v>
      </c>
      <c r="L7" s="36"/>
      <c r="M7" s="36"/>
    </row>
    <row r="9" spans="2:14" x14ac:dyDescent="0.2">
      <c r="C9" s="88" t="s">
        <v>79</v>
      </c>
      <c r="D9" s="11" t="s">
        <v>126</v>
      </c>
      <c r="E9" s="12">
        <v>313.91425529562162</v>
      </c>
      <c r="F9" s="12">
        <v>328.52098377975818</v>
      </c>
      <c r="G9" s="12">
        <v>333.36290350607698</v>
      </c>
      <c r="H9" s="12">
        <v>340.471008378188</v>
      </c>
      <c r="I9" s="12"/>
      <c r="K9" s="6"/>
    </row>
    <row r="10" spans="2:14" x14ac:dyDescent="0.2">
      <c r="C10" s="88" t="s">
        <v>81</v>
      </c>
      <c r="D10" s="11" t="s">
        <v>126</v>
      </c>
      <c r="E10" s="12">
        <v>207.07600000000002</v>
      </c>
      <c r="F10" s="12">
        <v>274.709</v>
      </c>
      <c r="G10" s="12">
        <v>296.43099999999998</v>
      </c>
      <c r="H10" s="12">
        <v>298.70100000000002</v>
      </c>
      <c r="I10" s="12"/>
      <c r="K10" s="6"/>
    </row>
    <row r="11" spans="2:14" x14ac:dyDescent="0.2">
      <c r="C11" s="88" t="s">
        <v>84</v>
      </c>
      <c r="D11" s="11" t="s">
        <v>126</v>
      </c>
      <c r="E11" s="12">
        <v>15.416000000000004</v>
      </c>
      <c r="F11" s="12">
        <v>19.38</v>
      </c>
      <c r="G11" s="12">
        <v>24.488</v>
      </c>
      <c r="H11" s="12">
        <v>23.97</v>
      </c>
      <c r="I11" s="12"/>
      <c r="K11" s="6"/>
    </row>
    <row r="12" spans="2:14" x14ac:dyDescent="0.2">
      <c r="C12" s="88" t="s">
        <v>86</v>
      </c>
      <c r="D12" s="11" t="s">
        <v>126</v>
      </c>
      <c r="E12" s="12">
        <v>247.75300000000004</v>
      </c>
      <c r="F12" s="12">
        <v>243.81800000000001</v>
      </c>
      <c r="G12" s="12">
        <v>293.44799999999998</v>
      </c>
      <c r="H12" s="12">
        <v>312.46699999999998</v>
      </c>
      <c r="I12" s="12"/>
      <c r="K12" s="6"/>
    </row>
    <row r="13" spans="2:14" x14ac:dyDescent="0.2">
      <c r="C13" s="88" t="s">
        <v>88</v>
      </c>
      <c r="D13" s="11" t="s">
        <v>126</v>
      </c>
      <c r="E13" s="12">
        <v>531.173</v>
      </c>
      <c r="F13" s="12">
        <v>537.52</v>
      </c>
      <c r="G13" s="12">
        <v>593.33000000000004</v>
      </c>
      <c r="H13" s="12">
        <v>697.67200000000003</v>
      </c>
      <c r="I13" s="12"/>
      <c r="K13" s="6"/>
    </row>
    <row r="14" spans="2:14" x14ac:dyDescent="0.2">
      <c r="C14" s="88" t="s">
        <v>90</v>
      </c>
      <c r="D14" s="11" t="s">
        <v>126</v>
      </c>
      <c r="E14" s="12">
        <v>126.76799999999997</v>
      </c>
      <c r="F14" s="12">
        <v>151.73500000000001</v>
      </c>
      <c r="G14" s="12">
        <v>149.416</v>
      </c>
      <c r="H14" s="12">
        <v>133.58199999999999</v>
      </c>
      <c r="I14" s="12"/>
      <c r="K14" s="6"/>
    </row>
    <row r="15" spans="2:14" x14ac:dyDescent="0.2">
      <c r="C15" s="88" t="s">
        <v>93</v>
      </c>
      <c r="D15" s="11" t="s">
        <v>126</v>
      </c>
      <c r="E15" s="12">
        <v>111.21300000000002</v>
      </c>
      <c r="F15" s="12">
        <v>144.52500000000001</v>
      </c>
      <c r="G15" s="12">
        <v>197.11699999999999</v>
      </c>
      <c r="H15" s="12">
        <v>184.48</v>
      </c>
      <c r="I15" s="12"/>
      <c r="K15" s="6"/>
    </row>
    <row r="16" spans="2:14" x14ac:dyDescent="0.2">
      <c r="C16" s="88" t="s">
        <v>95</v>
      </c>
      <c r="D16" s="11" t="s">
        <v>126</v>
      </c>
      <c r="E16" s="12">
        <v>696.28173939322494</v>
      </c>
      <c r="F16" s="12">
        <v>739.31404815886663</v>
      </c>
      <c r="G16" s="12">
        <v>782.18778361963621</v>
      </c>
      <c r="H16" s="12">
        <v>847.96146685515748</v>
      </c>
      <c r="I16" s="12"/>
      <c r="K16" s="6"/>
    </row>
    <row r="17" spans="2:13" x14ac:dyDescent="0.2">
      <c r="C17" s="88" t="s">
        <v>97</v>
      </c>
      <c r="D17" s="11" t="s">
        <v>126</v>
      </c>
      <c r="E17" s="12">
        <v>478.51788973909515</v>
      </c>
      <c r="F17" s="12">
        <v>531.11174199592801</v>
      </c>
      <c r="G17" s="12">
        <v>518.36227615245696</v>
      </c>
      <c r="H17" s="12">
        <v>555.98011074958401</v>
      </c>
      <c r="I17" s="12"/>
      <c r="K17" s="6"/>
    </row>
    <row r="18" spans="2:13" x14ac:dyDescent="0.2">
      <c r="C18" s="88" t="s">
        <v>99</v>
      </c>
      <c r="D18" s="11" t="s">
        <v>126</v>
      </c>
      <c r="E18" s="12">
        <v>144.685981739071</v>
      </c>
      <c r="F18" s="12">
        <v>137.433018260929</v>
      </c>
      <c r="G18" s="12">
        <v>126.252</v>
      </c>
      <c r="H18" s="12">
        <v>132.60000447654201</v>
      </c>
      <c r="I18" s="12"/>
      <c r="K18" s="6"/>
    </row>
    <row r="19" spans="2:13" x14ac:dyDescent="0.2">
      <c r="C19" s="88" t="s">
        <v>101</v>
      </c>
      <c r="D19" s="11" t="s">
        <v>126</v>
      </c>
      <c r="E19" s="12">
        <v>264.58399999999995</v>
      </c>
      <c r="F19" s="12">
        <v>296.74700000000001</v>
      </c>
      <c r="G19" s="12">
        <v>321.09300000000002</v>
      </c>
      <c r="H19" s="12">
        <v>370.05200000000002</v>
      </c>
      <c r="I19" s="12"/>
      <c r="K19" s="6"/>
    </row>
    <row r="20" spans="2:13" x14ac:dyDescent="0.2">
      <c r="C20" s="88" t="s">
        <v>103</v>
      </c>
      <c r="D20" s="11" t="s">
        <v>126</v>
      </c>
      <c r="E20" s="12">
        <v>216.31100000000004</v>
      </c>
      <c r="F20" s="12">
        <v>239.81399999999999</v>
      </c>
      <c r="G20" s="12">
        <v>223.73</v>
      </c>
      <c r="H20" s="12">
        <v>207.74851372005</v>
      </c>
      <c r="I20" s="12"/>
      <c r="K20" s="6"/>
    </row>
    <row r="21" spans="2:13" x14ac:dyDescent="0.2">
      <c r="C21" s="88" t="s">
        <v>105</v>
      </c>
      <c r="D21" s="11" t="s">
        <v>126</v>
      </c>
      <c r="E21" s="12">
        <v>65.168799622641501</v>
      </c>
      <c r="F21" s="12">
        <v>75.324200377358494</v>
      </c>
      <c r="G21" s="12">
        <v>91.09</v>
      </c>
      <c r="H21" s="12">
        <v>92.876000000000005</v>
      </c>
      <c r="I21" s="12"/>
      <c r="K21" s="6"/>
    </row>
    <row r="22" spans="2:13" x14ac:dyDescent="0.2">
      <c r="C22" s="88" t="s">
        <v>107</v>
      </c>
      <c r="D22" s="11" t="s">
        <v>126</v>
      </c>
      <c r="E22" s="12">
        <v>24.632999999999996</v>
      </c>
      <c r="F22" s="12">
        <v>28.802</v>
      </c>
      <c r="G22" s="12">
        <v>22.728000000000002</v>
      </c>
      <c r="H22" s="12">
        <v>31.155000000000001</v>
      </c>
      <c r="I22" s="12"/>
      <c r="K22" s="6"/>
    </row>
    <row r="23" spans="2:13" x14ac:dyDescent="0.2">
      <c r="C23" s="88" t="s">
        <v>111</v>
      </c>
      <c r="D23" s="11" t="s">
        <v>126</v>
      </c>
      <c r="E23" s="12">
        <v>143.29000000000002</v>
      </c>
      <c r="F23" s="12">
        <v>142.97300000000001</v>
      </c>
      <c r="G23" s="12">
        <v>148.36099999999999</v>
      </c>
      <c r="H23" s="12">
        <v>154.39400000000001</v>
      </c>
      <c r="I23" s="12"/>
      <c r="K23" s="6"/>
    </row>
    <row r="24" spans="2:13" x14ac:dyDescent="0.2">
      <c r="C24" s="88" t="s">
        <v>113</v>
      </c>
      <c r="D24" s="11" t="s">
        <v>126</v>
      </c>
      <c r="E24" s="12">
        <v>72.573732321234701</v>
      </c>
      <c r="F24" s="12">
        <v>76.023713386785701</v>
      </c>
      <c r="G24" s="12">
        <v>81.931403478126597</v>
      </c>
      <c r="H24" s="12">
        <v>80.834999999999994</v>
      </c>
      <c r="I24" s="12"/>
      <c r="K24" s="6"/>
    </row>
    <row r="25" spans="2:13" x14ac:dyDescent="0.2">
      <c r="C25" s="88" t="s">
        <v>109</v>
      </c>
      <c r="D25" s="11" t="s">
        <v>126</v>
      </c>
      <c r="E25" s="12">
        <v>38.804999999999993</v>
      </c>
      <c r="F25" s="12">
        <v>42.835999999999999</v>
      </c>
      <c r="G25" s="12">
        <v>44.158999999999999</v>
      </c>
      <c r="H25" s="12">
        <v>45.481000000000002</v>
      </c>
      <c r="I25" s="12"/>
      <c r="K25" s="6"/>
    </row>
    <row r="26" spans="2:13" x14ac:dyDescent="0.2">
      <c r="C26" s="88"/>
      <c r="E26" s="88"/>
    </row>
    <row r="27" spans="2:13" s="34" customFormat="1" ht="13.5" x14ac:dyDescent="0.25">
      <c r="B27" s="36" t="s">
        <v>179</v>
      </c>
      <c r="C27" s="133"/>
      <c r="D27" s="37"/>
      <c r="E27" s="133"/>
      <c r="F27" s="36"/>
      <c r="G27" s="36"/>
      <c r="H27" s="36"/>
      <c r="I27" s="36"/>
      <c r="J27" s="36"/>
      <c r="K27" s="184" t="s">
        <v>180</v>
      </c>
      <c r="L27" s="36"/>
      <c r="M27" s="36"/>
    </row>
    <row r="28" spans="2:13" x14ac:dyDescent="0.2">
      <c r="C28" s="88"/>
      <c r="E28" s="88"/>
    </row>
    <row r="29" spans="2:13" x14ac:dyDescent="0.2">
      <c r="C29" s="88" t="s">
        <v>79</v>
      </c>
      <c r="D29" s="11" t="s">
        <v>126</v>
      </c>
      <c r="E29" s="12">
        <v>405.39537373366608</v>
      </c>
      <c r="F29" s="12">
        <v>420.2826862022265</v>
      </c>
      <c r="G29" s="12">
        <v>468.65737499450699</v>
      </c>
      <c r="H29" s="12">
        <v>433.36580779201</v>
      </c>
      <c r="I29" s="12"/>
      <c r="K29" s="6"/>
    </row>
    <row r="30" spans="2:13" x14ac:dyDescent="0.2">
      <c r="C30" s="88" t="s">
        <v>81</v>
      </c>
      <c r="D30" s="11" t="s">
        <v>126</v>
      </c>
      <c r="E30" s="12">
        <v>223.81799999999998</v>
      </c>
      <c r="F30" s="12">
        <v>264.92399999999998</v>
      </c>
      <c r="G30" s="12">
        <v>278.69900000000001</v>
      </c>
      <c r="H30" s="12">
        <v>304.12299999999999</v>
      </c>
      <c r="I30" s="12"/>
      <c r="K30" s="6"/>
    </row>
    <row r="31" spans="2:13" x14ac:dyDescent="0.2">
      <c r="C31" s="88" t="s">
        <v>84</v>
      </c>
      <c r="D31" s="11" t="s">
        <v>126</v>
      </c>
      <c r="E31" s="134"/>
      <c r="F31" s="31"/>
      <c r="G31" s="31"/>
      <c r="H31" s="12">
        <v>2.5110000000000001</v>
      </c>
      <c r="I31" s="12"/>
      <c r="K31" s="6"/>
    </row>
    <row r="32" spans="2:13" x14ac:dyDescent="0.2">
      <c r="C32" s="88" t="s">
        <v>86</v>
      </c>
      <c r="D32" s="11" t="s">
        <v>126</v>
      </c>
      <c r="E32" s="12">
        <v>162.39400000000001</v>
      </c>
      <c r="F32" s="12">
        <v>152.291</v>
      </c>
      <c r="G32" s="12">
        <v>149.99</v>
      </c>
      <c r="H32" s="12">
        <v>155.059</v>
      </c>
      <c r="I32" s="12"/>
      <c r="K32" s="6"/>
    </row>
    <row r="33" spans="2:13" x14ac:dyDescent="0.2">
      <c r="C33" s="88" t="s">
        <v>88</v>
      </c>
      <c r="D33" s="11" t="s">
        <v>126</v>
      </c>
      <c r="E33" s="12">
        <v>432.83699999999999</v>
      </c>
      <c r="F33" s="12">
        <v>447.97</v>
      </c>
      <c r="G33" s="12">
        <v>482.20100000000002</v>
      </c>
      <c r="H33" s="12">
        <v>502.57499999999999</v>
      </c>
      <c r="I33" s="12"/>
      <c r="K33" s="6"/>
    </row>
    <row r="34" spans="2:13" x14ac:dyDescent="0.2">
      <c r="C34" s="88" t="s">
        <v>90</v>
      </c>
      <c r="D34" s="11" t="s">
        <v>126</v>
      </c>
      <c r="E34" s="12">
        <v>144.072</v>
      </c>
      <c r="F34" s="12">
        <v>165.79</v>
      </c>
      <c r="G34" s="12">
        <v>148.256</v>
      </c>
      <c r="H34" s="12">
        <v>137.44900000000001</v>
      </c>
      <c r="I34" s="12"/>
      <c r="K34" s="6"/>
    </row>
    <row r="35" spans="2:13" x14ac:dyDescent="0.2">
      <c r="C35" s="88" t="s">
        <v>93</v>
      </c>
      <c r="D35" s="11" t="s">
        <v>126</v>
      </c>
      <c r="E35" s="12">
        <v>302.26599999999996</v>
      </c>
      <c r="F35" s="12">
        <v>325.64600000000002</v>
      </c>
      <c r="G35" s="12">
        <v>352.86200000000002</v>
      </c>
      <c r="H35" s="12">
        <v>380.851</v>
      </c>
      <c r="I35" s="12"/>
      <c r="K35" s="6"/>
    </row>
    <row r="36" spans="2:13" x14ac:dyDescent="0.2">
      <c r="C36" s="88" t="s">
        <v>95</v>
      </c>
      <c r="D36" s="11" t="s">
        <v>126</v>
      </c>
      <c r="E36" s="12">
        <v>901.55223776616867</v>
      </c>
      <c r="F36" s="12">
        <v>809.63292465804852</v>
      </c>
      <c r="G36" s="12">
        <v>778.18952530904573</v>
      </c>
      <c r="H36" s="12">
        <v>734.78313117624862</v>
      </c>
      <c r="I36" s="12"/>
      <c r="K36" s="6"/>
    </row>
    <row r="37" spans="2:13" x14ac:dyDescent="0.2">
      <c r="C37" s="88" t="s">
        <v>97</v>
      </c>
      <c r="D37" s="11" t="s">
        <v>126</v>
      </c>
      <c r="E37" s="12">
        <v>674.95509709920793</v>
      </c>
      <c r="F37" s="12">
        <v>629.88043840741898</v>
      </c>
      <c r="G37" s="12">
        <v>619.33782856713299</v>
      </c>
      <c r="H37" s="12">
        <v>585.22720591583197</v>
      </c>
      <c r="I37" s="12"/>
      <c r="K37" s="6"/>
    </row>
    <row r="38" spans="2:13" x14ac:dyDescent="0.2">
      <c r="C38" s="88" t="s">
        <v>99</v>
      </c>
      <c r="D38" s="11" t="s">
        <v>126</v>
      </c>
      <c r="E38" s="12">
        <v>159.75547083308209</v>
      </c>
      <c r="F38" s="12">
        <v>169.07552916691799</v>
      </c>
      <c r="G38" s="12">
        <v>212.17699999999999</v>
      </c>
      <c r="H38" s="12">
        <v>201.31841202723601</v>
      </c>
      <c r="I38" s="12"/>
      <c r="K38" s="6"/>
    </row>
    <row r="39" spans="2:13" x14ac:dyDescent="0.2">
      <c r="C39" s="88" t="s">
        <v>101</v>
      </c>
      <c r="D39" s="11" t="s">
        <v>126</v>
      </c>
      <c r="E39" s="12">
        <v>297.70900000000006</v>
      </c>
      <c r="F39" s="12">
        <v>378.73200000000003</v>
      </c>
      <c r="G39" s="12">
        <v>370.59300000000002</v>
      </c>
      <c r="H39" s="12">
        <v>449.82299999999998</v>
      </c>
      <c r="I39" s="12"/>
      <c r="K39" s="6"/>
    </row>
    <row r="40" spans="2:13" x14ac:dyDescent="0.2">
      <c r="C40" s="88"/>
      <c r="E40" s="88"/>
    </row>
    <row r="41" spans="2:13" s="34" customFormat="1" ht="13.5" x14ac:dyDescent="0.25">
      <c r="B41" s="36" t="s">
        <v>181</v>
      </c>
      <c r="C41" s="133"/>
      <c r="D41" s="37"/>
      <c r="E41" s="133"/>
      <c r="F41" s="36"/>
      <c r="G41" s="36"/>
      <c r="H41" s="36"/>
      <c r="I41" s="36"/>
      <c r="J41" s="36"/>
      <c r="K41" s="184"/>
      <c r="L41" s="36"/>
      <c r="M41" s="36"/>
    </row>
    <row r="42" spans="2:13" x14ac:dyDescent="0.2">
      <c r="C42" s="88"/>
      <c r="E42" s="88"/>
    </row>
    <row r="43" spans="2:13" x14ac:dyDescent="0.2">
      <c r="C43" s="88" t="s">
        <v>95</v>
      </c>
      <c r="D43" s="11" t="s">
        <v>126</v>
      </c>
      <c r="E43" s="12">
        <v>96.3870389339734</v>
      </c>
      <c r="F43" s="12">
        <v>43.736611992915471</v>
      </c>
      <c r="G43" s="12">
        <v>36.246730523498719</v>
      </c>
      <c r="H43" s="12">
        <v>40.717351078021586</v>
      </c>
      <c r="I43" s="12"/>
      <c r="K43" s="6" t="s">
        <v>182</v>
      </c>
    </row>
    <row r="45" spans="2:13" ht="13.5" x14ac:dyDescent="0.25">
      <c r="B45" s="9" t="s">
        <v>183</v>
      </c>
      <c r="C45" s="9"/>
      <c r="D45" s="10"/>
      <c r="E45" s="9"/>
      <c r="F45" s="9"/>
      <c r="G45" s="9"/>
      <c r="H45" s="9"/>
      <c r="I45" s="9"/>
      <c r="J45" s="9"/>
      <c r="K45" s="182"/>
      <c r="L45" s="9"/>
      <c r="M45" s="9"/>
    </row>
    <row r="47" spans="2:13" s="34" customFormat="1" ht="13.5" x14ac:dyDescent="0.25">
      <c r="B47" s="36" t="s">
        <v>184</v>
      </c>
      <c r="C47" s="36"/>
      <c r="D47" s="37"/>
      <c r="E47" s="36"/>
      <c r="F47" s="36"/>
      <c r="G47" s="36"/>
      <c r="H47" s="36"/>
      <c r="I47" s="36"/>
      <c r="J47" s="36"/>
      <c r="K47" s="184" t="s">
        <v>185</v>
      </c>
      <c r="L47" s="36"/>
      <c r="M47" s="36"/>
    </row>
    <row r="49" spans="3:11" x14ac:dyDescent="0.2">
      <c r="C49" s="8" t="s">
        <v>79</v>
      </c>
      <c r="D49" s="11" t="s">
        <v>126</v>
      </c>
      <c r="E49" s="12">
        <v>313.91425529562162</v>
      </c>
      <c r="F49" s="12">
        <v>642.43523907537974</v>
      </c>
      <c r="G49" s="12">
        <v>975.79779393008096</v>
      </c>
      <c r="H49" s="12">
        <v>1316.2688023082701</v>
      </c>
      <c r="I49" s="12"/>
      <c r="K49" s="6"/>
    </row>
    <row r="50" spans="3:11" x14ac:dyDescent="0.2">
      <c r="C50" s="8" t="s">
        <v>81</v>
      </c>
      <c r="D50" s="11" t="s">
        <v>126</v>
      </c>
      <c r="E50" s="12">
        <v>207.07600000000002</v>
      </c>
      <c r="F50" s="12">
        <v>481.78500000000003</v>
      </c>
      <c r="G50" s="12">
        <v>778.21600000000001</v>
      </c>
      <c r="H50" s="12">
        <v>1076.9169999999999</v>
      </c>
      <c r="I50" s="12"/>
      <c r="K50" s="6"/>
    </row>
    <row r="51" spans="3:11" x14ac:dyDescent="0.2">
      <c r="C51" s="8" t="s">
        <v>84</v>
      </c>
      <c r="D51" s="11" t="s">
        <v>126</v>
      </c>
      <c r="E51" s="12">
        <v>15.416000000000004</v>
      </c>
      <c r="F51" s="12">
        <v>34.796000000000006</v>
      </c>
      <c r="G51" s="12">
        <v>59.283999999999999</v>
      </c>
      <c r="H51" s="12">
        <v>83.254000000000005</v>
      </c>
      <c r="I51" s="12"/>
      <c r="K51" s="6"/>
    </row>
    <row r="52" spans="3:11" x14ac:dyDescent="0.2">
      <c r="C52" s="8" t="s">
        <v>86</v>
      </c>
      <c r="D52" s="11" t="s">
        <v>126</v>
      </c>
      <c r="E52" s="12">
        <v>247.75300000000004</v>
      </c>
      <c r="F52" s="12">
        <v>491.57100000000003</v>
      </c>
      <c r="G52" s="12">
        <v>785.01900000000001</v>
      </c>
      <c r="H52" s="12">
        <v>1097.4860000000001</v>
      </c>
      <c r="I52" s="12"/>
      <c r="K52" s="6"/>
    </row>
    <row r="53" spans="3:11" x14ac:dyDescent="0.2">
      <c r="C53" s="8" t="s">
        <v>88</v>
      </c>
      <c r="D53" s="11" t="s">
        <v>126</v>
      </c>
      <c r="E53" s="12">
        <v>531.173</v>
      </c>
      <c r="F53" s="12">
        <v>1068.693</v>
      </c>
      <c r="G53" s="12">
        <v>1662.0229999999999</v>
      </c>
      <c r="H53" s="12">
        <v>2359.6950000000002</v>
      </c>
      <c r="I53" s="12"/>
      <c r="K53" s="6"/>
    </row>
    <row r="54" spans="3:11" x14ac:dyDescent="0.2">
      <c r="C54" s="8" t="s">
        <v>90</v>
      </c>
      <c r="D54" s="11" t="s">
        <v>126</v>
      </c>
      <c r="E54" s="12">
        <v>126.76799999999997</v>
      </c>
      <c r="F54" s="12">
        <v>278.50299999999999</v>
      </c>
      <c r="G54" s="12">
        <v>427.91899999999998</v>
      </c>
      <c r="H54" s="12">
        <v>561.50099999999998</v>
      </c>
      <c r="I54" s="12"/>
      <c r="K54" s="6"/>
    </row>
    <row r="55" spans="3:11" x14ac:dyDescent="0.2">
      <c r="C55" s="8" t="s">
        <v>93</v>
      </c>
      <c r="D55" s="11" t="s">
        <v>126</v>
      </c>
      <c r="E55" s="12">
        <v>111.21300000000002</v>
      </c>
      <c r="F55" s="12">
        <v>255.73800000000003</v>
      </c>
      <c r="G55" s="12">
        <v>452.85500000000002</v>
      </c>
      <c r="H55" s="12">
        <v>637.41</v>
      </c>
      <c r="I55" s="12"/>
      <c r="K55" s="6"/>
    </row>
    <row r="56" spans="3:11" x14ac:dyDescent="0.2">
      <c r="C56" s="8" t="s">
        <v>95</v>
      </c>
      <c r="D56" s="11" t="s">
        <v>126</v>
      </c>
      <c r="E56" s="12">
        <v>692.31</v>
      </c>
      <c r="F56" s="12">
        <v>1435.5957875520917</v>
      </c>
      <c r="G56" s="12">
        <v>2217.7840000000001</v>
      </c>
      <c r="H56" s="12">
        <v>3065.7449999999999</v>
      </c>
      <c r="I56" s="12"/>
      <c r="K56" s="6"/>
    </row>
    <row r="57" spans="3:11" x14ac:dyDescent="0.2">
      <c r="C57" s="8" t="s">
        <v>97</v>
      </c>
      <c r="D57" s="11" t="s">
        <v>126</v>
      </c>
      <c r="E57" s="12">
        <v>478.51788973909515</v>
      </c>
      <c r="F57" s="12">
        <v>1009.6296317350232</v>
      </c>
      <c r="G57" s="12">
        <v>1527.99190788748</v>
      </c>
      <c r="H57" s="12">
        <v>2083.97201863706</v>
      </c>
      <c r="I57" s="12"/>
      <c r="K57" s="6"/>
    </row>
    <row r="58" spans="3:11" x14ac:dyDescent="0.2">
      <c r="C58" s="8" t="s">
        <v>99</v>
      </c>
      <c r="D58" s="11" t="s">
        <v>126</v>
      </c>
      <c r="E58" s="12">
        <v>144.685981739071</v>
      </c>
      <c r="F58" s="12">
        <v>282.11900000000003</v>
      </c>
      <c r="G58" s="12">
        <v>408.37099999999998</v>
      </c>
      <c r="H58" s="12">
        <v>540.96910306539496</v>
      </c>
      <c r="I58" s="12"/>
      <c r="K58" s="6"/>
    </row>
    <row r="59" spans="3:11" x14ac:dyDescent="0.2">
      <c r="C59" s="8" t="s">
        <v>101</v>
      </c>
      <c r="D59" s="11" t="s">
        <v>126</v>
      </c>
      <c r="E59" s="12">
        <v>264.58399999999995</v>
      </c>
      <c r="F59" s="12">
        <v>561.3309999999999</v>
      </c>
      <c r="G59" s="12">
        <v>882.42399999999998</v>
      </c>
      <c r="H59" s="12">
        <v>1252.4760000000001</v>
      </c>
      <c r="I59" s="12"/>
      <c r="K59" s="6"/>
    </row>
    <row r="60" spans="3:11" x14ac:dyDescent="0.2">
      <c r="C60" s="8" t="s">
        <v>103</v>
      </c>
      <c r="D60" s="11" t="s">
        <v>126</v>
      </c>
      <c r="E60" s="12">
        <v>216.31100000000004</v>
      </c>
      <c r="F60" s="12">
        <v>456.125</v>
      </c>
      <c r="G60" s="12">
        <v>679.85500000000002</v>
      </c>
      <c r="H60" s="12">
        <v>885.73109060977197</v>
      </c>
      <c r="I60" s="12"/>
      <c r="K60" s="6"/>
    </row>
    <row r="61" spans="3:11" x14ac:dyDescent="0.2">
      <c r="C61" s="8" t="s">
        <v>105</v>
      </c>
      <c r="D61" s="11" t="s">
        <v>126</v>
      </c>
      <c r="E61" s="12">
        <v>65.168799622641501</v>
      </c>
      <c r="F61" s="12">
        <v>140.49299999999999</v>
      </c>
      <c r="G61" s="12">
        <v>231.583</v>
      </c>
      <c r="H61" s="12">
        <v>323.34100000000001</v>
      </c>
      <c r="I61" s="12"/>
      <c r="K61" s="6"/>
    </row>
    <row r="62" spans="3:11" x14ac:dyDescent="0.2">
      <c r="C62" s="8" t="s">
        <v>107</v>
      </c>
      <c r="D62" s="11" t="s">
        <v>126</v>
      </c>
      <c r="E62" s="12">
        <v>24.632999999999996</v>
      </c>
      <c r="F62" s="12">
        <v>53.434999999999995</v>
      </c>
      <c r="G62" s="12">
        <v>76.162999999999997</v>
      </c>
      <c r="H62" s="12">
        <v>107.31699999999999</v>
      </c>
      <c r="I62" s="12"/>
      <c r="K62" s="6"/>
    </row>
    <row r="63" spans="3:11" x14ac:dyDescent="0.2">
      <c r="C63" s="8" t="s">
        <v>111</v>
      </c>
      <c r="D63" s="11" t="s">
        <v>126</v>
      </c>
      <c r="E63" s="12">
        <v>143.29000000000002</v>
      </c>
      <c r="F63" s="12">
        <v>286.26300000000003</v>
      </c>
      <c r="G63" s="12">
        <v>434.62400000000002</v>
      </c>
      <c r="H63" s="12">
        <v>589.01800000000003</v>
      </c>
      <c r="I63" s="12"/>
      <c r="K63" s="6"/>
    </row>
    <row r="64" spans="3:11" x14ac:dyDescent="0.2">
      <c r="C64" s="8" t="s">
        <v>113</v>
      </c>
      <c r="D64" s="11" t="s">
        <v>126</v>
      </c>
      <c r="E64" s="12">
        <v>72.573732321234701</v>
      </c>
      <c r="F64" s="12">
        <v>148.59744570802042</v>
      </c>
      <c r="G64" s="12">
        <v>230.528849186147</v>
      </c>
      <c r="H64" s="12">
        <v>311.36399999999998</v>
      </c>
      <c r="I64" s="12"/>
      <c r="K64" s="6"/>
    </row>
    <row r="65" spans="2:13" x14ac:dyDescent="0.2">
      <c r="C65" s="8" t="s">
        <v>109</v>
      </c>
      <c r="D65" s="11" t="s">
        <v>126</v>
      </c>
      <c r="E65" s="12">
        <v>38.804999999999993</v>
      </c>
      <c r="F65" s="12">
        <v>81.640999999999991</v>
      </c>
      <c r="G65" s="12">
        <v>125.8</v>
      </c>
      <c r="H65" s="12">
        <v>171.28100000000001</v>
      </c>
      <c r="I65" s="12"/>
      <c r="K65" s="6"/>
    </row>
    <row r="66" spans="2:13" x14ac:dyDescent="0.2">
      <c r="E66" s="88"/>
    </row>
    <row r="67" spans="2:13" s="34" customFormat="1" ht="13.5" x14ac:dyDescent="0.25">
      <c r="B67" s="36" t="s">
        <v>186</v>
      </c>
      <c r="C67" s="36"/>
      <c r="D67" s="37"/>
      <c r="E67" s="133"/>
      <c r="F67" s="36"/>
      <c r="G67" s="36"/>
      <c r="H67" s="36"/>
      <c r="I67" s="36"/>
      <c r="J67" s="36"/>
      <c r="K67" s="184" t="s">
        <v>187</v>
      </c>
      <c r="L67" s="36"/>
      <c r="M67" s="36"/>
    </row>
    <row r="68" spans="2:13" x14ac:dyDescent="0.2">
      <c r="E68" s="88"/>
    </row>
    <row r="69" spans="2:13" x14ac:dyDescent="0.2">
      <c r="C69" s="8" t="s">
        <v>79</v>
      </c>
      <c r="D69" s="11" t="s">
        <v>126</v>
      </c>
      <c r="E69" s="12">
        <v>405.39537373366608</v>
      </c>
      <c r="F69" s="12">
        <v>825.67805993589263</v>
      </c>
      <c r="G69" s="12">
        <v>1294.33583738166</v>
      </c>
      <c r="H69" s="12">
        <v>1727.7016451736699</v>
      </c>
      <c r="I69" s="12"/>
      <c r="K69" s="6"/>
    </row>
    <row r="70" spans="2:13" x14ac:dyDescent="0.2">
      <c r="C70" s="8" t="s">
        <v>81</v>
      </c>
      <c r="D70" s="11" t="s">
        <v>126</v>
      </c>
      <c r="E70" s="12">
        <v>223.81799999999998</v>
      </c>
      <c r="F70" s="12">
        <v>488.74199999999996</v>
      </c>
      <c r="G70" s="12">
        <v>767.44100000000003</v>
      </c>
      <c r="H70" s="12">
        <v>1071.5640000000001</v>
      </c>
      <c r="I70" s="12"/>
      <c r="K70" s="6"/>
    </row>
    <row r="71" spans="2:13" x14ac:dyDescent="0.2">
      <c r="C71" s="8" t="s">
        <v>84</v>
      </c>
      <c r="D71" s="11" t="s">
        <v>126</v>
      </c>
      <c r="E71" s="134"/>
      <c r="F71" s="31"/>
      <c r="G71" s="31"/>
      <c r="H71" s="12">
        <v>2.5110000000000001</v>
      </c>
      <c r="I71" s="12"/>
      <c r="K71" s="6"/>
    </row>
    <row r="72" spans="2:13" x14ac:dyDescent="0.2">
      <c r="C72" s="8" t="s">
        <v>86</v>
      </c>
      <c r="D72" s="11" t="s">
        <v>126</v>
      </c>
      <c r="E72" s="12">
        <v>162.39400000000001</v>
      </c>
      <c r="F72" s="12">
        <v>314.685</v>
      </c>
      <c r="G72" s="12">
        <v>464.67500000000001</v>
      </c>
      <c r="H72" s="12">
        <v>619.73400000000004</v>
      </c>
      <c r="I72" s="12"/>
      <c r="K72" s="6"/>
    </row>
    <row r="73" spans="2:13" x14ac:dyDescent="0.2">
      <c r="C73" s="8" t="s">
        <v>88</v>
      </c>
      <c r="D73" s="11" t="s">
        <v>126</v>
      </c>
      <c r="E73" s="12">
        <v>432.83699999999999</v>
      </c>
      <c r="F73" s="12">
        <v>880.80700000000002</v>
      </c>
      <c r="G73" s="12">
        <v>1363.008</v>
      </c>
      <c r="H73" s="12">
        <v>1865.5830000000001</v>
      </c>
      <c r="I73" s="12"/>
      <c r="K73" s="6"/>
    </row>
    <row r="74" spans="2:13" x14ac:dyDescent="0.2">
      <c r="C74" s="8" t="s">
        <v>90</v>
      </c>
      <c r="D74" s="11" t="s">
        <v>126</v>
      </c>
      <c r="E74" s="12">
        <v>144.072</v>
      </c>
      <c r="F74" s="12">
        <v>309.86199999999997</v>
      </c>
      <c r="G74" s="12">
        <v>458.11799999999999</v>
      </c>
      <c r="H74" s="12">
        <v>595.56899999999996</v>
      </c>
      <c r="I74" s="12"/>
      <c r="K74" s="6"/>
    </row>
    <row r="75" spans="2:13" x14ac:dyDescent="0.2">
      <c r="C75" s="8" t="s">
        <v>93</v>
      </c>
      <c r="D75" s="11" t="s">
        <v>126</v>
      </c>
      <c r="E75" s="12">
        <v>302.26599999999996</v>
      </c>
      <c r="F75" s="12">
        <v>627.91200000000003</v>
      </c>
      <c r="G75" s="12">
        <v>980.774</v>
      </c>
      <c r="H75" s="12">
        <v>1361.625</v>
      </c>
      <c r="I75" s="12"/>
      <c r="K75" s="6"/>
    </row>
    <row r="76" spans="2:13" x14ac:dyDescent="0.2">
      <c r="C76" s="8" t="s">
        <v>95</v>
      </c>
      <c r="D76" s="11" t="s">
        <v>126</v>
      </c>
      <c r="E76" s="12">
        <v>901.55223776616867</v>
      </c>
      <c r="F76" s="12">
        <v>1711.1851624242172</v>
      </c>
      <c r="G76" s="12">
        <v>2489.3746877332628</v>
      </c>
      <c r="H76" s="12">
        <v>3224.1579999999999</v>
      </c>
      <c r="I76" s="12"/>
      <c r="K76" s="6"/>
    </row>
    <row r="77" spans="2:13" x14ac:dyDescent="0.2">
      <c r="C77" s="8" t="s">
        <v>97</v>
      </c>
      <c r="D77" s="11" t="s">
        <v>126</v>
      </c>
      <c r="E77" s="12">
        <v>674.95509709920793</v>
      </c>
      <c r="F77" s="12">
        <v>1304.8355355066269</v>
      </c>
      <c r="G77" s="12">
        <v>1924.17336407376</v>
      </c>
      <c r="H77" s="12">
        <v>2509.4005699895902</v>
      </c>
      <c r="I77" s="12"/>
      <c r="K77" s="6"/>
    </row>
    <row r="78" spans="2:13" x14ac:dyDescent="0.2">
      <c r="C78" s="8" t="s">
        <v>99</v>
      </c>
      <c r="D78" s="11" t="s">
        <v>126</v>
      </c>
      <c r="E78" s="12">
        <v>159.75547083308209</v>
      </c>
      <c r="F78" s="12">
        <v>328.83100000000007</v>
      </c>
      <c r="G78" s="12">
        <v>541.00800000000004</v>
      </c>
      <c r="H78" s="12">
        <v>742.32652017205703</v>
      </c>
      <c r="I78" s="12"/>
      <c r="K78" s="6"/>
    </row>
    <row r="79" spans="2:13" x14ac:dyDescent="0.2">
      <c r="C79" s="8" t="s">
        <v>101</v>
      </c>
      <c r="D79" s="11" t="s">
        <v>126</v>
      </c>
      <c r="E79" s="12">
        <v>297.70900000000006</v>
      </c>
      <c r="F79" s="12">
        <v>676.44100000000003</v>
      </c>
      <c r="G79" s="12">
        <v>1047.0340000000001</v>
      </c>
      <c r="H79" s="12">
        <v>1496.857</v>
      </c>
      <c r="I79" s="12"/>
      <c r="K79" s="6"/>
    </row>
    <row r="80" spans="2:13" x14ac:dyDescent="0.2">
      <c r="E80" s="88"/>
    </row>
    <row r="81" spans="2:13" s="34" customFormat="1" ht="13.5" x14ac:dyDescent="0.25">
      <c r="B81" s="36" t="s">
        <v>188</v>
      </c>
      <c r="C81" s="36"/>
      <c r="D81" s="37"/>
      <c r="E81" s="133"/>
      <c r="F81" s="36"/>
      <c r="G81" s="36"/>
      <c r="H81" s="36"/>
      <c r="I81" s="36"/>
      <c r="J81" s="36"/>
      <c r="K81" s="184"/>
      <c r="L81" s="36"/>
      <c r="M81" s="36"/>
    </row>
    <row r="82" spans="2:13" x14ac:dyDescent="0.2">
      <c r="E82" s="88"/>
    </row>
    <row r="83" spans="2:13" x14ac:dyDescent="0.2">
      <c r="C83" s="8" t="s">
        <v>95</v>
      </c>
      <c r="D83" s="11" t="s">
        <v>126</v>
      </c>
      <c r="E83" s="12">
        <v>96.3870389339734</v>
      </c>
      <c r="F83" s="12">
        <v>140.12365092688887</v>
      </c>
      <c r="G83" s="12">
        <v>176.37038145038758</v>
      </c>
      <c r="H83" s="12">
        <v>217.08799999999999</v>
      </c>
      <c r="I83" s="12"/>
      <c r="K83" s="6" t="s">
        <v>189</v>
      </c>
    </row>
    <row r="85" spans="2:13" ht="13.5" x14ac:dyDescent="0.25">
      <c r="B85" s="9" t="s">
        <v>190</v>
      </c>
      <c r="C85" s="9"/>
      <c r="D85" s="10"/>
      <c r="E85" s="9"/>
      <c r="F85" s="9"/>
      <c r="G85" s="9"/>
      <c r="H85" s="9"/>
      <c r="I85" s="9"/>
      <c r="J85" s="9"/>
      <c r="K85" s="182"/>
      <c r="L85" s="9"/>
      <c r="M85" s="9"/>
    </row>
    <row r="87" spans="2:13" s="34" customFormat="1" ht="13.5" x14ac:dyDescent="0.25">
      <c r="B87" s="36" t="s">
        <v>191</v>
      </c>
      <c r="C87" s="36"/>
      <c r="D87" s="37"/>
      <c r="E87" s="36"/>
      <c r="F87" s="36"/>
      <c r="G87" s="36"/>
      <c r="H87" s="36"/>
      <c r="I87" s="36"/>
      <c r="J87" s="36"/>
      <c r="K87" s="184" t="s">
        <v>192</v>
      </c>
      <c r="L87" s="36"/>
      <c r="M87" s="36"/>
    </row>
    <row r="89" spans="2:13" x14ac:dyDescent="0.2">
      <c r="C89" s="8" t="s">
        <v>79</v>
      </c>
      <c r="D89" s="11" t="s">
        <v>126</v>
      </c>
      <c r="E89" s="12">
        <v>344.20257860687298</v>
      </c>
      <c r="F89" s="12">
        <v>394.113</v>
      </c>
      <c r="G89" s="12">
        <v>338.03238127374698</v>
      </c>
      <c r="H89" s="12">
        <v>300.43449265521298</v>
      </c>
      <c r="I89" s="12"/>
      <c r="K89" s="6"/>
    </row>
    <row r="90" spans="2:13" x14ac:dyDescent="0.2">
      <c r="C90" s="8" t="s">
        <v>81</v>
      </c>
      <c r="D90" s="11" t="s">
        <v>126</v>
      </c>
      <c r="E90" s="12">
        <v>246.73900000000003</v>
      </c>
      <c r="F90" s="12">
        <v>243.23500000000001</v>
      </c>
      <c r="G90" s="12">
        <v>239.471</v>
      </c>
      <c r="H90" s="12">
        <v>234.126</v>
      </c>
      <c r="I90" s="12"/>
      <c r="K90" s="6"/>
    </row>
    <row r="91" spans="2:13" x14ac:dyDescent="0.2">
      <c r="C91" s="8" t="s">
        <v>84</v>
      </c>
      <c r="D91" s="11" t="s">
        <v>126</v>
      </c>
      <c r="E91" s="12">
        <v>20.380999999999993</v>
      </c>
      <c r="F91" s="12">
        <v>24.75</v>
      </c>
      <c r="G91" s="12">
        <v>21.308</v>
      </c>
      <c r="H91" s="12">
        <v>17.838999999999999</v>
      </c>
      <c r="I91" s="12"/>
      <c r="K91" s="6"/>
    </row>
    <row r="92" spans="2:13" x14ac:dyDescent="0.2">
      <c r="C92" s="8" t="s">
        <v>86</v>
      </c>
      <c r="D92" s="11" t="s">
        <v>126</v>
      </c>
      <c r="E92" s="12">
        <v>257.72299999999996</v>
      </c>
      <c r="F92" s="12">
        <v>272.09800000000001</v>
      </c>
      <c r="G92" s="12">
        <v>281.38099999999997</v>
      </c>
      <c r="H92" s="12">
        <v>252.67400000000001</v>
      </c>
      <c r="I92" s="12"/>
      <c r="K92" s="6"/>
    </row>
    <row r="93" spans="2:13" x14ac:dyDescent="0.2">
      <c r="C93" s="8" t="s">
        <v>88</v>
      </c>
      <c r="D93" s="11" t="s">
        <v>126</v>
      </c>
      <c r="E93" s="12">
        <v>501.67200000000003</v>
      </c>
      <c r="F93" s="12">
        <v>562.42700000000002</v>
      </c>
      <c r="G93" s="12">
        <v>592.86199999999997</v>
      </c>
      <c r="H93" s="12">
        <v>584.95899999999995</v>
      </c>
      <c r="I93" s="12"/>
      <c r="K93" s="6"/>
    </row>
    <row r="94" spans="2:13" x14ac:dyDescent="0.2">
      <c r="C94" s="8" t="s">
        <v>90</v>
      </c>
      <c r="D94" s="11" t="s">
        <v>126</v>
      </c>
      <c r="E94" s="12">
        <v>155.44599999999997</v>
      </c>
      <c r="F94" s="12">
        <v>181.70599999999999</v>
      </c>
      <c r="G94" s="12">
        <v>171.303</v>
      </c>
      <c r="H94" s="12">
        <v>154.32</v>
      </c>
      <c r="I94" s="12"/>
      <c r="K94" s="6"/>
    </row>
    <row r="95" spans="2:13" x14ac:dyDescent="0.2">
      <c r="C95" s="8" t="s">
        <v>93</v>
      </c>
      <c r="D95" s="11" t="s">
        <v>126</v>
      </c>
      <c r="E95" s="12">
        <v>152.94899999999996</v>
      </c>
      <c r="F95" s="12">
        <v>165.6</v>
      </c>
      <c r="G95" s="12">
        <v>163.75</v>
      </c>
      <c r="H95" s="12">
        <v>148.63999999999999</v>
      </c>
      <c r="I95" s="12"/>
      <c r="K95" s="6"/>
    </row>
    <row r="96" spans="2:13" x14ac:dyDescent="0.2">
      <c r="C96" s="8" t="s">
        <v>95</v>
      </c>
      <c r="D96" s="11" t="s">
        <v>126</v>
      </c>
      <c r="E96" s="12">
        <v>627.75500000000011</v>
      </c>
      <c r="F96" s="12">
        <v>668.43200000000002</v>
      </c>
      <c r="G96" s="12">
        <v>687.93600000000004</v>
      </c>
      <c r="H96" s="12">
        <v>677.16899999999998</v>
      </c>
      <c r="I96" s="12"/>
      <c r="K96" s="6"/>
    </row>
    <row r="97" spans="2:13" x14ac:dyDescent="0.2">
      <c r="C97" s="8" t="s">
        <v>97</v>
      </c>
      <c r="D97" s="11" t="s">
        <v>126</v>
      </c>
      <c r="E97" s="12">
        <v>448.10000000000014</v>
      </c>
      <c r="F97" s="12">
        <v>469.7</v>
      </c>
      <c r="G97" s="12">
        <v>470.6</v>
      </c>
      <c r="H97" s="12">
        <v>499.7</v>
      </c>
      <c r="I97" s="12"/>
      <c r="K97" s="6"/>
    </row>
    <row r="98" spans="2:13" x14ac:dyDescent="0.2">
      <c r="C98" s="8" t="s">
        <v>99</v>
      </c>
      <c r="D98" s="11" t="s">
        <v>126</v>
      </c>
      <c r="E98" s="12">
        <v>146.74043068010496</v>
      </c>
      <c r="F98" s="12">
        <v>153.80000000000001</v>
      </c>
      <c r="G98" s="12">
        <v>142.465950034054</v>
      </c>
      <c r="H98" s="12">
        <v>124.1</v>
      </c>
      <c r="I98" s="12"/>
      <c r="K98" s="6"/>
    </row>
    <row r="99" spans="2:13" x14ac:dyDescent="0.2">
      <c r="C99" s="8" t="s">
        <v>101</v>
      </c>
      <c r="D99" s="11" t="s">
        <v>126</v>
      </c>
      <c r="E99" s="12">
        <v>333.03300000000013</v>
      </c>
      <c r="F99" s="12">
        <v>311.267</v>
      </c>
      <c r="G99" s="12">
        <v>277.39999999999998</v>
      </c>
      <c r="H99" s="12">
        <v>277.90699999999998</v>
      </c>
      <c r="I99" s="12"/>
      <c r="K99" s="6"/>
    </row>
    <row r="100" spans="2:13" x14ac:dyDescent="0.2">
      <c r="C100" s="8" t="s">
        <v>103</v>
      </c>
      <c r="D100" s="11" t="s">
        <v>126</v>
      </c>
      <c r="E100" s="12">
        <v>241.79999999999995</v>
      </c>
      <c r="F100" s="12">
        <v>244.3</v>
      </c>
      <c r="G100" s="12">
        <v>212.3</v>
      </c>
      <c r="H100" s="12">
        <v>189.554675</v>
      </c>
      <c r="I100" s="12"/>
      <c r="K100" s="6"/>
    </row>
    <row r="101" spans="2:13" x14ac:dyDescent="0.2">
      <c r="C101" s="8" t="s">
        <v>105</v>
      </c>
      <c r="D101" s="11" t="s">
        <v>126</v>
      </c>
      <c r="E101" s="12">
        <v>86.699999999999989</v>
      </c>
      <c r="F101" s="12">
        <v>83.9</v>
      </c>
      <c r="G101" s="12">
        <v>83.7</v>
      </c>
      <c r="H101" s="12">
        <v>83.064999999999998</v>
      </c>
      <c r="I101" s="12"/>
      <c r="K101" s="6"/>
    </row>
    <row r="102" spans="2:13" x14ac:dyDescent="0.2">
      <c r="C102" s="8" t="s">
        <v>107</v>
      </c>
      <c r="D102" s="11" t="s">
        <v>126</v>
      </c>
      <c r="E102" s="12">
        <v>26.426999999999992</v>
      </c>
      <c r="F102" s="12">
        <v>28.693000000000001</v>
      </c>
      <c r="G102" s="12">
        <v>29.108000000000001</v>
      </c>
      <c r="H102" s="12">
        <v>27.38</v>
      </c>
      <c r="I102" s="12"/>
      <c r="K102" s="6"/>
    </row>
    <row r="103" spans="2:13" x14ac:dyDescent="0.2">
      <c r="C103" s="8" t="s">
        <v>111</v>
      </c>
      <c r="D103" s="11" t="s">
        <v>126</v>
      </c>
      <c r="E103" s="12">
        <v>147.90000000000003</v>
      </c>
      <c r="F103" s="12">
        <v>155.9</v>
      </c>
      <c r="G103" s="12">
        <v>165.5</v>
      </c>
      <c r="H103" s="12">
        <v>159</v>
      </c>
      <c r="I103" s="12"/>
      <c r="K103" s="6"/>
    </row>
    <row r="104" spans="2:13" x14ac:dyDescent="0.2">
      <c r="C104" s="8" t="s">
        <v>113</v>
      </c>
      <c r="D104" s="11" t="s">
        <v>126</v>
      </c>
      <c r="E104" s="12">
        <v>76.771426398023607</v>
      </c>
      <c r="F104" s="12">
        <v>77.522471684498299</v>
      </c>
      <c r="G104" s="12">
        <v>77.804401979524101</v>
      </c>
      <c r="H104" s="12">
        <v>77.947000000000003</v>
      </c>
      <c r="I104" s="12"/>
      <c r="K104" s="6"/>
    </row>
    <row r="105" spans="2:13" x14ac:dyDescent="0.2">
      <c r="C105" s="8" t="s">
        <v>109</v>
      </c>
      <c r="D105" s="11" t="s">
        <v>126</v>
      </c>
      <c r="E105" s="12">
        <v>41.113</v>
      </c>
      <c r="F105" s="12">
        <v>45.348999999999997</v>
      </c>
      <c r="G105" s="12">
        <v>47.671999999999997</v>
      </c>
      <c r="H105" s="12">
        <v>44.029000000000003</v>
      </c>
      <c r="I105" s="12"/>
      <c r="K105" s="6"/>
    </row>
    <row r="107" spans="2:13" s="34" customFormat="1" ht="13.5" x14ac:dyDescent="0.25">
      <c r="B107" s="36" t="s">
        <v>193</v>
      </c>
      <c r="C107" s="36"/>
      <c r="D107" s="37"/>
      <c r="E107" s="36"/>
      <c r="F107" s="36"/>
      <c r="G107" s="36"/>
      <c r="H107" s="36"/>
      <c r="I107" s="36"/>
      <c r="J107" s="36"/>
      <c r="K107" s="184" t="s">
        <v>194</v>
      </c>
      <c r="L107" s="36"/>
      <c r="M107" s="36"/>
    </row>
    <row r="109" spans="2:13" x14ac:dyDescent="0.2">
      <c r="C109" s="8" t="s">
        <v>79</v>
      </c>
      <c r="D109" s="11" t="s">
        <v>126</v>
      </c>
      <c r="E109" s="12">
        <v>435.82438425911005</v>
      </c>
      <c r="F109" s="12">
        <v>556.66399999999999</v>
      </c>
      <c r="G109" s="12">
        <v>492.62735070627002</v>
      </c>
      <c r="H109" s="12">
        <v>506.14199188975101</v>
      </c>
      <c r="I109" s="12"/>
      <c r="K109" s="6"/>
    </row>
    <row r="110" spans="2:13" x14ac:dyDescent="0.2">
      <c r="C110" s="8" t="s">
        <v>81</v>
      </c>
      <c r="D110" s="11" t="s">
        <v>126</v>
      </c>
      <c r="E110" s="12">
        <v>280.38100000000009</v>
      </c>
      <c r="F110" s="12">
        <v>277.56599999999997</v>
      </c>
      <c r="G110" s="12">
        <v>272.81200000000001</v>
      </c>
      <c r="H110" s="12">
        <v>265.887</v>
      </c>
      <c r="I110" s="12"/>
      <c r="K110" s="6"/>
    </row>
    <row r="111" spans="2:13" x14ac:dyDescent="0.2">
      <c r="C111" s="8" t="s">
        <v>84</v>
      </c>
      <c r="D111" s="11" t="s">
        <v>126</v>
      </c>
      <c r="E111" s="31"/>
      <c r="F111" s="31"/>
      <c r="G111" s="31"/>
      <c r="H111" s="12">
        <v>4.1689999999999996</v>
      </c>
      <c r="I111" s="12"/>
      <c r="K111" s="6"/>
    </row>
    <row r="112" spans="2:13" x14ac:dyDescent="0.2">
      <c r="C112" s="8" t="s">
        <v>86</v>
      </c>
      <c r="D112" s="11" t="s">
        <v>126</v>
      </c>
      <c r="E112" s="12">
        <v>204.483</v>
      </c>
      <c r="F112" s="12">
        <v>206.429</v>
      </c>
      <c r="G112" s="12">
        <v>212.24199999999999</v>
      </c>
      <c r="H112" s="12">
        <v>200.935</v>
      </c>
      <c r="I112" s="12"/>
      <c r="K112" s="6"/>
    </row>
    <row r="113" spans="2:13" x14ac:dyDescent="0.2">
      <c r="C113" s="8" t="s">
        <v>88</v>
      </c>
      <c r="D113" s="11" t="s">
        <v>126</v>
      </c>
      <c r="E113" s="12">
        <v>480.96400000000017</v>
      </c>
      <c r="F113" s="12">
        <v>558.9</v>
      </c>
      <c r="G113" s="12">
        <v>582.78599999999994</v>
      </c>
      <c r="H113" s="12">
        <v>574.68799999999999</v>
      </c>
      <c r="I113" s="12"/>
      <c r="K113" s="6"/>
    </row>
    <row r="114" spans="2:13" x14ac:dyDescent="0.2">
      <c r="C114" s="8" t="s">
        <v>90</v>
      </c>
      <c r="D114" s="11" t="s">
        <v>126</v>
      </c>
      <c r="E114" s="12">
        <v>187.98099999999994</v>
      </c>
      <c r="F114" s="12">
        <v>197</v>
      </c>
      <c r="G114" s="12">
        <v>176.77600000000001</v>
      </c>
      <c r="H114" s="12">
        <v>158.74299999999999</v>
      </c>
      <c r="I114" s="12"/>
      <c r="K114" s="6"/>
    </row>
    <row r="115" spans="2:13" x14ac:dyDescent="0.2">
      <c r="C115" s="8" t="s">
        <v>93</v>
      </c>
      <c r="D115" s="11" t="s">
        <v>126</v>
      </c>
      <c r="E115" s="12">
        <v>367.37800000000016</v>
      </c>
      <c r="F115" s="12">
        <v>402.9</v>
      </c>
      <c r="G115" s="12">
        <v>394.7</v>
      </c>
      <c r="H115" s="12">
        <v>369.56299999999999</v>
      </c>
      <c r="I115" s="12"/>
      <c r="K115" s="6"/>
    </row>
    <row r="116" spans="2:13" x14ac:dyDescent="0.2">
      <c r="C116" s="8" t="s">
        <v>95</v>
      </c>
      <c r="D116" s="11" t="s">
        <v>126</v>
      </c>
      <c r="E116" s="12">
        <v>847.95099999999979</v>
      </c>
      <c r="F116" s="12">
        <v>788.31600000000003</v>
      </c>
      <c r="G116" s="12">
        <v>792.46</v>
      </c>
      <c r="H116" s="12">
        <v>703.21699999999998</v>
      </c>
      <c r="I116" s="12"/>
      <c r="K116" s="6"/>
    </row>
    <row r="117" spans="2:13" x14ac:dyDescent="0.2">
      <c r="C117" s="8" t="s">
        <v>97</v>
      </c>
      <c r="D117" s="11" t="s">
        <v>126</v>
      </c>
      <c r="E117" s="12">
        <v>553.80000000000018</v>
      </c>
      <c r="F117" s="12">
        <v>573.9</v>
      </c>
      <c r="G117" s="12">
        <v>627.29999999999995</v>
      </c>
      <c r="H117" s="12">
        <v>636.70000000000005</v>
      </c>
      <c r="I117" s="12"/>
      <c r="K117" s="6"/>
    </row>
    <row r="118" spans="2:13" x14ac:dyDescent="0.2">
      <c r="C118" s="8" t="s">
        <v>99</v>
      </c>
      <c r="D118" s="11" t="s">
        <v>126</v>
      </c>
      <c r="E118" s="12">
        <v>189.96846491455403</v>
      </c>
      <c r="F118" s="12">
        <v>202.1</v>
      </c>
      <c r="G118" s="12">
        <v>233.59535358360699</v>
      </c>
      <c r="H118" s="12">
        <v>232.8</v>
      </c>
      <c r="I118" s="12"/>
      <c r="K118" s="6"/>
    </row>
    <row r="119" spans="2:13" x14ac:dyDescent="0.2">
      <c r="C119" s="8" t="s">
        <v>101</v>
      </c>
      <c r="D119" s="11" t="s">
        <v>126</v>
      </c>
      <c r="E119" s="12">
        <v>387.54699999999991</v>
      </c>
      <c r="F119" s="12">
        <v>387.65300000000002</v>
      </c>
      <c r="G119" s="12">
        <v>387.6</v>
      </c>
      <c r="H119" s="12">
        <v>387.64299999999997</v>
      </c>
      <c r="I119" s="12"/>
      <c r="K119" s="6"/>
    </row>
    <row r="121" spans="2:13" s="34" customFormat="1" ht="13.5" x14ac:dyDescent="0.25">
      <c r="B121" s="36" t="s">
        <v>195</v>
      </c>
      <c r="C121" s="36"/>
      <c r="D121" s="37"/>
      <c r="E121" s="36"/>
      <c r="F121" s="36"/>
      <c r="G121" s="36"/>
      <c r="H121" s="36"/>
      <c r="I121" s="36"/>
      <c r="J121" s="36"/>
      <c r="K121" s="184"/>
      <c r="L121" s="36"/>
      <c r="M121" s="36"/>
    </row>
    <row r="123" spans="2:13" x14ac:dyDescent="0.2">
      <c r="C123" s="8" t="s">
        <v>95</v>
      </c>
      <c r="D123" s="11" t="s">
        <v>126</v>
      </c>
      <c r="E123" s="12">
        <v>157.23999999999998</v>
      </c>
      <c r="F123" s="12">
        <v>62.582000000000001</v>
      </c>
      <c r="G123" s="12">
        <v>54.393000000000001</v>
      </c>
      <c r="H123" s="12">
        <v>51.088999999999999</v>
      </c>
      <c r="I123" s="12"/>
      <c r="K123" s="6" t="s">
        <v>196</v>
      </c>
    </row>
    <row r="125" spans="2:13" ht="13.5" x14ac:dyDescent="0.25">
      <c r="B125" s="9" t="s">
        <v>197</v>
      </c>
      <c r="C125" s="9"/>
      <c r="D125" s="10"/>
      <c r="E125" s="9"/>
      <c r="F125" s="9"/>
      <c r="G125" s="9"/>
      <c r="H125" s="9"/>
      <c r="I125" s="9"/>
      <c r="J125" s="9"/>
      <c r="K125" s="182"/>
      <c r="L125" s="9"/>
      <c r="M125" s="9"/>
    </row>
    <row r="127" spans="2:13" ht="13.5" x14ac:dyDescent="0.25">
      <c r="B127" s="36" t="s">
        <v>198</v>
      </c>
      <c r="C127" s="36"/>
      <c r="D127" s="37"/>
      <c r="E127" s="36"/>
      <c r="F127" s="36"/>
      <c r="G127" s="36"/>
      <c r="H127" s="36"/>
      <c r="I127" s="36"/>
      <c r="J127" s="36"/>
      <c r="K127" s="184" t="s">
        <v>199</v>
      </c>
      <c r="L127" s="36"/>
      <c r="M127" s="36"/>
    </row>
    <row r="129" spans="3:11" x14ac:dyDescent="0.2">
      <c r="C129" s="8" t="s">
        <v>79</v>
      </c>
      <c r="D129" s="11" t="s">
        <v>126</v>
      </c>
      <c r="E129" s="12">
        <v>344.20257860687298</v>
      </c>
      <c r="F129" s="12">
        <v>738.31557860687303</v>
      </c>
      <c r="G129" s="12">
        <v>1076.34795988062</v>
      </c>
      <c r="H129" s="12">
        <v>1376.7824525358401</v>
      </c>
      <c r="I129" s="12"/>
      <c r="K129" s="6"/>
    </row>
    <row r="130" spans="3:11" x14ac:dyDescent="0.2">
      <c r="C130" s="8" t="s">
        <v>81</v>
      </c>
      <c r="D130" s="11" t="s">
        <v>126</v>
      </c>
      <c r="E130" s="12">
        <v>246.73900000000003</v>
      </c>
      <c r="F130" s="12">
        <v>489.97400000000005</v>
      </c>
      <c r="G130" s="12">
        <v>729.44500000000005</v>
      </c>
      <c r="H130" s="12">
        <v>963.572</v>
      </c>
      <c r="I130" s="12"/>
      <c r="K130" s="6"/>
    </row>
    <row r="131" spans="3:11" x14ac:dyDescent="0.2">
      <c r="C131" s="8" t="s">
        <v>84</v>
      </c>
      <c r="D131" s="11" t="s">
        <v>126</v>
      </c>
      <c r="E131" s="12">
        <v>20.380999999999993</v>
      </c>
      <c r="F131" s="12">
        <v>45.130999999999993</v>
      </c>
      <c r="G131" s="12">
        <v>66.438999999999993</v>
      </c>
      <c r="H131" s="12">
        <v>84.278000000000006</v>
      </c>
      <c r="I131" s="12"/>
      <c r="K131" s="6"/>
    </row>
    <row r="132" spans="3:11" x14ac:dyDescent="0.2">
      <c r="C132" s="8" t="s">
        <v>86</v>
      </c>
      <c r="D132" s="11" t="s">
        <v>126</v>
      </c>
      <c r="E132" s="12">
        <v>257.72299999999996</v>
      </c>
      <c r="F132" s="12">
        <v>529.82099999999991</v>
      </c>
      <c r="G132" s="12">
        <v>811.202</v>
      </c>
      <c r="H132" s="12">
        <v>1063.876</v>
      </c>
      <c r="I132" s="12"/>
      <c r="K132" s="6"/>
    </row>
    <row r="133" spans="3:11" x14ac:dyDescent="0.2">
      <c r="C133" s="8" t="s">
        <v>88</v>
      </c>
      <c r="D133" s="11" t="s">
        <v>126</v>
      </c>
      <c r="E133" s="12">
        <v>501.67200000000003</v>
      </c>
      <c r="F133" s="12">
        <v>1064.0990000000002</v>
      </c>
      <c r="G133" s="12">
        <v>1656.961</v>
      </c>
      <c r="H133" s="12">
        <v>2241.9209999999998</v>
      </c>
      <c r="I133" s="12"/>
      <c r="K133" s="6"/>
    </row>
    <row r="134" spans="3:11" x14ac:dyDescent="0.2">
      <c r="C134" s="8" t="s">
        <v>90</v>
      </c>
      <c r="D134" s="11" t="s">
        <v>126</v>
      </c>
      <c r="E134" s="12">
        <v>155.44599999999997</v>
      </c>
      <c r="F134" s="12">
        <v>337.15199999999993</v>
      </c>
      <c r="G134" s="12">
        <v>508.45499999999998</v>
      </c>
      <c r="H134" s="12">
        <v>662.77499999999998</v>
      </c>
      <c r="I134" s="12"/>
      <c r="K134" s="6"/>
    </row>
    <row r="135" spans="3:11" x14ac:dyDescent="0.2">
      <c r="C135" s="8" t="s">
        <v>93</v>
      </c>
      <c r="D135" s="11" t="s">
        <v>126</v>
      </c>
      <c r="E135" s="12">
        <v>152.94899999999996</v>
      </c>
      <c r="F135" s="12">
        <v>318.54899999999998</v>
      </c>
      <c r="G135" s="12">
        <v>482.29899999999998</v>
      </c>
      <c r="H135" s="12">
        <v>630.93899999999996</v>
      </c>
      <c r="I135" s="12"/>
      <c r="K135" s="6"/>
    </row>
    <row r="136" spans="3:11" x14ac:dyDescent="0.2">
      <c r="C136" s="8" t="s">
        <v>95</v>
      </c>
      <c r="D136" s="11" t="s">
        <v>126</v>
      </c>
      <c r="E136" s="12">
        <v>627.75500000000011</v>
      </c>
      <c r="F136" s="12">
        <v>1296.1870000000001</v>
      </c>
      <c r="G136" s="12">
        <v>1984.123</v>
      </c>
      <c r="H136" s="12">
        <v>2661.2919999999999</v>
      </c>
      <c r="I136" s="12"/>
      <c r="K136" s="6"/>
    </row>
    <row r="137" spans="3:11" x14ac:dyDescent="0.2">
      <c r="C137" s="8" t="s">
        <v>97</v>
      </c>
      <c r="D137" s="11" t="s">
        <v>126</v>
      </c>
      <c r="E137" s="12">
        <v>448.10000000000014</v>
      </c>
      <c r="F137" s="12">
        <v>917.80000000000018</v>
      </c>
      <c r="G137" s="12">
        <v>1388.4</v>
      </c>
      <c r="H137" s="12">
        <v>1888.1</v>
      </c>
      <c r="I137" s="12"/>
      <c r="K137" s="6"/>
    </row>
    <row r="138" spans="3:11" x14ac:dyDescent="0.2">
      <c r="C138" s="8" t="s">
        <v>99</v>
      </c>
      <c r="D138" s="11" t="s">
        <v>126</v>
      </c>
      <c r="E138" s="12">
        <v>146.74043068010496</v>
      </c>
      <c r="F138" s="12">
        <v>300.54043068010498</v>
      </c>
      <c r="G138" s="12">
        <v>443.00638071415898</v>
      </c>
      <c r="H138" s="12">
        <v>567.1</v>
      </c>
      <c r="I138" s="12"/>
      <c r="K138" s="6"/>
    </row>
    <row r="139" spans="3:11" x14ac:dyDescent="0.2">
      <c r="C139" s="8" t="s">
        <v>101</v>
      </c>
      <c r="D139" s="11" t="s">
        <v>126</v>
      </c>
      <c r="E139" s="12">
        <v>333.03300000000013</v>
      </c>
      <c r="F139" s="12">
        <v>644.30000000000018</v>
      </c>
      <c r="G139" s="12">
        <v>921.7</v>
      </c>
      <c r="H139" s="12">
        <v>1199.4670000000001</v>
      </c>
      <c r="I139" s="12"/>
      <c r="K139" s="6"/>
    </row>
    <row r="140" spans="3:11" x14ac:dyDescent="0.2">
      <c r="C140" s="8" t="s">
        <v>103</v>
      </c>
      <c r="D140" s="11" t="s">
        <v>126</v>
      </c>
      <c r="E140" s="12">
        <v>241.79999999999995</v>
      </c>
      <c r="F140" s="12">
        <v>486.09999999999997</v>
      </c>
      <c r="G140" s="12">
        <v>698.4</v>
      </c>
      <c r="H140" s="12">
        <v>888.07500000000005</v>
      </c>
      <c r="I140" s="12"/>
      <c r="K140" s="6"/>
    </row>
    <row r="141" spans="3:11" x14ac:dyDescent="0.2">
      <c r="C141" s="8" t="s">
        <v>105</v>
      </c>
      <c r="D141" s="11" t="s">
        <v>126</v>
      </c>
      <c r="E141" s="12">
        <v>86.699999999999989</v>
      </c>
      <c r="F141" s="12">
        <v>170.6</v>
      </c>
      <c r="G141" s="12">
        <v>254.3</v>
      </c>
      <c r="H141" s="12">
        <v>337.553</v>
      </c>
      <c r="I141" s="12"/>
      <c r="K141" s="6"/>
    </row>
    <row r="142" spans="3:11" x14ac:dyDescent="0.2">
      <c r="C142" s="8" t="s">
        <v>107</v>
      </c>
      <c r="D142" s="11" t="s">
        <v>126</v>
      </c>
      <c r="E142" s="12">
        <v>26.426999999999992</v>
      </c>
      <c r="F142" s="12">
        <v>55.11999999999999</v>
      </c>
      <c r="G142" s="12">
        <v>84.227999999999994</v>
      </c>
      <c r="H142" s="12">
        <v>111.607</v>
      </c>
      <c r="I142" s="12"/>
      <c r="K142" s="6"/>
    </row>
    <row r="143" spans="3:11" x14ac:dyDescent="0.2">
      <c r="C143" s="8" t="s">
        <v>111</v>
      </c>
      <c r="D143" s="11" t="s">
        <v>126</v>
      </c>
      <c r="E143" s="12">
        <v>147.90000000000003</v>
      </c>
      <c r="F143" s="12">
        <v>303.80000000000007</v>
      </c>
      <c r="G143" s="12">
        <v>469.3</v>
      </c>
      <c r="H143" s="12">
        <v>628.29999999999995</v>
      </c>
      <c r="I143" s="12"/>
      <c r="K143" s="6"/>
    </row>
    <row r="144" spans="3:11" x14ac:dyDescent="0.2">
      <c r="C144" s="8" t="s">
        <v>113</v>
      </c>
      <c r="D144" s="11" t="s">
        <v>126</v>
      </c>
      <c r="E144" s="12">
        <v>76.771426398023607</v>
      </c>
      <c r="F144" s="12">
        <v>154.29389808252191</v>
      </c>
      <c r="G144" s="12">
        <v>232.09830006204601</v>
      </c>
      <c r="H144" s="12">
        <v>310.04500000000002</v>
      </c>
      <c r="I144" s="12"/>
      <c r="K144" s="6"/>
    </row>
    <row r="145" spans="2:13" x14ac:dyDescent="0.2">
      <c r="C145" s="8" t="s">
        <v>109</v>
      </c>
      <c r="D145" s="11" t="s">
        <v>126</v>
      </c>
      <c r="E145" s="12">
        <v>41.113</v>
      </c>
      <c r="F145" s="12">
        <v>86.461999999999989</v>
      </c>
      <c r="G145" s="12">
        <v>134.13399999999999</v>
      </c>
      <c r="H145" s="12">
        <v>178.16300000000001</v>
      </c>
      <c r="I145" s="12"/>
      <c r="K145" s="6"/>
    </row>
    <row r="147" spans="2:13" ht="13.5" x14ac:dyDescent="0.25">
      <c r="B147" s="36" t="s">
        <v>200</v>
      </c>
      <c r="C147" s="36"/>
      <c r="D147" s="37"/>
      <c r="E147" s="36"/>
      <c r="F147" s="36"/>
      <c r="G147" s="36"/>
      <c r="H147" s="36"/>
      <c r="I147" s="36"/>
      <c r="J147" s="36"/>
      <c r="K147" s="184" t="s">
        <v>201</v>
      </c>
      <c r="L147" s="36"/>
      <c r="M147" s="36"/>
    </row>
    <row r="149" spans="2:13" x14ac:dyDescent="0.2">
      <c r="C149" s="8" t="s">
        <v>79</v>
      </c>
      <c r="D149" s="11" t="s">
        <v>126</v>
      </c>
      <c r="E149" s="12">
        <v>435.82438425911005</v>
      </c>
      <c r="F149" s="12">
        <v>992.48838425911003</v>
      </c>
      <c r="G149" s="12">
        <v>1485.1157349653799</v>
      </c>
      <c r="H149" s="12">
        <v>1991.2577268551299</v>
      </c>
      <c r="I149" s="12"/>
      <c r="K149" s="6"/>
    </row>
    <row r="150" spans="2:13" x14ac:dyDescent="0.2">
      <c r="C150" s="8" t="s">
        <v>81</v>
      </c>
      <c r="D150" s="11" t="s">
        <v>126</v>
      </c>
      <c r="E150" s="12">
        <v>280.38100000000009</v>
      </c>
      <c r="F150" s="12">
        <v>557.94700000000012</v>
      </c>
      <c r="G150" s="12">
        <v>830.75900000000001</v>
      </c>
      <c r="H150" s="12">
        <v>1096.6469999999999</v>
      </c>
      <c r="I150" s="12"/>
      <c r="K150" s="6"/>
    </row>
    <row r="151" spans="2:13" x14ac:dyDescent="0.2">
      <c r="C151" s="8" t="s">
        <v>84</v>
      </c>
      <c r="D151" s="11" t="s">
        <v>126</v>
      </c>
      <c r="E151" s="31"/>
      <c r="F151" s="31"/>
      <c r="G151" s="31"/>
      <c r="H151" s="12">
        <v>4.1689999999999996</v>
      </c>
      <c r="I151" s="12"/>
      <c r="K151" s="6"/>
    </row>
    <row r="152" spans="2:13" x14ac:dyDescent="0.2">
      <c r="C152" s="8" t="s">
        <v>86</v>
      </c>
      <c r="D152" s="11" t="s">
        <v>126</v>
      </c>
      <c r="E152" s="12">
        <v>204.483</v>
      </c>
      <c r="F152" s="12">
        <v>410.91200000000003</v>
      </c>
      <c r="G152" s="12">
        <v>623.154</v>
      </c>
      <c r="H152" s="12">
        <v>824.08900000000006</v>
      </c>
      <c r="I152" s="12"/>
      <c r="K152" s="6"/>
    </row>
    <row r="153" spans="2:13" x14ac:dyDescent="0.2">
      <c r="C153" s="8" t="s">
        <v>88</v>
      </c>
      <c r="D153" s="11" t="s">
        <v>126</v>
      </c>
      <c r="E153" s="12">
        <v>480.96400000000017</v>
      </c>
      <c r="F153" s="12">
        <v>1039.864</v>
      </c>
      <c r="G153" s="12">
        <v>1622.65</v>
      </c>
      <c r="H153" s="12">
        <v>2197.3380000000002</v>
      </c>
      <c r="I153" s="12"/>
      <c r="K153" s="6"/>
    </row>
    <row r="154" spans="2:13" x14ac:dyDescent="0.2">
      <c r="C154" s="8" t="s">
        <v>90</v>
      </c>
      <c r="D154" s="11" t="s">
        <v>126</v>
      </c>
      <c r="E154" s="12">
        <v>187.98099999999994</v>
      </c>
      <c r="F154" s="12">
        <v>384.98099999999994</v>
      </c>
      <c r="G154" s="12">
        <v>561.75699999999995</v>
      </c>
      <c r="H154" s="12">
        <v>720.5</v>
      </c>
      <c r="I154" s="12"/>
      <c r="K154" s="6"/>
    </row>
    <row r="155" spans="2:13" x14ac:dyDescent="0.2">
      <c r="C155" s="8" t="s">
        <v>93</v>
      </c>
      <c r="D155" s="11" t="s">
        <v>126</v>
      </c>
      <c r="E155" s="12">
        <v>367.37800000000016</v>
      </c>
      <c r="F155" s="12">
        <v>770.27800000000013</v>
      </c>
      <c r="G155" s="12">
        <v>1164.9780000000001</v>
      </c>
      <c r="H155" s="12">
        <v>1534.5409999999999</v>
      </c>
      <c r="I155" s="12"/>
      <c r="K155" s="6"/>
    </row>
    <row r="156" spans="2:13" x14ac:dyDescent="0.2">
      <c r="C156" s="8" t="s">
        <v>95</v>
      </c>
      <c r="D156" s="11" t="s">
        <v>126</v>
      </c>
      <c r="E156" s="12">
        <v>847.95099999999979</v>
      </c>
      <c r="F156" s="12">
        <v>1636.2669999999998</v>
      </c>
      <c r="G156" s="12">
        <v>2428.7269999999999</v>
      </c>
      <c r="H156" s="12">
        <v>3131.944</v>
      </c>
      <c r="I156" s="12"/>
      <c r="K156" s="6"/>
    </row>
    <row r="157" spans="2:13" x14ac:dyDescent="0.2">
      <c r="C157" s="8" t="s">
        <v>97</v>
      </c>
      <c r="D157" s="11" t="s">
        <v>126</v>
      </c>
      <c r="E157" s="12">
        <v>553.80000000000018</v>
      </c>
      <c r="F157" s="12">
        <v>1127.7000000000003</v>
      </c>
      <c r="G157" s="12">
        <v>1755</v>
      </c>
      <c r="H157" s="12">
        <v>2391.6999999999998</v>
      </c>
      <c r="I157" s="12"/>
      <c r="K157" s="6"/>
    </row>
    <row r="158" spans="2:13" x14ac:dyDescent="0.2">
      <c r="C158" s="8" t="s">
        <v>99</v>
      </c>
      <c r="D158" s="11" t="s">
        <v>126</v>
      </c>
      <c r="E158" s="12">
        <v>189.96846491455403</v>
      </c>
      <c r="F158" s="12">
        <v>392.06846491455406</v>
      </c>
      <c r="G158" s="12">
        <v>625.66381849816105</v>
      </c>
      <c r="H158" s="12">
        <v>858.5</v>
      </c>
      <c r="I158" s="12"/>
      <c r="K158" s="6"/>
    </row>
    <row r="159" spans="2:13" x14ac:dyDescent="0.2">
      <c r="C159" s="8" t="s">
        <v>101</v>
      </c>
      <c r="D159" s="11" t="s">
        <v>126</v>
      </c>
      <c r="E159" s="12">
        <v>387.54699999999991</v>
      </c>
      <c r="F159" s="12">
        <v>775.19999999999993</v>
      </c>
      <c r="G159" s="12">
        <v>1162.8</v>
      </c>
      <c r="H159" s="12">
        <v>1550.5709999999999</v>
      </c>
      <c r="I159" s="12"/>
      <c r="K159" s="6"/>
    </row>
    <row r="161" spans="2:13" ht="13.5" x14ac:dyDescent="0.25">
      <c r="B161" s="36" t="s">
        <v>202</v>
      </c>
      <c r="C161" s="36"/>
      <c r="D161" s="37"/>
      <c r="E161" s="36"/>
      <c r="F161" s="36"/>
      <c r="G161" s="36"/>
      <c r="H161" s="36"/>
      <c r="I161" s="36"/>
      <c r="J161" s="36"/>
      <c r="K161" s="184"/>
      <c r="L161" s="36"/>
      <c r="M161" s="36"/>
    </row>
    <row r="163" spans="2:13" x14ac:dyDescent="0.2">
      <c r="C163" s="8" t="s">
        <v>95</v>
      </c>
      <c r="D163" s="11" t="s">
        <v>126</v>
      </c>
      <c r="E163" s="12">
        <v>157.23999999999998</v>
      </c>
      <c r="F163" s="12">
        <v>219.82199999999997</v>
      </c>
      <c r="G163" s="12">
        <v>274.21499999999997</v>
      </c>
      <c r="H163" s="12">
        <v>325.30399999999997</v>
      </c>
      <c r="I163" s="12"/>
      <c r="K163" s="6" t="s">
        <v>203</v>
      </c>
    </row>
    <row r="165" spans="2:13" x14ac:dyDescent="0.2">
      <c r="B165" s="38" t="s">
        <v>26</v>
      </c>
      <c r="C165" s="39"/>
      <c r="D165" s="40"/>
      <c r="E165" s="41"/>
      <c r="F165" s="41"/>
      <c r="G165" s="41"/>
      <c r="H165" s="41"/>
      <c r="I165" s="41"/>
      <c r="J165" s="41"/>
      <c r="K165" s="40"/>
      <c r="L165" s="41"/>
      <c r="M165" s="4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M283"/>
  <sheetViews>
    <sheetView showGridLines="0" workbookViewId="0">
      <pane ySplit="3" topLeftCell="A4" activePane="bottomLeft" state="frozen"/>
      <selection activeCell="T30" sqref="T30"/>
      <selection pane="bottomLeft" activeCell="A4" sqref="A4"/>
    </sheetView>
  </sheetViews>
  <sheetFormatPr defaultRowHeight="12.75" x14ac:dyDescent="0.2"/>
  <cols>
    <col min="1" max="2" width="2.625" style="8" customWidth="1"/>
    <col min="3" max="3" width="23.125" style="8" bestFit="1" customWidth="1"/>
    <col min="4" max="4" width="9.875" style="11" customWidth="1"/>
    <col min="5" max="9" width="7.5" style="8" bestFit="1" customWidth="1"/>
    <col min="10" max="10" width="2.625" style="8" customWidth="1"/>
    <col min="11" max="11" width="44.375" style="8" bestFit="1" customWidth="1"/>
    <col min="12" max="12" width="2.625" style="8" customWidth="1"/>
    <col min="13" max="16384" width="9" style="8"/>
  </cols>
  <sheetData>
    <row r="2" spans="2:13" x14ac:dyDescent="0.2">
      <c r="B2" s="2"/>
      <c r="C2" s="2" t="s">
        <v>169</v>
      </c>
      <c r="D2" s="3" t="s">
        <v>170</v>
      </c>
      <c r="E2" s="4" t="s">
        <v>171</v>
      </c>
      <c r="F2" s="4" t="s">
        <v>172</v>
      </c>
      <c r="G2" s="4" t="s">
        <v>173</v>
      </c>
      <c r="H2" s="4" t="s">
        <v>150</v>
      </c>
      <c r="I2" s="4" t="s">
        <v>174</v>
      </c>
      <c r="J2" s="1"/>
      <c r="K2" s="5" t="s">
        <v>42</v>
      </c>
      <c r="L2" s="1"/>
      <c r="M2" s="27" t="s">
        <v>204</v>
      </c>
    </row>
    <row r="3" spans="2:13" x14ac:dyDescent="0.2">
      <c r="B3" s="7"/>
      <c r="C3" s="6" t="s">
        <v>175</v>
      </c>
      <c r="D3" s="6"/>
      <c r="E3" s="6">
        <v>3</v>
      </c>
      <c r="F3" s="6">
        <v>4</v>
      </c>
      <c r="G3" s="6">
        <v>5</v>
      </c>
      <c r="H3" s="6">
        <v>6</v>
      </c>
      <c r="I3" s="6">
        <v>7</v>
      </c>
      <c r="J3" s="6"/>
      <c r="K3" s="7" t="s">
        <v>205</v>
      </c>
      <c r="L3" s="6"/>
      <c r="M3" s="11"/>
    </row>
    <row r="5" spans="2:13" s="34" customFormat="1" ht="13.5" x14ac:dyDescent="0.25">
      <c r="B5" s="9" t="s">
        <v>206</v>
      </c>
      <c r="C5" s="9"/>
      <c r="D5" s="10"/>
      <c r="E5" s="9"/>
      <c r="F5" s="9"/>
      <c r="G5" s="9"/>
      <c r="H5" s="9"/>
      <c r="I5" s="9"/>
      <c r="J5" s="9"/>
      <c r="K5" s="9"/>
      <c r="L5" s="9"/>
    </row>
    <row r="7" spans="2:13" s="34" customFormat="1" ht="13.5" x14ac:dyDescent="0.25">
      <c r="B7" s="42" t="s">
        <v>207</v>
      </c>
      <c r="C7" s="42"/>
      <c r="D7" s="43"/>
      <c r="E7" s="42"/>
      <c r="F7" s="42"/>
      <c r="G7" s="42"/>
      <c r="H7" s="42"/>
      <c r="I7" s="42"/>
      <c r="J7" s="42"/>
      <c r="K7" s="170" t="s">
        <v>208</v>
      </c>
      <c r="L7" s="42"/>
    </row>
    <row r="9" spans="2:13" x14ac:dyDescent="0.2">
      <c r="C9" s="8" t="s">
        <v>79</v>
      </c>
      <c r="D9" s="11" t="s">
        <v>128</v>
      </c>
      <c r="E9" s="12">
        <v>104.92480363883401</v>
      </c>
      <c r="F9" s="12">
        <v>101.200872855019</v>
      </c>
      <c r="G9" s="12">
        <v>97.48</v>
      </c>
      <c r="H9" s="12">
        <v>94.640927000000005</v>
      </c>
      <c r="I9" s="12"/>
      <c r="K9" s="168"/>
    </row>
    <row r="10" spans="2:13" x14ac:dyDescent="0.2">
      <c r="C10" s="8" t="s">
        <v>81</v>
      </c>
      <c r="D10" s="11" t="s">
        <v>128</v>
      </c>
      <c r="E10" s="12">
        <v>57.668999999999997</v>
      </c>
      <c r="F10" s="12">
        <v>53.109000000000002</v>
      </c>
      <c r="G10" s="12">
        <v>52.844999999999999</v>
      </c>
      <c r="H10" s="12">
        <v>52.615000000000002</v>
      </c>
      <c r="I10" s="12"/>
      <c r="K10" s="168"/>
    </row>
    <row r="11" spans="2:13" x14ac:dyDescent="0.2">
      <c r="C11" s="8" t="s">
        <v>84</v>
      </c>
      <c r="D11" s="11" t="s">
        <v>128</v>
      </c>
      <c r="E11" s="12">
        <v>47.375</v>
      </c>
      <c r="F11" s="12">
        <v>46.222000000000001</v>
      </c>
      <c r="G11" s="12">
        <v>44.783999999999999</v>
      </c>
      <c r="H11" s="12">
        <v>31.675000000000001</v>
      </c>
      <c r="I11" s="12"/>
      <c r="K11" s="168" t="s">
        <v>209</v>
      </c>
    </row>
    <row r="12" spans="2:13" x14ac:dyDescent="0.2">
      <c r="C12" s="8" t="s">
        <v>86</v>
      </c>
      <c r="D12" s="11" t="s">
        <v>128</v>
      </c>
      <c r="E12" s="12">
        <v>309.70400000000001</v>
      </c>
      <c r="F12" s="12">
        <v>300.56599999999997</v>
      </c>
      <c r="G12" s="12">
        <v>291.11900000000003</v>
      </c>
      <c r="H12" s="12">
        <v>284.31900000000002</v>
      </c>
      <c r="I12" s="12"/>
      <c r="K12" s="168"/>
    </row>
    <row r="13" spans="2:13" x14ac:dyDescent="0.2">
      <c r="C13" s="8" t="s">
        <v>88</v>
      </c>
      <c r="D13" s="11" t="s">
        <v>128</v>
      </c>
      <c r="E13" s="12">
        <v>150.46250000000001</v>
      </c>
      <c r="F13" s="12">
        <v>143.73400000000001</v>
      </c>
      <c r="G13" s="12">
        <v>140.98599999999999</v>
      </c>
      <c r="H13" s="12">
        <v>147.54599999999999</v>
      </c>
      <c r="I13" s="12"/>
      <c r="K13" s="168" t="s">
        <v>210</v>
      </c>
    </row>
    <row r="14" spans="2:13" x14ac:dyDescent="0.2">
      <c r="C14" s="8" t="s">
        <v>90</v>
      </c>
      <c r="D14" s="11" t="s">
        <v>128</v>
      </c>
      <c r="E14" s="12">
        <v>92.745000000000005</v>
      </c>
      <c r="F14" s="12">
        <v>89.84899999999999</v>
      </c>
      <c r="G14" s="12">
        <v>87.769000000000005</v>
      </c>
      <c r="H14" s="12">
        <v>85.608000000000004</v>
      </c>
      <c r="I14" s="12"/>
      <c r="K14" s="168" t="s">
        <v>211</v>
      </c>
    </row>
    <row r="15" spans="2:13" x14ac:dyDescent="0.2">
      <c r="C15" s="8" t="s">
        <v>93</v>
      </c>
      <c r="D15" s="11" t="s">
        <v>128</v>
      </c>
      <c r="E15" s="12">
        <v>19.464500000000001</v>
      </c>
      <c r="F15" s="12">
        <v>16.372</v>
      </c>
      <c r="G15" s="12">
        <v>15.736000000000001</v>
      </c>
      <c r="H15" s="12">
        <v>15.693</v>
      </c>
      <c r="I15" s="12"/>
      <c r="K15" s="168"/>
    </row>
    <row r="16" spans="2:13" x14ac:dyDescent="0.2">
      <c r="C16" s="8" t="s">
        <v>95</v>
      </c>
      <c r="D16" s="11" t="s">
        <v>128</v>
      </c>
      <c r="E16" s="12">
        <v>26.315999999999999</v>
      </c>
      <c r="F16" s="12">
        <v>25.984999999999999</v>
      </c>
      <c r="G16" s="12">
        <v>25.661999999999999</v>
      </c>
      <c r="H16" s="12">
        <v>25.754999999999999</v>
      </c>
      <c r="I16" s="12"/>
      <c r="K16" s="168"/>
    </row>
    <row r="17" spans="2:12" x14ac:dyDescent="0.2">
      <c r="C17" s="8" t="s">
        <v>97</v>
      </c>
      <c r="D17" s="11" t="s">
        <v>128</v>
      </c>
      <c r="E17" s="12">
        <v>45.009</v>
      </c>
      <c r="F17" s="12">
        <v>44.616999999999997</v>
      </c>
      <c r="G17" s="12">
        <v>44.146000000000001</v>
      </c>
      <c r="H17" s="12">
        <v>43.432000000000002</v>
      </c>
      <c r="I17" s="12"/>
      <c r="K17" s="168"/>
    </row>
    <row r="18" spans="2:12" x14ac:dyDescent="0.2">
      <c r="C18" s="8" t="s">
        <v>99</v>
      </c>
      <c r="D18" s="11" t="s">
        <v>128</v>
      </c>
      <c r="E18" s="12">
        <v>21.617999999999999</v>
      </c>
      <c r="F18" s="12">
        <v>21.283000000000001</v>
      </c>
      <c r="G18" s="12">
        <v>20.47</v>
      </c>
      <c r="H18" s="12">
        <v>19.827999999999999</v>
      </c>
      <c r="I18" s="12"/>
      <c r="K18" s="168"/>
    </row>
    <row r="19" spans="2:12" x14ac:dyDescent="0.2">
      <c r="C19" s="8" t="s">
        <v>101</v>
      </c>
      <c r="D19" s="11" t="s">
        <v>128</v>
      </c>
      <c r="E19" s="12">
        <v>59.317999999999998</v>
      </c>
      <c r="F19" s="12">
        <v>58.396186301369902</v>
      </c>
      <c r="G19" s="12">
        <v>56.875</v>
      </c>
      <c r="H19" s="12">
        <v>56.124000000000002</v>
      </c>
      <c r="I19" s="12"/>
      <c r="K19" s="168"/>
    </row>
    <row r="20" spans="2:12" x14ac:dyDescent="0.2">
      <c r="C20" s="8" t="s">
        <v>103</v>
      </c>
      <c r="D20" s="11" t="s">
        <v>128</v>
      </c>
      <c r="E20" s="12">
        <v>672.88699999999994</v>
      </c>
      <c r="F20" s="12">
        <v>659.81799999999998</v>
      </c>
      <c r="G20" s="12">
        <v>636.97299999999996</v>
      </c>
      <c r="H20" s="12">
        <v>604.28</v>
      </c>
      <c r="I20" s="12"/>
      <c r="K20" s="168"/>
    </row>
    <row r="21" spans="2:12" x14ac:dyDescent="0.2">
      <c r="C21" s="8" t="s">
        <v>105</v>
      </c>
      <c r="D21" s="11" t="s">
        <v>128</v>
      </c>
      <c r="E21" s="12">
        <v>256.822</v>
      </c>
      <c r="F21" s="12">
        <v>249.852</v>
      </c>
      <c r="G21" s="12">
        <v>239.792</v>
      </c>
      <c r="H21" s="12">
        <v>224.43799999999999</v>
      </c>
      <c r="I21" s="12"/>
      <c r="K21" s="168"/>
    </row>
    <row r="22" spans="2:12" x14ac:dyDescent="0.2">
      <c r="C22" s="8" t="s">
        <v>107</v>
      </c>
      <c r="D22" s="11" t="s">
        <v>128</v>
      </c>
      <c r="E22" s="12">
        <v>210.15600000000001</v>
      </c>
      <c r="F22" s="12">
        <v>207.197</v>
      </c>
      <c r="G22" s="12">
        <v>204.16</v>
      </c>
      <c r="H22" s="12">
        <v>201.66900000000001</v>
      </c>
      <c r="I22" s="12"/>
      <c r="K22" s="168"/>
    </row>
    <row r="23" spans="2:12" x14ac:dyDescent="0.2">
      <c r="C23" s="8" t="s">
        <v>111</v>
      </c>
      <c r="D23" s="11" t="s">
        <v>128</v>
      </c>
      <c r="E23" s="12">
        <v>229.35300000000001</v>
      </c>
      <c r="F23" s="12">
        <v>185.26499999999999</v>
      </c>
      <c r="G23" s="12">
        <v>142.376</v>
      </c>
      <c r="H23" s="12">
        <v>106.678</v>
      </c>
      <c r="I23" s="12"/>
      <c r="K23" s="168"/>
    </row>
    <row r="24" spans="2:12" x14ac:dyDescent="0.2">
      <c r="C24" s="8" t="s">
        <v>113</v>
      </c>
      <c r="D24" s="11" t="s">
        <v>128</v>
      </c>
      <c r="E24" s="12">
        <v>385.58850000000001</v>
      </c>
      <c r="F24" s="12">
        <v>375.452</v>
      </c>
      <c r="G24" s="12">
        <v>380.90506575328402</v>
      </c>
      <c r="H24" s="12">
        <v>374.11700000000002</v>
      </c>
      <c r="I24" s="12"/>
      <c r="K24" s="168"/>
    </row>
    <row r="25" spans="2:12" x14ac:dyDescent="0.2">
      <c r="C25" s="8" t="s">
        <v>109</v>
      </c>
      <c r="D25" s="11" t="s">
        <v>128</v>
      </c>
      <c r="E25" s="12">
        <v>135.374</v>
      </c>
      <c r="F25" s="12">
        <v>128.63</v>
      </c>
      <c r="G25" s="12">
        <v>122.804</v>
      </c>
      <c r="H25" s="12">
        <v>117.10899999999999</v>
      </c>
      <c r="I25" s="12"/>
      <c r="K25" s="168"/>
    </row>
    <row r="27" spans="2:12" s="34" customFormat="1" ht="13.5" x14ac:dyDescent="0.25">
      <c r="B27" s="42" t="s">
        <v>212</v>
      </c>
      <c r="C27" s="42"/>
      <c r="D27" s="43"/>
      <c r="E27" s="42"/>
      <c r="F27" s="42"/>
      <c r="G27" s="42"/>
      <c r="H27" s="42"/>
      <c r="I27" s="42"/>
      <c r="J27" s="42"/>
      <c r="K27" s="170" t="s">
        <v>213</v>
      </c>
      <c r="L27" s="42"/>
    </row>
    <row r="29" spans="2:12" x14ac:dyDescent="0.2">
      <c r="C29" s="8" t="s">
        <v>79</v>
      </c>
      <c r="D29" s="11" t="s">
        <v>128</v>
      </c>
      <c r="E29" s="12">
        <v>271.98980363883402</v>
      </c>
      <c r="F29" s="12">
        <v>262.92287285501902</v>
      </c>
      <c r="G29" s="12">
        <v>256.46800000000002</v>
      </c>
      <c r="H29" s="12">
        <v>245.48292699999999</v>
      </c>
      <c r="I29" s="12"/>
      <c r="K29" s="168"/>
    </row>
    <row r="30" spans="2:12" x14ac:dyDescent="0.2">
      <c r="C30" s="8" t="s">
        <v>81</v>
      </c>
      <c r="D30" s="11" t="s">
        <v>128</v>
      </c>
      <c r="E30" s="12">
        <v>53.621000000000002</v>
      </c>
      <c r="F30" s="12">
        <v>52.207999999999998</v>
      </c>
      <c r="G30" s="12">
        <v>50.985999999999997</v>
      </c>
      <c r="H30" s="12">
        <v>48.694000000000003</v>
      </c>
      <c r="I30" s="12"/>
      <c r="K30" s="168"/>
    </row>
    <row r="31" spans="2:12" x14ac:dyDescent="0.2">
      <c r="C31" s="8" t="s">
        <v>84</v>
      </c>
      <c r="D31" s="11" t="s">
        <v>128</v>
      </c>
      <c r="E31" s="31"/>
      <c r="F31" s="31"/>
      <c r="G31" s="31"/>
      <c r="H31" s="12">
        <v>1.0609999999999999</v>
      </c>
      <c r="I31" s="12"/>
      <c r="K31" s="168" t="s">
        <v>209</v>
      </c>
    </row>
    <row r="32" spans="2:12" x14ac:dyDescent="0.2">
      <c r="C32" s="8" t="s">
        <v>86</v>
      </c>
      <c r="D32" s="11" t="s">
        <v>128</v>
      </c>
      <c r="E32" s="12">
        <v>33.78</v>
      </c>
      <c r="F32" s="12">
        <v>33.590000000000003</v>
      </c>
      <c r="G32" s="12">
        <v>32.777000000000001</v>
      </c>
      <c r="H32" s="12">
        <v>30.821999999999999</v>
      </c>
      <c r="I32" s="12"/>
      <c r="K32" s="168"/>
    </row>
    <row r="33" spans="2:12" x14ac:dyDescent="0.2">
      <c r="C33" s="8" t="s">
        <v>88</v>
      </c>
      <c r="D33" s="11" t="s">
        <v>128</v>
      </c>
      <c r="E33" s="12">
        <v>446.71346958523998</v>
      </c>
      <c r="F33" s="12">
        <v>450.16300000000001</v>
      </c>
      <c r="G33" s="12">
        <v>458.53300000000002</v>
      </c>
      <c r="H33" s="12">
        <v>439.51600000000002</v>
      </c>
      <c r="I33" s="12"/>
      <c r="K33" s="168" t="s">
        <v>210</v>
      </c>
    </row>
    <row r="34" spans="2:12" x14ac:dyDescent="0.2">
      <c r="C34" s="8" t="s">
        <v>90</v>
      </c>
      <c r="D34" s="11" t="s">
        <v>128</v>
      </c>
      <c r="E34" s="12">
        <v>2.4750000000000001</v>
      </c>
      <c r="F34" s="12">
        <v>2.3839999999999999</v>
      </c>
      <c r="G34" s="12">
        <v>2.3039999999999998</v>
      </c>
      <c r="H34" s="12">
        <v>2.2389999999999999</v>
      </c>
      <c r="I34" s="12"/>
      <c r="K34" s="168" t="s">
        <v>211</v>
      </c>
    </row>
    <row r="35" spans="2:12" x14ac:dyDescent="0.2">
      <c r="C35" s="8" t="s">
        <v>93</v>
      </c>
      <c r="D35" s="11" t="s">
        <v>128</v>
      </c>
      <c r="E35" s="12">
        <v>355.03250000000003</v>
      </c>
      <c r="F35" s="12">
        <v>329.52600000000001</v>
      </c>
      <c r="G35" s="12">
        <v>301.81099999999998</v>
      </c>
      <c r="H35" s="12">
        <v>277.303</v>
      </c>
      <c r="I35" s="12"/>
      <c r="K35" s="168"/>
    </row>
    <row r="36" spans="2:12" x14ac:dyDescent="0.2">
      <c r="C36" s="8" t="s">
        <v>95</v>
      </c>
      <c r="D36" s="11" t="s">
        <v>128</v>
      </c>
      <c r="E36" s="12">
        <v>957.23599999999999</v>
      </c>
      <c r="F36" s="12">
        <v>916.399</v>
      </c>
      <c r="G36" s="12">
        <v>866.52700000000004</v>
      </c>
      <c r="H36" s="12">
        <v>810.73800000000006</v>
      </c>
      <c r="I36" s="12"/>
      <c r="K36" s="168"/>
    </row>
    <row r="37" spans="2:12" x14ac:dyDescent="0.2">
      <c r="C37" s="8" t="s">
        <v>97</v>
      </c>
      <c r="D37" s="11" t="s">
        <v>128</v>
      </c>
      <c r="E37" s="12">
        <v>25.12</v>
      </c>
      <c r="F37" s="12">
        <v>24.681999999999999</v>
      </c>
      <c r="G37" s="12">
        <v>24.279</v>
      </c>
      <c r="H37" s="12">
        <v>23.867999999999999</v>
      </c>
      <c r="I37" s="12"/>
      <c r="K37" s="168"/>
    </row>
    <row r="38" spans="2:12" x14ac:dyDescent="0.2">
      <c r="C38" s="8" t="s">
        <v>99</v>
      </c>
      <c r="D38" s="11" t="s">
        <v>128</v>
      </c>
      <c r="E38" s="12">
        <v>303.80599999999998</v>
      </c>
      <c r="F38" s="12">
        <v>294.86399999999998</v>
      </c>
      <c r="G38" s="12">
        <v>283.62799999999999</v>
      </c>
      <c r="H38" s="12">
        <v>266.839</v>
      </c>
      <c r="I38" s="12"/>
      <c r="K38" s="168"/>
    </row>
    <row r="39" spans="2:12" x14ac:dyDescent="0.2">
      <c r="C39" s="8" t="s">
        <v>101</v>
      </c>
      <c r="D39" s="11" t="s">
        <v>128</v>
      </c>
      <c r="E39" s="12">
        <v>68.513999999999996</v>
      </c>
      <c r="F39" s="12">
        <v>64.362205479452101</v>
      </c>
      <c r="G39" s="12">
        <v>61.195</v>
      </c>
      <c r="H39" s="12">
        <v>59.975999999999999</v>
      </c>
      <c r="I39" s="12"/>
      <c r="K39" s="168"/>
    </row>
    <row r="41" spans="2:12" s="34" customFormat="1" ht="13.5" x14ac:dyDescent="0.25">
      <c r="B41" s="42" t="s">
        <v>214</v>
      </c>
      <c r="C41" s="42"/>
      <c r="D41" s="43"/>
      <c r="E41" s="42"/>
      <c r="F41" s="42"/>
      <c r="G41" s="42"/>
      <c r="H41" s="42"/>
      <c r="I41" s="42"/>
      <c r="J41" s="42"/>
      <c r="K41" s="170" t="s">
        <v>215</v>
      </c>
      <c r="L41" s="42"/>
    </row>
    <row r="43" spans="2:12" x14ac:dyDescent="0.2">
      <c r="C43" s="8" t="s">
        <v>79</v>
      </c>
      <c r="D43" s="11" t="s">
        <v>128</v>
      </c>
      <c r="E43" s="12">
        <v>315.14819636116601</v>
      </c>
      <c r="F43" s="12">
        <v>294.636127144981</v>
      </c>
      <c r="G43" s="12">
        <v>271.66899999999998</v>
      </c>
      <c r="H43" s="12">
        <v>254.36207300000001</v>
      </c>
      <c r="I43" s="12"/>
      <c r="K43" s="168"/>
    </row>
    <row r="44" spans="2:12" x14ac:dyDescent="0.2">
      <c r="C44" s="8" t="s">
        <v>81</v>
      </c>
      <c r="D44" s="11" t="s">
        <v>128</v>
      </c>
      <c r="E44" s="12">
        <v>697.38900000000001</v>
      </c>
      <c r="F44" s="12">
        <v>686.2</v>
      </c>
      <c r="G44" s="12">
        <v>672.82600000000002</v>
      </c>
      <c r="H44" s="12">
        <v>662.76199999999994</v>
      </c>
      <c r="I44" s="12"/>
      <c r="K44" s="168" t="s">
        <v>209</v>
      </c>
    </row>
    <row r="45" spans="2:12" x14ac:dyDescent="0.2">
      <c r="C45" s="8" t="s">
        <v>84</v>
      </c>
      <c r="D45" s="11" t="s">
        <v>128</v>
      </c>
      <c r="E45" s="31"/>
      <c r="F45" s="31"/>
      <c r="G45" s="31"/>
      <c r="H45" s="12">
        <v>9.0609999999999999</v>
      </c>
      <c r="I45" s="12"/>
      <c r="K45" s="168"/>
    </row>
    <row r="46" spans="2:12" x14ac:dyDescent="0.2">
      <c r="C46" s="8" t="s">
        <v>86</v>
      </c>
      <c r="D46" s="11" t="s">
        <v>128</v>
      </c>
      <c r="E46" s="12">
        <v>720.49900000000002</v>
      </c>
      <c r="F46" s="12">
        <v>703.91300000000001</v>
      </c>
      <c r="G46" s="12">
        <v>686.37099999999998</v>
      </c>
      <c r="H46" s="12">
        <v>667.39700000000005</v>
      </c>
      <c r="I46" s="12"/>
      <c r="K46" s="168" t="s">
        <v>210</v>
      </c>
    </row>
    <row r="47" spans="2:12" x14ac:dyDescent="0.2">
      <c r="C47" s="8" t="s">
        <v>88</v>
      </c>
      <c r="D47" s="11" t="s">
        <v>128</v>
      </c>
      <c r="E47" s="12">
        <v>1691.53</v>
      </c>
      <c r="F47" s="12">
        <v>1655.3209999999999</v>
      </c>
      <c r="G47" s="12">
        <v>1643.617</v>
      </c>
      <c r="H47" s="12">
        <v>1608.87</v>
      </c>
      <c r="I47" s="12"/>
      <c r="K47" s="168" t="s">
        <v>211</v>
      </c>
    </row>
    <row r="48" spans="2:12" x14ac:dyDescent="0.2">
      <c r="C48" s="8" t="s">
        <v>90</v>
      </c>
      <c r="D48" s="11" t="s">
        <v>128</v>
      </c>
      <c r="E48" s="12">
        <v>123.40600000000001</v>
      </c>
      <c r="F48" s="12">
        <v>115.91200000000001</v>
      </c>
      <c r="G48" s="12">
        <v>109.47499999999999</v>
      </c>
      <c r="H48" s="12">
        <v>103.80200000000001</v>
      </c>
      <c r="I48" s="12"/>
      <c r="K48" s="168"/>
    </row>
    <row r="49" spans="2:12" x14ac:dyDescent="0.2">
      <c r="C49" s="8" t="s">
        <v>93</v>
      </c>
      <c r="D49" s="11" t="s">
        <v>128</v>
      </c>
      <c r="E49" s="12">
        <v>132.88650000000001</v>
      </c>
      <c r="F49" s="12">
        <v>117.694</v>
      </c>
      <c r="G49" s="12">
        <v>113.083</v>
      </c>
      <c r="H49" s="12">
        <v>112.30500000000001</v>
      </c>
      <c r="I49" s="12"/>
      <c r="K49" s="168"/>
    </row>
    <row r="50" spans="2:12" x14ac:dyDescent="0.2">
      <c r="C50" s="8" t="s">
        <v>95</v>
      </c>
      <c r="D50" s="11" t="s">
        <v>128</v>
      </c>
      <c r="E50" s="12">
        <v>2190.4549999999999</v>
      </c>
      <c r="F50" s="12">
        <v>2150.3870000000002</v>
      </c>
      <c r="G50" s="12">
        <v>2091.8150000000001</v>
      </c>
      <c r="H50" s="12">
        <v>2024.2919999999999</v>
      </c>
      <c r="I50" s="12"/>
      <c r="K50" s="168"/>
    </row>
    <row r="51" spans="2:12" x14ac:dyDescent="0.2">
      <c r="C51" s="8" t="s">
        <v>97</v>
      </c>
      <c r="D51" s="11" t="s">
        <v>128</v>
      </c>
      <c r="E51" s="12">
        <v>1714.54</v>
      </c>
      <c r="F51" s="12">
        <v>1688.94</v>
      </c>
      <c r="G51" s="12">
        <v>1642.92</v>
      </c>
      <c r="H51" s="12">
        <v>1612.8019999999999</v>
      </c>
      <c r="I51" s="12"/>
      <c r="K51" s="168"/>
    </row>
    <row r="52" spans="2:12" x14ac:dyDescent="0.2">
      <c r="C52" s="8" t="s">
        <v>99</v>
      </c>
      <c r="D52" s="11" t="s">
        <v>128</v>
      </c>
      <c r="E52" s="12">
        <v>196.86099999999999</v>
      </c>
      <c r="F52" s="12">
        <v>189.83799999999999</v>
      </c>
      <c r="G52" s="12">
        <v>180.16300000000001</v>
      </c>
      <c r="H52" s="12">
        <v>169.95400000000001</v>
      </c>
      <c r="I52" s="12"/>
      <c r="K52" s="168"/>
    </row>
    <row r="53" spans="2:12" x14ac:dyDescent="0.2">
      <c r="C53" s="8" t="s">
        <v>101</v>
      </c>
      <c r="D53" s="11" t="s">
        <v>128</v>
      </c>
      <c r="E53" s="12">
        <v>960.75199999999995</v>
      </c>
      <c r="F53" s="12">
        <v>936.486815068493</v>
      </c>
      <c r="G53" s="12">
        <v>911.17700000000002</v>
      </c>
      <c r="H53" s="12">
        <v>882.78399999999999</v>
      </c>
      <c r="I53" s="12"/>
      <c r="K53" s="168"/>
    </row>
    <row r="55" spans="2:12" ht="13.5" x14ac:dyDescent="0.25">
      <c r="B55" s="42" t="s">
        <v>216</v>
      </c>
      <c r="C55" s="42"/>
      <c r="D55" s="43"/>
      <c r="E55" s="42"/>
      <c r="F55" s="42"/>
      <c r="G55" s="42"/>
      <c r="H55" s="42"/>
      <c r="I55" s="42"/>
      <c r="J55" s="42"/>
      <c r="K55" s="170" t="s">
        <v>217</v>
      </c>
      <c r="L55" s="42"/>
    </row>
    <row r="57" spans="2:12" x14ac:dyDescent="0.2">
      <c r="C57" s="8" t="s">
        <v>79</v>
      </c>
      <c r="D57" s="11" t="s">
        <v>128</v>
      </c>
      <c r="E57" s="12">
        <v>127.667743694126</v>
      </c>
      <c r="F57" s="12">
        <v>131.46491311764299</v>
      </c>
      <c r="G57" s="12">
        <v>135.66399999999999</v>
      </c>
      <c r="H57" s="12">
        <v>141.35126</v>
      </c>
      <c r="I57" s="12"/>
      <c r="K57" s="168"/>
    </row>
    <row r="58" spans="2:12" x14ac:dyDescent="0.2">
      <c r="C58" s="8" t="s">
        <v>81</v>
      </c>
      <c r="D58" s="11" t="s">
        <v>128</v>
      </c>
      <c r="E58" s="12">
        <v>23.102</v>
      </c>
      <c r="F58" s="12">
        <v>27.585999999999999</v>
      </c>
      <c r="G58" s="12">
        <v>28.210999999999999</v>
      </c>
      <c r="H58" s="12">
        <v>29.164999999999999</v>
      </c>
      <c r="I58" s="12"/>
      <c r="K58" s="168"/>
    </row>
    <row r="59" spans="2:12" x14ac:dyDescent="0.2">
      <c r="C59" s="8" t="s">
        <v>84</v>
      </c>
      <c r="D59" s="11" t="s">
        <v>128</v>
      </c>
      <c r="E59" s="12">
        <v>66.787999999999997</v>
      </c>
      <c r="F59" s="12">
        <v>69.028000000000006</v>
      </c>
      <c r="G59" s="12">
        <v>71.531000000000006</v>
      </c>
      <c r="H59" s="12">
        <v>44.423000000000002</v>
      </c>
      <c r="I59" s="12"/>
      <c r="K59" s="168" t="s">
        <v>209</v>
      </c>
    </row>
    <row r="60" spans="2:12" x14ac:dyDescent="0.2">
      <c r="C60" s="8" t="s">
        <v>86</v>
      </c>
      <c r="D60" s="11" t="s">
        <v>128</v>
      </c>
      <c r="E60" s="12">
        <v>424.06700000000001</v>
      </c>
      <c r="F60" s="12">
        <v>436.90100000000001</v>
      </c>
      <c r="G60" s="12">
        <v>450.18200000000002</v>
      </c>
      <c r="H60" s="12">
        <v>462.32799999999997</v>
      </c>
      <c r="I60" s="12"/>
      <c r="K60" s="168"/>
    </row>
    <row r="61" spans="2:12" x14ac:dyDescent="0.2">
      <c r="C61" s="8" t="s">
        <v>88</v>
      </c>
      <c r="D61" s="11" t="s">
        <v>128</v>
      </c>
      <c r="E61" s="12">
        <v>116.35325</v>
      </c>
      <c r="F61" s="12">
        <v>122.074</v>
      </c>
      <c r="G61" s="12">
        <v>125.13500000000001</v>
      </c>
      <c r="H61" s="12">
        <v>155.821</v>
      </c>
      <c r="I61" s="12"/>
      <c r="K61" s="168" t="s">
        <v>210</v>
      </c>
    </row>
    <row r="62" spans="2:12" x14ac:dyDescent="0.2">
      <c r="C62" s="8" t="s">
        <v>90</v>
      </c>
      <c r="D62" s="11" t="s">
        <v>128</v>
      </c>
      <c r="E62" s="12">
        <v>162.48500000000001</v>
      </c>
      <c r="F62" s="12">
        <v>166.61099999999999</v>
      </c>
      <c r="G62" s="12">
        <v>172.34699999999998</v>
      </c>
      <c r="H62" s="12">
        <v>171.63799999999998</v>
      </c>
      <c r="I62" s="12"/>
      <c r="K62" s="168" t="s">
        <v>211</v>
      </c>
    </row>
    <row r="63" spans="2:12" x14ac:dyDescent="0.2">
      <c r="C63" s="8" t="s">
        <v>93</v>
      </c>
      <c r="D63" s="11" t="s">
        <v>128</v>
      </c>
      <c r="E63" s="12">
        <v>61.168999999999997</v>
      </c>
      <c r="F63" s="12">
        <v>64.799000000000007</v>
      </c>
      <c r="G63" s="12">
        <v>65.986000000000004</v>
      </c>
      <c r="H63" s="12">
        <v>69.468999999999994</v>
      </c>
      <c r="I63" s="12"/>
      <c r="K63" s="168"/>
    </row>
    <row r="64" spans="2:12" x14ac:dyDescent="0.2">
      <c r="C64" s="8" t="s">
        <v>95</v>
      </c>
      <c r="D64" s="11" t="s">
        <v>128</v>
      </c>
      <c r="E64" s="12">
        <v>20.861000000000001</v>
      </c>
      <c r="F64" s="12">
        <v>21.484999999999999</v>
      </c>
      <c r="G64" s="12">
        <v>22.045999999999999</v>
      </c>
      <c r="H64" s="12">
        <v>22.602</v>
      </c>
      <c r="I64" s="12"/>
      <c r="K64" s="168"/>
    </row>
    <row r="65" spans="2:12" x14ac:dyDescent="0.2">
      <c r="C65" s="8" t="s">
        <v>97</v>
      </c>
      <c r="D65" s="11" t="s">
        <v>128</v>
      </c>
      <c r="E65" s="12">
        <v>25.068000000000001</v>
      </c>
      <c r="F65" s="12">
        <v>25.995999999999999</v>
      </c>
      <c r="G65" s="12">
        <v>27.297999999999998</v>
      </c>
      <c r="H65" s="12">
        <v>28.204999999999998</v>
      </c>
      <c r="I65" s="12"/>
      <c r="K65" s="168"/>
    </row>
    <row r="66" spans="2:12" x14ac:dyDescent="0.2">
      <c r="C66" s="8" t="s">
        <v>99</v>
      </c>
      <c r="D66" s="11" t="s">
        <v>128</v>
      </c>
      <c r="E66" s="12">
        <v>18.062000000000001</v>
      </c>
      <c r="F66" s="12">
        <v>18.731999999999999</v>
      </c>
      <c r="G66" s="12">
        <v>19.68</v>
      </c>
      <c r="H66" s="12">
        <v>20.478999999999999</v>
      </c>
      <c r="I66" s="12"/>
      <c r="K66" s="168"/>
    </row>
    <row r="67" spans="2:12" x14ac:dyDescent="0.2">
      <c r="C67" s="8" t="s">
        <v>101</v>
      </c>
      <c r="D67" s="11" t="s">
        <v>128</v>
      </c>
      <c r="E67" s="12">
        <v>45.643000000000001</v>
      </c>
      <c r="F67" s="12">
        <v>49.068134246575298</v>
      </c>
      <c r="G67" s="12">
        <v>50.618000000000002</v>
      </c>
      <c r="H67" s="12">
        <v>53.512</v>
      </c>
      <c r="I67" s="12"/>
      <c r="K67" s="168"/>
    </row>
    <row r="68" spans="2:12" x14ac:dyDescent="0.2">
      <c r="C68" s="8" t="s">
        <v>103</v>
      </c>
      <c r="D68" s="11" t="s">
        <v>128</v>
      </c>
      <c r="E68" s="12">
        <v>673.26700000000005</v>
      </c>
      <c r="F68" s="12">
        <v>698.27599999999995</v>
      </c>
      <c r="G68" s="12">
        <v>727.59299999999996</v>
      </c>
      <c r="H68" s="12">
        <v>768.87699999999995</v>
      </c>
      <c r="I68" s="12"/>
      <c r="K68" s="168"/>
    </row>
    <row r="69" spans="2:12" x14ac:dyDescent="0.2">
      <c r="C69" s="8" t="s">
        <v>105</v>
      </c>
      <c r="D69" s="11" t="s">
        <v>128</v>
      </c>
      <c r="E69" s="12">
        <v>224.316</v>
      </c>
      <c r="F69" s="12">
        <v>234.738</v>
      </c>
      <c r="G69" s="12">
        <v>250.16300000000001</v>
      </c>
      <c r="H69" s="12">
        <v>269.39400000000001</v>
      </c>
      <c r="I69" s="12"/>
      <c r="K69" s="168"/>
    </row>
    <row r="70" spans="2:12" x14ac:dyDescent="0.2">
      <c r="C70" s="8" t="s">
        <v>107</v>
      </c>
      <c r="D70" s="11" t="s">
        <v>128</v>
      </c>
      <c r="E70" s="12">
        <v>78.509</v>
      </c>
      <c r="F70" s="12">
        <v>84.212000000000003</v>
      </c>
      <c r="G70" s="12">
        <v>89.29</v>
      </c>
      <c r="H70" s="12">
        <v>92.944999999999993</v>
      </c>
      <c r="I70" s="12"/>
      <c r="K70" s="168"/>
    </row>
    <row r="71" spans="2:12" x14ac:dyDescent="0.2">
      <c r="C71" s="8" t="s">
        <v>111</v>
      </c>
      <c r="D71" s="11" t="s">
        <v>128</v>
      </c>
      <c r="E71" s="12">
        <v>608.06899999999996</v>
      </c>
      <c r="F71" s="12">
        <v>660.62300000000005</v>
      </c>
      <c r="G71" s="12">
        <v>711.99300000000005</v>
      </c>
      <c r="H71" s="12">
        <v>754.84400000000005</v>
      </c>
      <c r="I71" s="12"/>
      <c r="K71" s="168"/>
    </row>
    <row r="72" spans="2:12" x14ac:dyDescent="0.2">
      <c r="C72" s="8" t="s">
        <v>113</v>
      </c>
      <c r="D72" s="11" t="s">
        <v>128</v>
      </c>
      <c r="E72" s="12">
        <v>273.77050000000003</v>
      </c>
      <c r="F72" s="12">
        <v>284.65300000000002</v>
      </c>
      <c r="G72" s="12">
        <v>289.75564931489703</v>
      </c>
      <c r="H72" s="12">
        <v>304.464</v>
      </c>
      <c r="I72" s="12"/>
      <c r="K72" s="168"/>
    </row>
    <row r="73" spans="2:12" x14ac:dyDescent="0.2">
      <c r="C73" s="8" t="s">
        <v>109</v>
      </c>
      <c r="D73" s="11" t="s">
        <v>128</v>
      </c>
      <c r="E73" s="12">
        <v>127.768</v>
      </c>
      <c r="F73" s="12">
        <v>134.98500000000001</v>
      </c>
      <c r="G73" s="12">
        <v>143.048</v>
      </c>
      <c r="H73" s="12">
        <v>151.34100000000001</v>
      </c>
      <c r="I73" s="12"/>
      <c r="K73" s="168"/>
    </row>
    <row r="75" spans="2:12" ht="13.5" x14ac:dyDescent="0.25">
      <c r="B75" s="42" t="s">
        <v>218</v>
      </c>
      <c r="C75" s="42"/>
      <c r="D75" s="43"/>
      <c r="E75" s="42"/>
      <c r="F75" s="42"/>
      <c r="G75" s="42"/>
      <c r="H75" s="42"/>
      <c r="I75" s="42"/>
      <c r="J75" s="42"/>
      <c r="K75" s="170" t="s">
        <v>219</v>
      </c>
      <c r="L75" s="42"/>
    </row>
    <row r="77" spans="2:12" x14ac:dyDescent="0.2">
      <c r="C77" s="8" t="s">
        <v>79</v>
      </c>
      <c r="D77" s="11" t="s">
        <v>128</v>
      </c>
      <c r="E77" s="12">
        <v>529.57374369412605</v>
      </c>
      <c r="F77" s="12">
        <v>545.32191311764302</v>
      </c>
      <c r="G77" s="12">
        <v>557.37900000000002</v>
      </c>
      <c r="H77" s="12">
        <v>569.71525999999994</v>
      </c>
      <c r="I77" s="12"/>
      <c r="K77" s="168"/>
    </row>
    <row r="78" spans="2:12" x14ac:dyDescent="0.2">
      <c r="C78" s="8" t="s">
        <v>81</v>
      </c>
      <c r="D78" s="11" t="s">
        <v>128</v>
      </c>
      <c r="E78" s="12">
        <v>75.84</v>
      </c>
      <c r="F78" s="12">
        <v>78.408000000000001</v>
      </c>
      <c r="G78" s="12">
        <v>82.233000000000004</v>
      </c>
      <c r="H78" s="12">
        <v>83.247</v>
      </c>
      <c r="I78" s="12"/>
      <c r="K78" s="168"/>
    </row>
    <row r="79" spans="2:12" x14ac:dyDescent="0.2">
      <c r="C79" s="8" t="s">
        <v>84</v>
      </c>
      <c r="D79" s="11" t="s">
        <v>128</v>
      </c>
      <c r="E79" s="31"/>
      <c r="F79" s="31"/>
      <c r="G79" s="31"/>
      <c r="H79" s="12">
        <v>1.4079999999999999</v>
      </c>
      <c r="I79" s="12"/>
      <c r="K79" s="168" t="s">
        <v>209</v>
      </c>
    </row>
    <row r="80" spans="2:12" x14ac:dyDescent="0.2">
      <c r="C80" s="8" t="s">
        <v>86</v>
      </c>
      <c r="D80" s="11" t="s">
        <v>128</v>
      </c>
      <c r="E80" s="12">
        <v>31.498000000000001</v>
      </c>
      <c r="F80" s="12">
        <v>32.274999999999999</v>
      </c>
      <c r="G80" s="12">
        <v>33.037999999999997</v>
      </c>
      <c r="H80" s="12">
        <v>33.811999999999998</v>
      </c>
      <c r="I80" s="12"/>
      <c r="K80" s="168"/>
    </row>
    <row r="81" spans="2:12" x14ac:dyDescent="0.2">
      <c r="C81" s="8" t="s">
        <v>88</v>
      </c>
      <c r="D81" s="11" t="s">
        <v>128</v>
      </c>
      <c r="E81" s="12">
        <v>253.99813852526898</v>
      </c>
      <c r="F81" s="12">
        <v>272.92399999999998</v>
      </c>
      <c r="G81" s="12">
        <v>277.26100000000002</v>
      </c>
      <c r="H81" s="12">
        <v>292.42500000000001</v>
      </c>
      <c r="I81" s="12"/>
      <c r="K81" s="168" t="s">
        <v>210</v>
      </c>
    </row>
    <row r="82" spans="2:12" x14ac:dyDescent="0.2">
      <c r="C82" s="8" t="s">
        <v>90</v>
      </c>
      <c r="D82" s="11" t="s">
        <v>128</v>
      </c>
      <c r="E82" s="12">
        <v>2.3450000000000002</v>
      </c>
      <c r="F82" s="12">
        <v>2.464</v>
      </c>
      <c r="G82" s="12">
        <v>2.57</v>
      </c>
      <c r="H82" s="12">
        <v>2.625</v>
      </c>
      <c r="I82" s="12"/>
      <c r="K82" s="168" t="s">
        <v>211</v>
      </c>
    </row>
    <row r="83" spans="2:12" x14ac:dyDescent="0.2">
      <c r="C83" s="8" t="s">
        <v>93</v>
      </c>
      <c r="D83" s="11" t="s">
        <v>128</v>
      </c>
      <c r="E83" s="12">
        <v>525.9855</v>
      </c>
      <c r="F83" s="12">
        <v>557.73400000000004</v>
      </c>
      <c r="G83" s="12">
        <v>591.10900000000004</v>
      </c>
      <c r="H83" s="12">
        <v>620.24300000000005</v>
      </c>
      <c r="I83" s="12"/>
      <c r="K83" s="168"/>
    </row>
    <row r="84" spans="2:12" x14ac:dyDescent="0.2">
      <c r="C84" s="8" t="s">
        <v>95</v>
      </c>
      <c r="D84" s="11" t="s">
        <v>128</v>
      </c>
      <c r="E84" s="12">
        <v>940.43100000000004</v>
      </c>
      <c r="F84" s="12">
        <v>1004.712</v>
      </c>
      <c r="G84" s="12">
        <v>1067.268</v>
      </c>
      <c r="H84" s="12">
        <v>1133.597</v>
      </c>
      <c r="I84" s="12"/>
      <c r="K84" s="168"/>
    </row>
    <row r="85" spans="2:12" x14ac:dyDescent="0.2">
      <c r="C85" s="8" t="s">
        <v>97</v>
      </c>
      <c r="D85" s="11" t="s">
        <v>128</v>
      </c>
      <c r="E85" s="12">
        <v>16.728999999999999</v>
      </c>
      <c r="F85" s="12">
        <v>44.369</v>
      </c>
      <c r="G85" s="12">
        <v>49.72</v>
      </c>
      <c r="H85" s="12">
        <v>50.744</v>
      </c>
      <c r="I85" s="12"/>
      <c r="K85" s="168"/>
    </row>
    <row r="86" spans="2:12" x14ac:dyDescent="0.2">
      <c r="C86" s="8" t="s">
        <v>99</v>
      </c>
      <c r="D86" s="11" t="s">
        <v>128</v>
      </c>
      <c r="E86" s="12">
        <v>326.24700000000001</v>
      </c>
      <c r="F86" s="12">
        <v>338.72300000000001</v>
      </c>
      <c r="G86" s="12">
        <v>354.96800000000002</v>
      </c>
      <c r="H86" s="12">
        <v>375.84699999999998</v>
      </c>
      <c r="I86" s="12"/>
      <c r="K86" s="168"/>
    </row>
    <row r="87" spans="2:12" x14ac:dyDescent="0.2">
      <c r="C87" s="8" t="s">
        <v>101</v>
      </c>
      <c r="D87" s="11" t="s">
        <v>128</v>
      </c>
      <c r="E87" s="12">
        <v>47.182000000000002</v>
      </c>
      <c r="F87" s="12">
        <v>49.554830136986297</v>
      </c>
      <c r="G87" s="12">
        <v>49.462000000000003</v>
      </c>
      <c r="H87" s="12">
        <v>53.079000000000001</v>
      </c>
      <c r="I87" s="12"/>
      <c r="K87" s="168"/>
    </row>
    <row r="89" spans="2:12" ht="13.5" x14ac:dyDescent="0.25">
      <c r="B89" s="42" t="s">
        <v>220</v>
      </c>
      <c r="C89" s="42"/>
      <c r="D89" s="43"/>
      <c r="E89" s="42"/>
      <c r="F89" s="42"/>
      <c r="G89" s="42"/>
      <c r="H89" s="42"/>
      <c r="I89" s="42"/>
      <c r="J89" s="42"/>
      <c r="K89" s="170" t="s">
        <v>221</v>
      </c>
      <c r="L89" s="42"/>
    </row>
    <row r="91" spans="2:12" x14ac:dyDescent="0.2">
      <c r="C91" s="8" t="s">
        <v>79</v>
      </c>
      <c r="D91" s="11" t="s">
        <v>128</v>
      </c>
      <c r="E91" s="12">
        <v>1381.3792563058701</v>
      </c>
      <c r="F91" s="12">
        <v>1422.7450868823601</v>
      </c>
      <c r="G91" s="12">
        <v>1454.665</v>
      </c>
      <c r="H91" s="12">
        <v>1499.12374</v>
      </c>
      <c r="I91" s="12"/>
      <c r="K91" s="168"/>
    </row>
    <row r="92" spans="2:12" x14ac:dyDescent="0.2">
      <c r="C92" s="8" t="s">
        <v>81</v>
      </c>
      <c r="D92" s="11" t="s">
        <v>128</v>
      </c>
      <c r="E92" s="12">
        <v>456.44600000000003</v>
      </c>
      <c r="F92" s="12">
        <v>482.81400000000002</v>
      </c>
      <c r="G92" s="12">
        <v>505.30200000000002</v>
      </c>
      <c r="H92" s="12">
        <v>525.46</v>
      </c>
      <c r="I92" s="12"/>
      <c r="K92" s="168"/>
    </row>
    <row r="93" spans="2:12" x14ac:dyDescent="0.2">
      <c r="C93" s="8" t="s">
        <v>84</v>
      </c>
      <c r="D93" s="11" t="s">
        <v>128</v>
      </c>
      <c r="E93" s="31"/>
      <c r="F93" s="31"/>
      <c r="G93" s="31"/>
      <c r="H93" s="12">
        <v>7.3179999999999996</v>
      </c>
      <c r="I93" s="12"/>
      <c r="K93" s="168" t="s">
        <v>209</v>
      </c>
    </row>
    <row r="94" spans="2:12" x14ac:dyDescent="0.2">
      <c r="C94" s="8" t="s">
        <v>86</v>
      </c>
      <c r="D94" s="11" t="s">
        <v>128</v>
      </c>
      <c r="E94" s="12">
        <v>341.11500000000001</v>
      </c>
      <c r="F94" s="12">
        <v>361.83499999999998</v>
      </c>
      <c r="G94" s="12">
        <v>385.005</v>
      </c>
      <c r="H94" s="12">
        <v>409.654</v>
      </c>
      <c r="I94" s="12"/>
      <c r="K94" s="168"/>
    </row>
    <row r="95" spans="2:12" x14ac:dyDescent="0.2">
      <c r="C95" s="8" t="s">
        <v>88</v>
      </c>
      <c r="D95" s="11" t="s">
        <v>128</v>
      </c>
      <c r="E95" s="12">
        <v>1289.1888750000001</v>
      </c>
      <c r="F95" s="12">
        <v>1280.4069999999999</v>
      </c>
      <c r="G95" s="12">
        <v>1335.337</v>
      </c>
      <c r="H95" s="12">
        <v>1362.241</v>
      </c>
      <c r="I95" s="12"/>
      <c r="K95" s="168" t="s">
        <v>210</v>
      </c>
    </row>
    <row r="96" spans="2:12" x14ac:dyDescent="0.2">
      <c r="C96" s="8" t="s">
        <v>90</v>
      </c>
      <c r="D96" s="11" t="s">
        <v>128</v>
      </c>
      <c r="E96" s="12">
        <v>538.99300000000005</v>
      </c>
      <c r="F96" s="12">
        <v>554.42499999999995</v>
      </c>
      <c r="G96" s="12">
        <v>578.15599999999995</v>
      </c>
      <c r="H96" s="12">
        <v>594.37099999999998</v>
      </c>
      <c r="I96" s="12"/>
      <c r="K96" s="168" t="s">
        <v>211</v>
      </c>
    </row>
    <row r="97" spans="2:12" x14ac:dyDescent="0.2">
      <c r="C97" s="8" t="s">
        <v>93</v>
      </c>
      <c r="D97" s="11" t="s">
        <v>128</v>
      </c>
      <c r="E97" s="12">
        <v>787.30799999999999</v>
      </c>
      <c r="F97" s="12">
        <v>809.101</v>
      </c>
      <c r="G97" s="12">
        <v>817.20699999999999</v>
      </c>
      <c r="H97" s="12">
        <v>824.63099999999997</v>
      </c>
      <c r="I97" s="12"/>
      <c r="K97" s="168"/>
    </row>
    <row r="98" spans="2:12" x14ac:dyDescent="0.2">
      <c r="C98" s="8" t="s">
        <v>95</v>
      </c>
      <c r="D98" s="11" t="s">
        <v>128</v>
      </c>
      <c r="E98" s="12">
        <v>1217.1220000000001</v>
      </c>
      <c r="F98" s="12">
        <v>1269.828</v>
      </c>
      <c r="G98" s="12">
        <v>1336.3230000000001</v>
      </c>
      <c r="H98" s="12">
        <v>1438.8030000000001</v>
      </c>
      <c r="I98" s="12"/>
      <c r="K98" s="168"/>
    </row>
    <row r="99" spans="2:12" x14ac:dyDescent="0.2">
      <c r="C99" s="8" t="s">
        <v>97</v>
      </c>
      <c r="D99" s="11" t="s">
        <v>128</v>
      </c>
      <c r="E99" s="12">
        <v>1098.587</v>
      </c>
      <c r="F99" s="12">
        <v>1143.348</v>
      </c>
      <c r="G99" s="12">
        <v>1186.98</v>
      </c>
      <c r="H99" s="12">
        <v>1238.6110000000001</v>
      </c>
      <c r="I99" s="12"/>
      <c r="K99" s="168"/>
    </row>
    <row r="100" spans="2:12" x14ac:dyDescent="0.2">
      <c r="C100" s="8" t="s">
        <v>99</v>
      </c>
      <c r="D100" s="11" t="s">
        <v>128</v>
      </c>
      <c r="E100" s="12">
        <v>306.72300000000001</v>
      </c>
      <c r="F100" s="12">
        <v>318.51</v>
      </c>
      <c r="G100" s="12">
        <v>332.50200000000001</v>
      </c>
      <c r="H100" s="12">
        <v>345.61</v>
      </c>
      <c r="I100" s="12"/>
      <c r="K100" s="168"/>
    </row>
    <row r="101" spans="2:12" x14ac:dyDescent="0.2">
      <c r="C101" s="8" t="s">
        <v>101</v>
      </c>
      <c r="D101" s="11" t="s">
        <v>128</v>
      </c>
      <c r="E101" s="12">
        <v>952.06600000000003</v>
      </c>
      <c r="F101" s="12">
        <v>995.19599315068501</v>
      </c>
      <c r="G101" s="12">
        <v>1035.4290000000001</v>
      </c>
      <c r="H101" s="12">
        <v>1072.3630000000001</v>
      </c>
      <c r="I101" s="12"/>
      <c r="K101" s="168"/>
    </row>
    <row r="103" spans="2:12" s="34" customFormat="1" ht="13.5" x14ac:dyDescent="0.25">
      <c r="B103" s="9" t="s">
        <v>222</v>
      </c>
      <c r="C103" s="9"/>
      <c r="D103" s="10"/>
      <c r="E103" s="9"/>
      <c r="F103" s="9"/>
      <c r="G103" s="9"/>
      <c r="H103" s="9"/>
      <c r="I103" s="9"/>
      <c r="J103" s="9"/>
      <c r="K103" s="9"/>
      <c r="L103" s="9"/>
    </row>
    <row r="105" spans="2:12" ht="13.5" x14ac:dyDescent="0.25">
      <c r="B105" s="42" t="s">
        <v>223</v>
      </c>
      <c r="C105" s="42"/>
      <c r="D105" s="43"/>
      <c r="E105" s="42"/>
      <c r="F105" s="42"/>
      <c r="G105" s="42"/>
      <c r="H105" s="42"/>
      <c r="I105" s="42"/>
      <c r="J105" s="42"/>
      <c r="K105" s="170" t="s">
        <v>224</v>
      </c>
      <c r="L105" s="42"/>
    </row>
    <row r="107" spans="2:12" x14ac:dyDescent="0.2">
      <c r="C107" s="8" t="s">
        <v>79</v>
      </c>
      <c r="D107" s="11" t="s">
        <v>130</v>
      </c>
      <c r="E107" s="12">
        <v>22.212624486583799</v>
      </c>
      <c r="F107" s="12">
        <v>22.862199478662699</v>
      </c>
      <c r="G107" s="12">
        <v>23.293347858718601</v>
      </c>
      <c r="H107" s="12">
        <v>23.518509246588501</v>
      </c>
      <c r="I107" s="12"/>
      <c r="K107" s="168"/>
    </row>
    <row r="108" spans="2:12" x14ac:dyDescent="0.2">
      <c r="C108" s="8" t="s">
        <v>81</v>
      </c>
      <c r="D108" s="11" t="s">
        <v>130</v>
      </c>
      <c r="E108" s="12">
        <v>30.467527950170801</v>
      </c>
      <c r="F108" s="12">
        <v>29.556026477148901</v>
      </c>
      <c r="G108" s="12">
        <v>28.700956740013201</v>
      </c>
      <c r="H108" s="12">
        <v>27.796453080105</v>
      </c>
      <c r="I108" s="12"/>
      <c r="K108" s="168"/>
    </row>
    <row r="109" spans="2:12" x14ac:dyDescent="0.2">
      <c r="C109" s="8" t="s">
        <v>84</v>
      </c>
      <c r="D109" s="11" t="s">
        <v>130</v>
      </c>
      <c r="E109" s="12">
        <v>22.83</v>
      </c>
      <c r="F109" s="12">
        <v>22.88</v>
      </c>
      <c r="G109" s="12">
        <v>22.89</v>
      </c>
      <c r="H109" s="12">
        <v>22.96</v>
      </c>
      <c r="I109" s="12"/>
      <c r="K109" s="168" t="s">
        <v>225</v>
      </c>
    </row>
    <row r="110" spans="2:12" x14ac:dyDescent="0.2">
      <c r="C110" s="8" t="s">
        <v>86</v>
      </c>
      <c r="D110" s="11" t="s">
        <v>130</v>
      </c>
      <c r="E110" s="12">
        <v>24.5954977417652</v>
      </c>
      <c r="F110" s="12">
        <v>24.867616176748601</v>
      </c>
      <c r="G110" s="12">
        <v>25.025299682297501</v>
      </c>
      <c r="H110" s="12">
        <v>25.1575278520653</v>
      </c>
      <c r="I110" s="12"/>
      <c r="K110" s="168"/>
    </row>
    <row r="111" spans="2:12" x14ac:dyDescent="0.2">
      <c r="C111" s="8" t="s">
        <v>88</v>
      </c>
      <c r="D111" s="11" t="s">
        <v>130</v>
      </c>
      <c r="E111" s="12">
        <v>21.64</v>
      </c>
      <c r="F111" s="12">
        <v>22.39</v>
      </c>
      <c r="G111" s="12">
        <v>23.09</v>
      </c>
      <c r="H111" s="12">
        <v>23.36</v>
      </c>
      <c r="I111" s="12"/>
      <c r="K111" s="168" t="s">
        <v>226</v>
      </c>
    </row>
    <row r="112" spans="2:12" x14ac:dyDescent="0.2">
      <c r="C112" s="8" t="s">
        <v>90</v>
      </c>
      <c r="D112" s="11" t="s">
        <v>130</v>
      </c>
      <c r="E112" s="12">
        <v>24.874694348050294</v>
      </c>
      <c r="F112" s="12">
        <v>25.139946329322743</v>
      </c>
      <c r="G112" s="12">
        <v>25.334369851968997</v>
      </c>
      <c r="H112" s="12">
        <v>25.509146190775716</v>
      </c>
      <c r="I112" s="12"/>
      <c r="K112" s="168" t="s">
        <v>227</v>
      </c>
    </row>
    <row r="113" spans="2:12" x14ac:dyDescent="0.2">
      <c r="C113" s="8" t="s">
        <v>93</v>
      </c>
      <c r="D113" s="11" t="s">
        <v>130</v>
      </c>
      <c r="E113" s="12">
        <v>26.944962589980801</v>
      </c>
      <c r="F113" s="12">
        <v>26.3412154665637</v>
      </c>
      <c r="G113" s="12">
        <v>24.440633791432901</v>
      </c>
      <c r="H113" s="12">
        <v>22.4797301381696</v>
      </c>
      <c r="I113" s="12"/>
      <c r="K113" s="168"/>
    </row>
    <row r="114" spans="2:12" x14ac:dyDescent="0.2">
      <c r="C114" s="8" t="s">
        <v>95</v>
      </c>
      <c r="D114" s="11" t="s">
        <v>130</v>
      </c>
      <c r="E114" s="12">
        <v>23.001860873534191</v>
      </c>
      <c r="F114" s="12">
        <v>23.140838165067819</v>
      </c>
      <c r="G114" s="12">
        <v>23.606634947933404</v>
      </c>
      <c r="H114" s="12">
        <v>23.937971582913651</v>
      </c>
      <c r="I114" s="12"/>
      <c r="K114" s="168"/>
    </row>
    <row r="115" spans="2:12" x14ac:dyDescent="0.2">
      <c r="C115" s="8" t="s">
        <v>97</v>
      </c>
      <c r="D115" s="11" t="s">
        <v>130</v>
      </c>
      <c r="E115" s="12">
        <v>32.779340702020697</v>
      </c>
      <c r="F115" s="12">
        <v>31.298689456794602</v>
      </c>
      <c r="G115" s="12">
        <v>29.612281319429599</v>
      </c>
      <c r="H115" s="12">
        <v>28.277238055729899</v>
      </c>
      <c r="I115" s="12"/>
      <c r="K115" s="168"/>
    </row>
    <row r="116" spans="2:12" x14ac:dyDescent="0.2">
      <c r="C116" s="8" t="s">
        <v>99</v>
      </c>
      <c r="D116" s="11" t="s">
        <v>130</v>
      </c>
      <c r="E116" s="12">
        <v>22.1072937166606</v>
      </c>
      <c r="F116" s="12">
        <v>22.620772872664499</v>
      </c>
      <c r="G116" s="12">
        <v>23.287364382018101</v>
      </c>
      <c r="H116" s="12">
        <v>23.862924691718899</v>
      </c>
      <c r="I116" s="12"/>
      <c r="K116" s="168"/>
    </row>
    <row r="117" spans="2:12" x14ac:dyDescent="0.2">
      <c r="C117" s="8" t="s">
        <v>101</v>
      </c>
      <c r="D117" s="11" t="s">
        <v>130</v>
      </c>
      <c r="E117" s="12">
        <v>19.377670164490201</v>
      </c>
      <c r="F117" s="12">
        <v>19.739270900807298</v>
      </c>
      <c r="G117" s="12">
        <v>20.109288165539901</v>
      </c>
      <c r="H117" s="12">
        <v>20.4795611423507</v>
      </c>
      <c r="I117" s="12"/>
      <c r="K117" s="168"/>
    </row>
    <row r="118" spans="2:12" x14ac:dyDescent="0.2">
      <c r="C118" s="8" t="s">
        <v>103</v>
      </c>
      <c r="D118" s="11" t="s">
        <v>130</v>
      </c>
      <c r="E118" s="12">
        <v>16.939419324389799</v>
      </c>
      <c r="F118" s="12">
        <v>16.7373665057757</v>
      </c>
      <c r="G118" s="12">
        <v>16.505432507187201</v>
      </c>
      <c r="H118" s="12">
        <v>16.303769910811202</v>
      </c>
      <c r="I118" s="12"/>
      <c r="K118" s="168"/>
    </row>
    <row r="119" spans="2:12" x14ac:dyDescent="0.2">
      <c r="C119" s="8" t="s">
        <v>105</v>
      </c>
      <c r="D119" s="11" t="s">
        <v>130</v>
      </c>
      <c r="E119" s="12">
        <v>17.808785068543202</v>
      </c>
      <c r="F119" s="12">
        <v>18.404433618326902</v>
      </c>
      <c r="G119" s="12">
        <v>19.140503151649501</v>
      </c>
      <c r="H119" s="12">
        <v>19.906228167346899</v>
      </c>
      <c r="I119" s="12"/>
      <c r="K119" s="168"/>
    </row>
    <row r="120" spans="2:12" x14ac:dyDescent="0.2">
      <c r="C120" s="8" t="s">
        <v>107</v>
      </c>
      <c r="D120" s="11" t="s">
        <v>130</v>
      </c>
      <c r="E120" s="12">
        <v>14.4022454807942</v>
      </c>
      <c r="F120" s="12">
        <v>14.472402839707</v>
      </c>
      <c r="G120" s="12">
        <v>14.526757297381801</v>
      </c>
      <c r="H120" s="12">
        <v>14.562212904141299</v>
      </c>
      <c r="I120" s="12"/>
      <c r="K120" s="168"/>
    </row>
    <row r="121" spans="2:12" x14ac:dyDescent="0.2">
      <c r="C121" s="8" t="s">
        <v>111</v>
      </c>
      <c r="D121" s="11" t="s">
        <v>130</v>
      </c>
      <c r="E121" s="12">
        <v>19.099913108773698</v>
      </c>
      <c r="F121" s="12">
        <v>19.478567903724901</v>
      </c>
      <c r="G121" s="12">
        <v>19.869652462417498</v>
      </c>
      <c r="H121" s="12">
        <v>20.163693980846801</v>
      </c>
      <c r="I121" s="12"/>
      <c r="K121" s="168"/>
    </row>
    <row r="122" spans="2:12" x14ac:dyDescent="0.2">
      <c r="C122" s="8" t="s">
        <v>113</v>
      </c>
      <c r="D122" s="11" t="s">
        <v>130</v>
      </c>
      <c r="E122" s="12">
        <v>20.175786648919299</v>
      </c>
      <c r="F122" s="12">
        <v>20.387178539729099</v>
      </c>
      <c r="G122" s="12">
        <v>20.974264267231</v>
      </c>
      <c r="H122" s="12">
        <v>22.028200338708999</v>
      </c>
      <c r="I122" s="12"/>
      <c r="K122" s="168"/>
    </row>
    <row r="123" spans="2:12" x14ac:dyDescent="0.2">
      <c r="C123" s="8" t="s">
        <v>109</v>
      </c>
      <c r="D123" s="11" t="s">
        <v>130</v>
      </c>
      <c r="E123" s="12">
        <v>18.237127740577101</v>
      </c>
      <c r="F123" s="12">
        <v>18.2171583250135</v>
      </c>
      <c r="G123" s="12">
        <v>18.947977050716499</v>
      </c>
      <c r="H123" s="12">
        <v>18.8563361690039</v>
      </c>
      <c r="I123" s="12"/>
      <c r="K123" s="168"/>
    </row>
    <row r="125" spans="2:12" ht="13.5" x14ac:dyDescent="0.25">
      <c r="B125" s="42" t="s">
        <v>228</v>
      </c>
      <c r="C125" s="42"/>
      <c r="D125" s="43"/>
      <c r="E125" s="42"/>
      <c r="F125" s="42"/>
      <c r="G125" s="42"/>
      <c r="H125" s="42"/>
      <c r="I125" s="42"/>
      <c r="J125" s="42"/>
      <c r="K125" s="170" t="s">
        <v>229</v>
      </c>
      <c r="L125" s="42"/>
    </row>
    <row r="127" spans="2:12" x14ac:dyDescent="0.2">
      <c r="C127" s="8" t="s">
        <v>79</v>
      </c>
      <c r="D127" s="11" t="s">
        <v>130</v>
      </c>
      <c r="E127" s="12">
        <v>22.212624486583799</v>
      </c>
      <c r="F127" s="12">
        <v>22.862199478662699</v>
      </c>
      <c r="G127" s="12">
        <v>23.293347858718601</v>
      </c>
      <c r="H127" s="12">
        <v>23.518509246588501</v>
      </c>
      <c r="I127" s="12"/>
      <c r="K127" s="168"/>
    </row>
    <row r="128" spans="2:12" x14ac:dyDescent="0.2">
      <c r="C128" s="8" t="s">
        <v>81</v>
      </c>
      <c r="D128" s="11" t="s">
        <v>130</v>
      </c>
      <c r="E128" s="12">
        <v>30.467527950170801</v>
      </c>
      <c r="F128" s="12">
        <v>29.556026477148901</v>
      </c>
      <c r="G128" s="12">
        <v>28.700956740013201</v>
      </c>
      <c r="H128" s="12">
        <v>27.796453080105</v>
      </c>
      <c r="I128" s="12"/>
      <c r="K128" s="168"/>
    </row>
    <row r="129" spans="2:12" x14ac:dyDescent="0.2">
      <c r="C129" s="8" t="s">
        <v>84</v>
      </c>
      <c r="D129" s="11" t="s">
        <v>130</v>
      </c>
      <c r="E129" s="31"/>
      <c r="F129" s="31"/>
      <c r="G129" s="31"/>
      <c r="H129" s="12">
        <v>23.41</v>
      </c>
      <c r="I129" s="12"/>
      <c r="K129" s="168" t="s">
        <v>225</v>
      </c>
    </row>
    <row r="130" spans="2:12" x14ac:dyDescent="0.2">
      <c r="C130" s="8" t="s">
        <v>86</v>
      </c>
      <c r="D130" s="11" t="s">
        <v>130</v>
      </c>
      <c r="E130" s="12">
        <v>24.5954977417652</v>
      </c>
      <c r="F130" s="12">
        <v>24.867616176748601</v>
      </c>
      <c r="G130" s="12">
        <v>25.025299682297501</v>
      </c>
      <c r="H130" s="12">
        <v>25.1575278520653</v>
      </c>
      <c r="I130" s="12"/>
      <c r="K130" s="168"/>
    </row>
    <row r="131" spans="2:12" x14ac:dyDescent="0.2">
      <c r="C131" s="8" t="s">
        <v>88</v>
      </c>
      <c r="D131" s="11" t="s">
        <v>130</v>
      </c>
      <c r="E131" s="12">
        <v>21.64</v>
      </c>
      <c r="F131" s="12">
        <v>22.39</v>
      </c>
      <c r="G131" s="12">
        <v>23.09</v>
      </c>
      <c r="H131" s="12">
        <v>23.41</v>
      </c>
      <c r="I131" s="12"/>
      <c r="K131" s="168" t="s">
        <v>226</v>
      </c>
    </row>
    <row r="132" spans="2:12" x14ac:dyDescent="0.2">
      <c r="C132" s="8" t="s">
        <v>90</v>
      </c>
      <c r="D132" s="11" t="s">
        <v>130</v>
      </c>
      <c r="E132" s="12">
        <v>32.291160558899897</v>
      </c>
      <c r="F132" s="12">
        <v>32.497464198656303</v>
      </c>
      <c r="G132" s="12">
        <v>32.639097502346097</v>
      </c>
      <c r="H132" s="12">
        <v>32.483761854673702</v>
      </c>
      <c r="I132" s="12"/>
      <c r="K132" s="168" t="s">
        <v>227</v>
      </c>
    </row>
    <row r="133" spans="2:12" x14ac:dyDescent="0.2">
      <c r="C133" s="8" t="s">
        <v>93</v>
      </c>
      <c r="D133" s="11" t="s">
        <v>130</v>
      </c>
      <c r="E133" s="12">
        <v>26.944962589980801</v>
      </c>
      <c r="F133" s="12">
        <v>26.3412154665637</v>
      </c>
      <c r="G133" s="12">
        <v>24.440633791432901</v>
      </c>
      <c r="H133" s="12">
        <v>22.4797301381696</v>
      </c>
      <c r="I133" s="12"/>
      <c r="K133" s="168"/>
    </row>
    <row r="134" spans="2:12" x14ac:dyDescent="0.2">
      <c r="C134" s="8" t="s">
        <v>95</v>
      </c>
      <c r="D134" s="11" t="s">
        <v>130</v>
      </c>
      <c r="E134" s="12">
        <v>23.001860873534191</v>
      </c>
      <c r="F134" s="12">
        <v>23.140838165067819</v>
      </c>
      <c r="G134" s="12">
        <v>23.606634947933404</v>
      </c>
      <c r="H134" s="12">
        <v>23.937971582913651</v>
      </c>
      <c r="I134" s="12"/>
      <c r="K134" s="168"/>
    </row>
    <row r="135" spans="2:12" x14ac:dyDescent="0.2">
      <c r="C135" s="8" t="s">
        <v>97</v>
      </c>
      <c r="D135" s="11" t="s">
        <v>130</v>
      </c>
      <c r="E135" s="12">
        <v>32.779340702020697</v>
      </c>
      <c r="F135" s="12">
        <v>31.298689456794602</v>
      </c>
      <c r="G135" s="12">
        <v>29.612281319429599</v>
      </c>
      <c r="H135" s="12">
        <v>28.277238055729899</v>
      </c>
      <c r="I135" s="12"/>
      <c r="K135" s="168"/>
    </row>
    <row r="136" spans="2:12" x14ac:dyDescent="0.2">
      <c r="C136" s="8" t="s">
        <v>99</v>
      </c>
      <c r="D136" s="11" t="s">
        <v>130</v>
      </c>
      <c r="E136" s="12">
        <v>22.1072937166606</v>
      </c>
      <c r="F136" s="12">
        <v>22.620772872664499</v>
      </c>
      <c r="G136" s="12">
        <v>23.287364382018101</v>
      </c>
      <c r="H136" s="12">
        <v>23.862924691718899</v>
      </c>
      <c r="I136" s="12"/>
      <c r="K136" s="168"/>
    </row>
    <row r="137" spans="2:12" x14ac:dyDescent="0.2">
      <c r="C137" s="8" t="s">
        <v>101</v>
      </c>
      <c r="D137" s="11" t="s">
        <v>130</v>
      </c>
      <c r="E137" s="12">
        <v>19.377670164490201</v>
      </c>
      <c r="F137" s="12">
        <v>19.739270900807298</v>
      </c>
      <c r="G137" s="12">
        <v>20.109288165539901</v>
      </c>
      <c r="H137" s="12">
        <v>20.4795611423507</v>
      </c>
      <c r="I137" s="12"/>
      <c r="K137" s="168"/>
    </row>
    <row r="139" spans="2:12" ht="13.5" x14ac:dyDescent="0.25">
      <c r="B139" s="42" t="s">
        <v>230</v>
      </c>
      <c r="C139" s="42"/>
      <c r="D139" s="43"/>
      <c r="E139" s="42"/>
      <c r="F139" s="42"/>
      <c r="G139" s="42"/>
      <c r="H139" s="42"/>
      <c r="I139" s="42"/>
      <c r="J139" s="42"/>
      <c r="K139" s="170" t="s">
        <v>231</v>
      </c>
      <c r="L139" s="42"/>
    </row>
    <row r="141" spans="2:12" x14ac:dyDescent="0.2">
      <c r="C141" s="8" t="s">
        <v>79</v>
      </c>
      <c r="D141" s="11" t="s">
        <v>130</v>
      </c>
      <c r="E141" s="12">
        <v>28.876411832559</v>
      </c>
      <c r="F141" s="12">
        <v>29.7208593222615</v>
      </c>
      <c r="G141" s="12">
        <v>30.281352216334199</v>
      </c>
      <c r="H141" s="12">
        <v>30.574062020565101</v>
      </c>
      <c r="I141" s="12"/>
      <c r="K141" s="168"/>
    </row>
    <row r="142" spans="2:12" x14ac:dyDescent="0.2">
      <c r="C142" s="8" t="s">
        <v>81</v>
      </c>
      <c r="D142" s="11" t="s">
        <v>130</v>
      </c>
      <c r="E142" s="12">
        <v>39.607786335222002</v>
      </c>
      <c r="F142" s="12">
        <v>38.422834420293597</v>
      </c>
      <c r="G142" s="12">
        <v>37.311243762017199</v>
      </c>
      <c r="H142" s="12">
        <v>36.1353890041364</v>
      </c>
      <c r="I142" s="12"/>
      <c r="K142" s="168"/>
    </row>
    <row r="143" spans="2:12" x14ac:dyDescent="0.2">
      <c r="C143" s="8" t="s">
        <v>84</v>
      </c>
      <c r="D143" s="11" t="s">
        <v>130</v>
      </c>
      <c r="E143" s="31"/>
      <c r="F143" s="31"/>
      <c r="G143" s="31"/>
      <c r="H143" s="12">
        <v>30.43</v>
      </c>
      <c r="I143" s="12"/>
      <c r="K143" s="168" t="s">
        <v>225</v>
      </c>
    </row>
    <row r="144" spans="2:12" x14ac:dyDescent="0.2">
      <c r="C144" s="8" t="s">
        <v>86</v>
      </c>
      <c r="D144" s="11" t="s">
        <v>130</v>
      </c>
      <c r="E144" s="12">
        <v>31.974147064294801</v>
      </c>
      <c r="F144" s="12">
        <v>32.327901029773102</v>
      </c>
      <c r="G144" s="12">
        <v>32.532889586986798</v>
      </c>
      <c r="H144" s="12">
        <v>32.704786207684897</v>
      </c>
      <c r="I144" s="12"/>
      <c r="K144" s="168"/>
    </row>
    <row r="145" spans="2:12" x14ac:dyDescent="0.2">
      <c r="C145" s="8" t="s">
        <v>88</v>
      </c>
      <c r="D145" s="11" t="s">
        <v>130</v>
      </c>
      <c r="E145" s="12">
        <v>28.14</v>
      </c>
      <c r="F145" s="12">
        <v>29.1</v>
      </c>
      <c r="G145" s="12">
        <v>30.02</v>
      </c>
      <c r="H145" s="12">
        <v>30.43</v>
      </c>
      <c r="I145" s="12"/>
      <c r="K145" s="168" t="s">
        <v>226</v>
      </c>
    </row>
    <row r="146" spans="2:12" x14ac:dyDescent="0.2">
      <c r="C146" s="8" t="s">
        <v>90</v>
      </c>
      <c r="D146" s="11" t="s">
        <v>130</v>
      </c>
      <c r="E146" s="12">
        <v>41.978508726569899</v>
      </c>
      <c r="F146" s="12">
        <v>42.246703458253201</v>
      </c>
      <c r="G146" s="12">
        <v>42.430826753049999</v>
      </c>
      <c r="H146" s="12">
        <v>42.228890411075803</v>
      </c>
      <c r="I146" s="12"/>
      <c r="K146" s="168" t="s">
        <v>227</v>
      </c>
    </row>
    <row r="147" spans="2:12" x14ac:dyDescent="0.2">
      <c r="C147" s="8" t="s">
        <v>93</v>
      </c>
      <c r="D147" s="11" t="s">
        <v>130</v>
      </c>
      <c r="E147" s="12">
        <v>35.028451366975098</v>
      </c>
      <c r="F147" s="12">
        <v>34.243580106532796</v>
      </c>
      <c r="G147" s="12">
        <v>31.772823928862799</v>
      </c>
      <c r="H147" s="12">
        <v>29.223649179620399</v>
      </c>
      <c r="I147" s="12"/>
      <c r="K147" s="168"/>
    </row>
    <row r="148" spans="2:12" x14ac:dyDescent="0.2">
      <c r="C148" s="8" t="s">
        <v>95</v>
      </c>
      <c r="D148" s="11" t="s">
        <v>130</v>
      </c>
      <c r="E148" s="12">
        <v>29.90241913559445</v>
      </c>
      <c r="F148" s="12">
        <v>30.083089614588165</v>
      </c>
      <c r="G148" s="12">
        <v>30.688625432313426</v>
      </c>
      <c r="H148" s="12">
        <v>31.119363057787748</v>
      </c>
      <c r="I148" s="12"/>
      <c r="K148" s="168"/>
    </row>
    <row r="149" spans="2:12" x14ac:dyDescent="0.2">
      <c r="C149" s="8" t="s">
        <v>97</v>
      </c>
      <c r="D149" s="11" t="s">
        <v>130</v>
      </c>
      <c r="E149" s="12">
        <v>42.613142912626898</v>
      </c>
      <c r="F149" s="12">
        <v>40.688296293832998</v>
      </c>
      <c r="G149" s="12">
        <v>38.4959657152585</v>
      </c>
      <c r="H149" s="12">
        <v>36.760409472448799</v>
      </c>
      <c r="I149" s="12"/>
      <c r="K149" s="168"/>
    </row>
    <row r="150" spans="2:12" x14ac:dyDescent="0.2">
      <c r="C150" s="8" t="s">
        <v>99</v>
      </c>
      <c r="D150" s="11" t="s">
        <v>130</v>
      </c>
      <c r="E150" s="12">
        <v>28.7394818316588</v>
      </c>
      <c r="F150" s="12">
        <v>29.407004734463801</v>
      </c>
      <c r="G150" s="12">
        <v>30.273573696623501</v>
      </c>
      <c r="H150" s="12">
        <v>31.021802099234499</v>
      </c>
      <c r="I150" s="12"/>
      <c r="K150" s="168"/>
    </row>
    <row r="151" spans="2:12" x14ac:dyDescent="0.2">
      <c r="C151" s="8" t="s">
        <v>101</v>
      </c>
      <c r="D151" s="11" t="s">
        <v>130</v>
      </c>
      <c r="E151" s="12">
        <v>25.190971213837301</v>
      </c>
      <c r="F151" s="12">
        <v>25.661052171049398</v>
      </c>
      <c r="G151" s="12">
        <v>26.142074615201899</v>
      </c>
      <c r="H151" s="12">
        <v>26.623429485055901</v>
      </c>
      <c r="I151" s="12"/>
      <c r="K151" s="168"/>
    </row>
    <row r="153" spans="2:12" ht="13.5" x14ac:dyDescent="0.25">
      <c r="B153" s="42" t="s">
        <v>232</v>
      </c>
      <c r="C153" s="42"/>
      <c r="D153" s="43"/>
      <c r="E153" s="42"/>
      <c r="F153" s="42"/>
      <c r="G153" s="42"/>
      <c r="H153" s="42"/>
      <c r="I153" s="42"/>
      <c r="J153" s="42"/>
      <c r="K153" s="170" t="s">
        <v>233</v>
      </c>
      <c r="L153" s="42"/>
    </row>
    <row r="155" spans="2:12" x14ac:dyDescent="0.2">
      <c r="C155" s="8" t="s">
        <v>79</v>
      </c>
      <c r="D155" s="11" t="s">
        <v>130</v>
      </c>
      <c r="E155" s="12">
        <v>25.012165989233399</v>
      </c>
      <c r="F155" s="12">
        <v>25.662856936409099</v>
      </c>
      <c r="G155" s="12">
        <v>26.098464896176001</v>
      </c>
      <c r="H155" s="12">
        <v>26.329713482430801</v>
      </c>
      <c r="I155" s="12"/>
      <c r="K155" s="168"/>
    </row>
    <row r="156" spans="2:12" x14ac:dyDescent="0.2">
      <c r="C156" s="8" t="s">
        <v>81</v>
      </c>
      <c r="D156" s="11" t="s">
        <v>130</v>
      </c>
      <c r="E156" s="12">
        <v>38.977177768774801</v>
      </c>
      <c r="F156" s="12">
        <v>37.437064001542197</v>
      </c>
      <c r="G156" s="12">
        <v>35.916445444660297</v>
      </c>
      <c r="H156" s="12">
        <v>34.341913264078002</v>
      </c>
      <c r="I156" s="12"/>
      <c r="K156" s="168"/>
    </row>
    <row r="157" spans="2:12" x14ac:dyDescent="0.2">
      <c r="C157" s="8" t="s">
        <v>84</v>
      </c>
      <c r="D157" s="11" t="s">
        <v>130</v>
      </c>
      <c r="E157" s="12">
        <v>26.03</v>
      </c>
      <c r="F157" s="12">
        <v>26.1</v>
      </c>
      <c r="G157" s="12">
        <v>26.13</v>
      </c>
      <c r="H157" s="12">
        <v>26.41</v>
      </c>
      <c r="I157" s="12"/>
      <c r="K157" s="168" t="s">
        <v>225</v>
      </c>
    </row>
    <row r="158" spans="2:12" x14ac:dyDescent="0.2">
      <c r="C158" s="8" t="s">
        <v>86</v>
      </c>
      <c r="D158" s="11" t="s">
        <v>130</v>
      </c>
      <c r="E158" s="12">
        <v>27.546130668649301</v>
      </c>
      <c r="F158" s="12">
        <v>27.823934754016399</v>
      </c>
      <c r="G158" s="12">
        <v>27.9906967716251</v>
      </c>
      <c r="H158" s="12">
        <v>28.130283624768801</v>
      </c>
      <c r="I158" s="12"/>
      <c r="K158" s="168"/>
    </row>
    <row r="159" spans="2:12" x14ac:dyDescent="0.2">
      <c r="C159" s="8" t="s">
        <v>88</v>
      </c>
      <c r="D159" s="11" t="s">
        <v>130</v>
      </c>
      <c r="E159" s="12">
        <v>29.61</v>
      </c>
      <c r="F159" s="12">
        <v>29.91</v>
      </c>
      <c r="G159" s="12">
        <v>30.06</v>
      </c>
      <c r="H159" s="12">
        <v>29.15</v>
      </c>
      <c r="I159" s="12"/>
      <c r="K159" s="168" t="s">
        <v>226</v>
      </c>
    </row>
    <row r="160" spans="2:12" x14ac:dyDescent="0.2">
      <c r="C160" s="8" t="s">
        <v>90</v>
      </c>
      <c r="D160" s="11" t="s">
        <v>130</v>
      </c>
      <c r="E160" s="12">
        <v>28.714102163097948</v>
      </c>
      <c r="F160" s="12">
        <v>28.892285780809587</v>
      </c>
      <c r="G160" s="12">
        <v>29.072510071233662</v>
      </c>
      <c r="H160" s="12">
        <v>29.161622577276681</v>
      </c>
      <c r="I160" s="12"/>
      <c r="K160" s="168" t="s">
        <v>227</v>
      </c>
    </row>
    <row r="161" spans="2:12" x14ac:dyDescent="0.2">
      <c r="C161" s="8" t="s">
        <v>93</v>
      </c>
      <c r="D161" s="11" t="s">
        <v>130</v>
      </c>
      <c r="E161" s="12">
        <v>31.0105747031212</v>
      </c>
      <c r="F161" s="12">
        <v>30.4321644581009</v>
      </c>
      <c r="G161" s="12">
        <v>28.244330832317502</v>
      </c>
      <c r="H161" s="12">
        <v>26.333209576423801</v>
      </c>
      <c r="I161" s="12"/>
      <c r="K161" s="168"/>
    </row>
    <row r="162" spans="2:12" x14ac:dyDescent="0.2">
      <c r="C162" s="8" t="s">
        <v>95</v>
      </c>
      <c r="D162" s="11" t="s">
        <v>130</v>
      </c>
      <c r="E162" s="12">
        <v>31.752216816168779</v>
      </c>
      <c r="F162" s="12">
        <v>31.159141892246126</v>
      </c>
      <c r="G162" s="12">
        <v>30.862686676447495</v>
      </c>
      <c r="H162" s="12">
        <v>30.443984430762605</v>
      </c>
      <c r="I162" s="12"/>
      <c r="K162" s="168"/>
    </row>
    <row r="163" spans="2:12" x14ac:dyDescent="0.2">
      <c r="C163" s="8" t="s">
        <v>97</v>
      </c>
      <c r="D163" s="11" t="s">
        <v>130</v>
      </c>
      <c r="E163" s="12">
        <v>39.137539525277802</v>
      </c>
      <c r="F163" s="12">
        <v>37.701201212856198</v>
      </c>
      <c r="G163" s="12">
        <v>35.998406294577002</v>
      </c>
      <c r="H163" s="12">
        <v>34.018970173559303</v>
      </c>
      <c r="I163" s="12"/>
      <c r="K163" s="168"/>
    </row>
    <row r="164" spans="2:12" x14ac:dyDescent="0.2">
      <c r="C164" s="8" t="s">
        <v>99</v>
      </c>
      <c r="D164" s="11" t="s">
        <v>130</v>
      </c>
      <c r="E164" s="12">
        <v>27.613737793714499</v>
      </c>
      <c r="F164" s="12">
        <v>28.130072889924399</v>
      </c>
      <c r="G164" s="12">
        <v>28.798323660039401</v>
      </c>
      <c r="H164" s="12">
        <v>29.377830687139099</v>
      </c>
      <c r="I164" s="12"/>
      <c r="K164" s="168"/>
    </row>
    <row r="165" spans="2:12" x14ac:dyDescent="0.2">
      <c r="C165" s="8" t="s">
        <v>101</v>
      </c>
      <c r="D165" s="11" t="s">
        <v>130</v>
      </c>
      <c r="E165" s="12">
        <v>24.898119570222601</v>
      </c>
      <c r="F165" s="12">
        <v>25.253596585531799</v>
      </c>
      <c r="G165" s="12">
        <v>25.640687353470501</v>
      </c>
      <c r="H165" s="12">
        <v>26.044179337071402</v>
      </c>
      <c r="I165" s="12"/>
      <c r="K165" s="168"/>
    </row>
    <row r="166" spans="2:12" x14ac:dyDescent="0.2">
      <c r="C166" s="8" t="s">
        <v>103</v>
      </c>
      <c r="D166" s="11" t="s">
        <v>130</v>
      </c>
      <c r="E166" s="12">
        <v>25.2200052054975</v>
      </c>
      <c r="F166" s="12">
        <v>24.384003335518798</v>
      </c>
      <c r="G166" s="12">
        <v>23.5064723735779</v>
      </c>
      <c r="H166" s="12">
        <v>22.6643398440563</v>
      </c>
      <c r="I166" s="12"/>
      <c r="K166" s="168"/>
    </row>
    <row r="167" spans="2:12" x14ac:dyDescent="0.2">
      <c r="C167" s="8" t="s">
        <v>105</v>
      </c>
      <c r="D167" s="11" t="s">
        <v>130</v>
      </c>
      <c r="E167" s="12">
        <v>25.5625633124885</v>
      </c>
      <c r="F167" s="12">
        <v>25.6289569635831</v>
      </c>
      <c r="G167" s="12">
        <v>25.883333023632701</v>
      </c>
      <c r="H167" s="12">
        <v>26.1660438845791</v>
      </c>
      <c r="I167" s="12"/>
      <c r="K167" s="168"/>
    </row>
    <row r="168" spans="2:12" x14ac:dyDescent="0.2">
      <c r="C168" s="8" t="s">
        <v>107</v>
      </c>
      <c r="D168" s="11" t="s">
        <v>130</v>
      </c>
      <c r="E168" s="12">
        <v>19.000964989119201</v>
      </c>
      <c r="F168" s="12">
        <v>19.089390891578901</v>
      </c>
      <c r="G168" s="12">
        <v>19.143703497771298</v>
      </c>
      <c r="H168" s="12">
        <v>19.189665633236999</v>
      </c>
      <c r="I168" s="12"/>
      <c r="K168" s="168"/>
    </row>
    <row r="169" spans="2:12" x14ac:dyDescent="0.2">
      <c r="C169" s="8" t="s">
        <v>111</v>
      </c>
      <c r="D169" s="11" t="s">
        <v>130</v>
      </c>
      <c r="E169" s="12">
        <v>26.441330511396799</v>
      </c>
      <c r="F169" s="12">
        <v>26.480944384711599</v>
      </c>
      <c r="G169" s="12">
        <v>26.535133532899799</v>
      </c>
      <c r="H169" s="12">
        <v>26.4918749580333</v>
      </c>
      <c r="I169" s="12"/>
      <c r="K169" s="168"/>
    </row>
    <row r="170" spans="2:12" x14ac:dyDescent="0.2">
      <c r="C170" s="8" t="s">
        <v>113</v>
      </c>
      <c r="D170" s="11" t="s">
        <v>130</v>
      </c>
      <c r="E170" s="12">
        <v>26.139361001108</v>
      </c>
      <c r="F170" s="12">
        <v>26.353870866729899</v>
      </c>
      <c r="G170" s="12">
        <v>26.941875017074</v>
      </c>
      <c r="H170" s="12">
        <v>27.9871045859785</v>
      </c>
      <c r="I170" s="12"/>
      <c r="K170" s="168"/>
    </row>
    <row r="171" spans="2:12" x14ac:dyDescent="0.2">
      <c r="C171" s="8" t="s">
        <v>109</v>
      </c>
      <c r="D171" s="11" t="s">
        <v>130</v>
      </c>
      <c r="E171" s="12">
        <v>25.953407276813898</v>
      </c>
      <c r="F171" s="12">
        <v>25.699475230067101</v>
      </c>
      <c r="G171" s="12">
        <v>25.871533568396</v>
      </c>
      <c r="H171" s="12">
        <v>25.215918692869099</v>
      </c>
      <c r="I171" s="12"/>
      <c r="K171" s="168"/>
    </row>
    <row r="173" spans="2:12" ht="13.5" x14ac:dyDescent="0.25">
      <c r="B173" s="42" t="s">
        <v>234</v>
      </c>
      <c r="C173" s="42"/>
      <c r="D173" s="43"/>
      <c r="E173" s="42"/>
      <c r="F173" s="42"/>
      <c r="G173" s="42"/>
      <c r="H173" s="42"/>
      <c r="I173" s="42"/>
      <c r="J173" s="42"/>
      <c r="K173" s="170" t="s">
        <v>235</v>
      </c>
      <c r="L173" s="42"/>
    </row>
    <row r="175" spans="2:12" x14ac:dyDescent="0.2">
      <c r="C175" s="8" t="s">
        <v>79</v>
      </c>
      <c r="D175" s="11" t="s">
        <v>130</v>
      </c>
      <c r="E175" s="12">
        <v>25.757205260099798</v>
      </c>
      <c r="F175" s="12">
        <v>26.408193195325499</v>
      </c>
      <c r="G175" s="12">
        <v>26.844987978725101</v>
      </c>
      <c r="H175" s="12">
        <v>27.077856545195299</v>
      </c>
      <c r="I175" s="12"/>
      <c r="K175" s="168"/>
    </row>
    <row r="176" spans="2:12" x14ac:dyDescent="0.2">
      <c r="C176" s="8" t="s">
        <v>81</v>
      </c>
      <c r="D176" s="11" t="s">
        <v>130</v>
      </c>
      <c r="E176" s="12">
        <v>38.522676438057402</v>
      </c>
      <c r="F176" s="12">
        <v>36.4728579791378</v>
      </c>
      <c r="G176" s="12">
        <v>34.467567838937804</v>
      </c>
      <c r="H176" s="12">
        <v>32.401301094388202</v>
      </c>
      <c r="I176" s="12"/>
      <c r="K176" s="168"/>
    </row>
    <row r="177" spans="2:12" x14ac:dyDescent="0.2">
      <c r="C177" s="8" t="s">
        <v>84</v>
      </c>
      <c r="D177" s="11" t="s">
        <v>130</v>
      </c>
      <c r="E177" s="31"/>
      <c r="F177" s="31"/>
      <c r="G177" s="31"/>
      <c r="H177" s="12">
        <v>24.11</v>
      </c>
      <c r="I177" s="12"/>
      <c r="K177" s="168" t="s">
        <v>225</v>
      </c>
    </row>
    <row r="178" spans="2:12" x14ac:dyDescent="0.2">
      <c r="C178" s="8" t="s">
        <v>86</v>
      </c>
      <c r="D178" s="11" t="s">
        <v>130</v>
      </c>
      <c r="E178" s="12">
        <v>27.561658079736599</v>
      </c>
      <c r="F178" s="12">
        <v>27.824954532424499</v>
      </c>
      <c r="G178" s="12">
        <v>27.9762451303551</v>
      </c>
      <c r="H178" s="12">
        <v>28.129820791195201</v>
      </c>
      <c r="I178" s="12"/>
      <c r="K178" s="168"/>
    </row>
    <row r="179" spans="2:12" x14ac:dyDescent="0.2">
      <c r="C179" s="8" t="s">
        <v>88</v>
      </c>
      <c r="D179" s="11" t="s">
        <v>130</v>
      </c>
      <c r="E179" s="12">
        <v>22.37</v>
      </c>
      <c r="F179" s="12">
        <v>23.11</v>
      </c>
      <c r="G179" s="12">
        <v>23.8</v>
      </c>
      <c r="H179" s="12">
        <v>24.11</v>
      </c>
      <c r="I179" s="12"/>
      <c r="K179" s="168" t="s">
        <v>226</v>
      </c>
    </row>
    <row r="180" spans="2:12" x14ac:dyDescent="0.2">
      <c r="C180" s="8" t="s">
        <v>90</v>
      </c>
      <c r="D180" s="11" t="s">
        <v>130</v>
      </c>
      <c r="E180" s="12">
        <v>32.291160558899897</v>
      </c>
      <c r="F180" s="12">
        <v>32.497464198656303</v>
      </c>
      <c r="G180" s="12">
        <v>32.639097502346097</v>
      </c>
      <c r="H180" s="12">
        <v>32.483761854673702</v>
      </c>
      <c r="I180" s="12"/>
      <c r="K180" s="168" t="s">
        <v>227</v>
      </c>
    </row>
    <row r="181" spans="2:12" x14ac:dyDescent="0.2">
      <c r="C181" s="8" t="s">
        <v>93</v>
      </c>
      <c r="D181" s="11" t="s">
        <v>130</v>
      </c>
      <c r="E181" s="12">
        <v>32.006157411269299</v>
      </c>
      <c r="F181" s="12">
        <v>31.081394519581899</v>
      </c>
      <c r="G181" s="12">
        <v>28.885095376420399</v>
      </c>
      <c r="H181" s="12">
        <v>26.626831668673699</v>
      </c>
      <c r="I181" s="12"/>
      <c r="K181" s="168"/>
    </row>
    <row r="182" spans="2:12" x14ac:dyDescent="0.2">
      <c r="C182" s="8" t="s">
        <v>95</v>
      </c>
      <c r="D182" s="11" t="s">
        <v>130</v>
      </c>
      <c r="E182" s="12">
        <v>28.444409533027592</v>
      </c>
      <c r="F182" s="12">
        <v>28.303610558238905</v>
      </c>
      <c r="G182" s="12">
        <v>28.333083652369396</v>
      </c>
      <c r="H182" s="12">
        <v>28.020546327748708</v>
      </c>
      <c r="I182" s="12"/>
      <c r="K182" s="168"/>
    </row>
    <row r="183" spans="2:12" x14ac:dyDescent="0.2">
      <c r="C183" s="8" t="s">
        <v>97</v>
      </c>
      <c r="D183" s="11" t="s">
        <v>130</v>
      </c>
      <c r="E183" s="12">
        <v>37.156829401061501</v>
      </c>
      <c r="F183" s="12">
        <v>35.648704706563102</v>
      </c>
      <c r="G183" s="12">
        <v>33.900032128359001</v>
      </c>
      <c r="H183" s="12">
        <v>32.501163467970002</v>
      </c>
      <c r="I183" s="12"/>
      <c r="K183" s="168"/>
    </row>
    <row r="184" spans="2:12" x14ac:dyDescent="0.2">
      <c r="C184" s="8" t="s">
        <v>99</v>
      </c>
      <c r="D184" s="11" t="s">
        <v>130</v>
      </c>
      <c r="E184" s="12">
        <v>27.3858871837454</v>
      </c>
      <c r="F184" s="12">
        <v>27.676045299106899</v>
      </c>
      <c r="G184" s="12">
        <v>28.118032439352799</v>
      </c>
      <c r="H184" s="12">
        <v>28.470763439571801</v>
      </c>
      <c r="I184" s="12"/>
      <c r="K184" s="168"/>
    </row>
    <row r="185" spans="2:12" x14ac:dyDescent="0.2">
      <c r="C185" s="8" t="s">
        <v>101</v>
      </c>
      <c r="D185" s="11" t="s">
        <v>130</v>
      </c>
      <c r="E185" s="12">
        <v>25.363464528735701</v>
      </c>
      <c r="F185" s="12">
        <v>25.4304687552514</v>
      </c>
      <c r="G185" s="12">
        <v>25.297059155030801</v>
      </c>
      <c r="H185" s="12">
        <v>25.162173157630502</v>
      </c>
      <c r="I185" s="12"/>
      <c r="K185" s="168"/>
    </row>
    <row r="187" spans="2:12" ht="13.5" x14ac:dyDescent="0.25">
      <c r="B187" s="42" t="s">
        <v>236</v>
      </c>
      <c r="C187" s="42"/>
      <c r="D187" s="43"/>
      <c r="E187" s="42"/>
      <c r="F187" s="42"/>
      <c r="G187" s="42"/>
      <c r="H187" s="42"/>
      <c r="I187" s="42"/>
      <c r="J187" s="42"/>
      <c r="K187" s="170" t="s">
        <v>237</v>
      </c>
      <c r="L187" s="42"/>
    </row>
    <row r="189" spans="2:12" x14ac:dyDescent="0.2">
      <c r="C189" s="8" t="s">
        <v>79</v>
      </c>
      <c r="D189" s="11" t="s">
        <v>130</v>
      </c>
      <c r="E189" s="12">
        <v>32.816089189110201</v>
      </c>
      <c r="F189" s="12">
        <v>33.662107115622398</v>
      </c>
      <c r="G189" s="12">
        <v>34.228875789207699</v>
      </c>
      <c r="H189" s="12">
        <v>34.5301518524561</v>
      </c>
      <c r="I189" s="12"/>
      <c r="K189" s="168"/>
    </row>
    <row r="190" spans="2:12" x14ac:dyDescent="0.2">
      <c r="C190" s="8" t="s">
        <v>81</v>
      </c>
      <c r="D190" s="11" t="s">
        <v>130</v>
      </c>
      <c r="E190" s="12">
        <v>48.127343398255</v>
      </c>
      <c r="F190" s="12">
        <v>46.541260816602097</v>
      </c>
      <c r="G190" s="12">
        <v>44.9926183137378</v>
      </c>
      <c r="H190" s="12">
        <v>43.313101471003698</v>
      </c>
      <c r="I190" s="12"/>
      <c r="K190" s="168"/>
    </row>
    <row r="191" spans="2:12" x14ac:dyDescent="0.2">
      <c r="C191" s="8" t="s">
        <v>84</v>
      </c>
      <c r="D191" s="11" t="s">
        <v>130</v>
      </c>
      <c r="E191" s="31"/>
      <c r="F191" s="31"/>
      <c r="G191" s="31"/>
      <c r="H191" s="12">
        <v>37.49</v>
      </c>
      <c r="I191" s="12"/>
      <c r="K191" s="168" t="s">
        <v>225</v>
      </c>
    </row>
    <row r="192" spans="2:12" x14ac:dyDescent="0.2">
      <c r="C192" s="8" t="s">
        <v>86</v>
      </c>
      <c r="D192" s="11" t="s">
        <v>130</v>
      </c>
      <c r="E192" s="12">
        <v>37.877599835727501</v>
      </c>
      <c r="F192" s="12">
        <v>38.240619090793402</v>
      </c>
      <c r="G192" s="12">
        <v>38.4627070441502</v>
      </c>
      <c r="H192" s="12">
        <v>38.6475588609336</v>
      </c>
      <c r="I192" s="12"/>
      <c r="K192" s="168"/>
    </row>
    <row r="193" spans="2:12" x14ac:dyDescent="0.2">
      <c r="C193" s="8" t="s">
        <v>88</v>
      </c>
      <c r="D193" s="11" t="s">
        <v>130</v>
      </c>
      <c r="E193" s="12">
        <v>36.11</v>
      </c>
      <c r="F193" s="12">
        <v>36.880000000000003</v>
      </c>
      <c r="G193" s="12">
        <v>37.46</v>
      </c>
      <c r="H193" s="12">
        <v>37.49</v>
      </c>
      <c r="I193" s="12"/>
      <c r="K193" s="168" t="s">
        <v>226</v>
      </c>
    </row>
    <row r="194" spans="2:12" x14ac:dyDescent="0.2">
      <c r="C194" s="8" t="s">
        <v>90</v>
      </c>
      <c r="D194" s="11" t="s">
        <v>130</v>
      </c>
      <c r="E194" s="12">
        <v>45.296825018673204</v>
      </c>
      <c r="F194" s="12">
        <v>45.575432742745903</v>
      </c>
      <c r="G194" s="12">
        <v>45.770662299368198</v>
      </c>
      <c r="H194" s="12">
        <v>45.585761808832103</v>
      </c>
      <c r="I194" s="12"/>
      <c r="K194" s="168" t="s">
        <v>227</v>
      </c>
    </row>
    <row r="195" spans="2:12" x14ac:dyDescent="0.2">
      <c r="C195" s="8" t="s">
        <v>93</v>
      </c>
      <c r="D195" s="11" t="s">
        <v>130</v>
      </c>
      <c r="E195" s="12">
        <v>39.289742711430499</v>
      </c>
      <c r="F195" s="12">
        <v>38.501483234720403</v>
      </c>
      <c r="G195" s="12">
        <v>35.710544006521403</v>
      </c>
      <c r="H195" s="12">
        <v>33.197139327007399</v>
      </c>
      <c r="I195" s="12"/>
      <c r="K195" s="168"/>
    </row>
    <row r="196" spans="2:12" x14ac:dyDescent="0.2">
      <c r="C196" s="8" t="s">
        <v>95</v>
      </c>
      <c r="D196" s="11" t="s">
        <v>130</v>
      </c>
      <c r="E196" s="12">
        <v>40.951220895448003</v>
      </c>
      <c r="F196" s="12">
        <v>39.850002239238378</v>
      </c>
      <c r="G196" s="12">
        <v>39.133789207155033</v>
      </c>
      <c r="H196" s="12">
        <v>38.253817811931242</v>
      </c>
      <c r="I196" s="12"/>
      <c r="K196" s="168"/>
    </row>
    <row r="197" spans="2:12" x14ac:dyDescent="0.2">
      <c r="C197" s="8" t="s">
        <v>97</v>
      </c>
      <c r="D197" s="11" t="s">
        <v>130</v>
      </c>
      <c r="E197" s="12">
        <v>49.585505691986299</v>
      </c>
      <c r="F197" s="12">
        <v>47.709252370118001</v>
      </c>
      <c r="G197" s="12">
        <v>44.886247999127299</v>
      </c>
      <c r="H197" s="12">
        <v>42.514096117131103</v>
      </c>
      <c r="I197" s="12"/>
      <c r="K197" s="168"/>
    </row>
    <row r="198" spans="2:12" x14ac:dyDescent="0.2">
      <c r="C198" s="8" t="s">
        <v>99</v>
      </c>
      <c r="D198" s="11" t="s">
        <v>130</v>
      </c>
      <c r="E198" s="12">
        <v>36.685220285499</v>
      </c>
      <c r="F198" s="12">
        <v>37.098602173594699</v>
      </c>
      <c r="G198" s="12">
        <v>37.709147761792998</v>
      </c>
      <c r="H198" s="12">
        <v>38.204176310759102</v>
      </c>
      <c r="I198" s="12"/>
      <c r="K198" s="168"/>
    </row>
    <row r="199" spans="2:12" x14ac:dyDescent="0.2">
      <c r="C199" s="8" t="s">
        <v>101</v>
      </c>
      <c r="D199" s="11" t="s">
        <v>130</v>
      </c>
      <c r="E199" s="12">
        <v>31.7589013477719</v>
      </c>
      <c r="F199" s="12">
        <v>32.2599450514683</v>
      </c>
      <c r="G199" s="12">
        <v>32.7842989582389</v>
      </c>
      <c r="H199" s="12">
        <v>33.3498623356124</v>
      </c>
      <c r="I199" s="12"/>
      <c r="K199" s="168"/>
    </row>
    <row r="201" spans="2:12" s="34" customFormat="1" ht="13.5" x14ac:dyDescent="0.25">
      <c r="B201" s="9" t="s">
        <v>238</v>
      </c>
      <c r="C201" s="9"/>
      <c r="D201" s="10"/>
      <c r="E201" s="9"/>
      <c r="F201" s="9"/>
      <c r="G201" s="9"/>
      <c r="H201" s="9"/>
      <c r="I201" s="9"/>
      <c r="J201" s="9"/>
      <c r="K201" s="9"/>
      <c r="L201" s="9"/>
    </row>
    <row r="203" spans="2:12" ht="13.5" x14ac:dyDescent="0.25">
      <c r="B203" s="42" t="s">
        <v>239</v>
      </c>
      <c r="C203" s="42"/>
      <c r="D203" s="43"/>
      <c r="E203" s="42"/>
      <c r="F203" s="42"/>
      <c r="G203" s="42"/>
      <c r="H203" s="42"/>
      <c r="I203" s="42"/>
      <c r="J203" s="42"/>
      <c r="K203" s="170" t="s">
        <v>240</v>
      </c>
      <c r="L203" s="42"/>
    </row>
    <row r="205" spans="2:12" x14ac:dyDescent="0.2">
      <c r="C205" s="8" t="s">
        <v>79</v>
      </c>
      <c r="D205" s="11" t="s">
        <v>126</v>
      </c>
      <c r="E205" s="12">
        <v>80.590506765166097</v>
      </c>
      <c r="F205" s="12">
        <v>83.571080014153594</v>
      </c>
      <c r="G205" s="12">
        <v>85.913543740266803</v>
      </c>
      <c r="H205" s="12">
        <v>87.6518931803637</v>
      </c>
      <c r="I205" s="12"/>
      <c r="K205" s="168"/>
    </row>
    <row r="206" spans="2:12" x14ac:dyDescent="0.2">
      <c r="C206" s="8" t="s">
        <v>81</v>
      </c>
      <c r="D206" s="11" t="s">
        <v>126</v>
      </c>
      <c r="E206" s="12">
        <v>57.032834530370899</v>
      </c>
      <c r="F206" s="12">
        <v>55.627958693541203</v>
      </c>
      <c r="G206" s="12">
        <v>54.278348149194699</v>
      </c>
      <c r="H206" s="12">
        <v>52.781728263099303</v>
      </c>
      <c r="I206" s="12"/>
      <c r="K206" s="168"/>
    </row>
    <row r="207" spans="2:12" x14ac:dyDescent="0.2">
      <c r="C207" s="8" t="s">
        <v>84</v>
      </c>
      <c r="D207" s="11" t="s">
        <v>126</v>
      </c>
      <c r="E207" s="12">
        <v>2.9002731544277198</v>
      </c>
      <c r="F207" s="12">
        <v>2.9368816877620199</v>
      </c>
      <c r="G207" s="12">
        <v>2.9689074832232998</v>
      </c>
      <c r="H207" s="12">
        <v>2.5566910975576942</v>
      </c>
      <c r="I207" s="12"/>
      <c r="K207" s="168" t="s">
        <v>241</v>
      </c>
    </row>
    <row r="208" spans="2:12" x14ac:dyDescent="0.2">
      <c r="C208" s="8" t="s">
        <v>86</v>
      </c>
      <c r="D208" s="11" t="s">
        <v>126</v>
      </c>
      <c r="E208" s="12">
        <v>57.053856166593597</v>
      </c>
      <c r="F208" s="12">
        <v>58.129981831841697</v>
      </c>
      <c r="G208" s="12">
        <v>58.973923341780399</v>
      </c>
      <c r="H208" s="12">
        <v>59.772409558232098</v>
      </c>
      <c r="I208" s="12"/>
      <c r="K208" s="168"/>
    </row>
    <row r="209" spans="2:12" x14ac:dyDescent="0.2">
      <c r="C209" s="8" t="s">
        <v>88</v>
      </c>
      <c r="D209" s="11" t="s">
        <v>126</v>
      </c>
      <c r="E209" s="12">
        <v>113.501326479657</v>
      </c>
      <c r="F209" s="12">
        <v>117.639576110787</v>
      </c>
      <c r="G209" s="12">
        <v>121.444572418158</v>
      </c>
      <c r="H209" s="12">
        <v>123.74595603529062</v>
      </c>
      <c r="I209" s="12"/>
      <c r="K209" s="168" t="s">
        <v>242</v>
      </c>
    </row>
    <row r="210" spans="2:12" x14ac:dyDescent="0.2">
      <c r="C210" s="8" t="s">
        <v>90</v>
      </c>
      <c r="D210" s="11" t="s">
        <v>126</v>
      </c>
      <c r="E210" s="12">
        <v>36.467144952882762</v>
      </c>
      <c r="F210" s="12">
        <v>37.081555170536284</v>
      </c>
      <c r="G210" s="12">
        <v>37.626417437982937</v>
      </c>
      <c r="H210" s="12">
        <v>37.908216162534174</v>
      </c>
      <c r="I210" s="12"/>
      <c r="K210" s="168" t="s">
        <v>211</v>
      </c>
    </row>
    <row r="211" spans="2:12" x14ac:dyDescent="0.2">
      <c r="C211" s="8" t="s">
        <v>93</v>
      </c>
      <c r="D211" s="11" t="s">
        <v>126</v>
      </c>
      <c r="E211" s="12">
        <v>64.964764238362093</v>
      </c>
      <c r="F211" s="12">
        <v>64.175433348902104</v>
      </c>
      <c r="G211" s="12">
        <v>60.232545696496103</v>
      </c>
      <c r="H211" s="12">
        <v>56.386780583279702</v>
      </c>
      <c r="I211" s="12"/>
      <c r="K211" s="168"/>
    </row>
    <row r="212" spans="2:12" x14ac:dyDescent="0.2">
      <c r="C212" s="8" t="s">
        <v>95</v>
      </c>
      <c r="D212" s="11" t="s">
        <v>126</v>
      </c>
      <c r="E212" s="12">
        <v>165.58832103232626</v>
      </c>
      <c r="F212" s="12">
        <v>167.90831536112131</v>
      </c>
      <c r="G212" s="12">
        <v>172.10457473339392</v>
      </c>
      <c r="H212" s="12">
        <v>174.85571801624675</v>
      </c>
      <c r="I212" s="12"/>
      <c r="K212" s="168"/>
    </row>
    <row r="213" spans="2:12" x14ac:dyDescent="0.2">
      <c r="C213" s="8" t="s">
        <v>97</v>
      </c>
      <c r="D213" s="11" t="s">
        <v>126</v>
      </c>
      <c r="E213" s="12">
        <v>132.076000135101</v>
      </c>
      <c r="F213" s="12">
        <v>127.559819817641</v>
      </c>
      <c r="G213" s="12">
        <v>121.38716554365099</v>
      </c>
      <c r="H213" s="12">
        <v>116.41515314049499</v>
      </c>
      <c r="I213" s="12"/>
      <c r="K213" s="168"/>
    </row>
    <row r="214" spans="2:12" x14ac:dyDescent="0.2">
      <c r="C214" s="8" t="s">
        <v>99</v>
      </c>
      <c r="D214" s="11" t="s">
        <v>126</v>
      </c>
      <c r="E214" s="12">
        <v>33.203419912514804</v>
      </c>
      <c r="F214" s="12">
        <v>34.378368463737999</v>
      </c>
      <c r="G214" s="12">
        <v>35.723987857825499</v>
      </c>
      <c r="H214" s="12">
        <v>36.911716227250302</v>
      </c>
      <c r="I214" s="12"/>
      <c r="K214" s="168"/>
    </row>
    <row r="215" spans="2:12" x14ac:dyDescent="0.2">
      <c r="C215" s="8" t="s">
        <v>101</v>
      </c>
      <c r="D215" s="11" t="s">
        <v>126</v>
      </c>
      <c r="E215" s="12">
        <v>59.2923021935013</v>
      </c>
      <c r="F215" s="12">
        <v>61.063814265271098</v>
      </c>
      <c r="G215" s="12">
        <v>63.055244437511298</v>
      </c>
      <c r="H215" s="12">
        <v>65.189527501951403</v>
      </c>
      <c r="I215" s="12"/>
      <c r="K215" s="168"/>
    </row>
    <row r="216" spans="2:12" x14ac:dyDescent="0.2">
      <c r="C216" s="8" t="s">
        <v>103</v>
      </c>
      <c r="D216" s="11" t="s">
        <v>126</v>
      </c>
      <c r="E216" s="12">
        <v>28.888399082198699</v>
      </c>
      <c r="F216" s="12">
        <v>28.8735229097374</v>
      </c>
      <c r="G216" s="12">
        <v>28.759126487809599</v>
      </c>
      <c r="H216" s="12">
        <v>28.566331014844302</v>
      </c>
      <c r="I216" s="12"/>
      <c r="K216" s="168"/>
    </row>
    <row r="217" spans="2:12" x14ac:dyDescent="0.2">
      <c r="C217" s="8" t="s">
        <v>105</v>
      </c>
      <c r="D217" s="11" t="s">
        <v>126</v>
      </c>
      <c r="E217" s="12">
        <v>10.433943695172299</v>
      </c>
      <c r="F217" s="12">
        <v>10.8752803602345</v>
      </c>
      <c r="G217" s="12">
        <v>11.370795265812699</v>
      </c>
      <c r="H217" s="12">
        <v>11.856393009105799</v>
      </c>
      <c r="I217" s="12"/>
      <c r="K217" s="168"/>
    </row>
    <row r="218" spans="2:12" x14ac:dyDescent="0.2">
      <c r="C218" s="8" t="s">
        <v>107</v>
      </c>
      <c r="D218" s="11" t="s">
        <v>126</v>
      </c>
      <c r="E218" s="12">
        <v>4.51986824918691</v>
      </c>
      <c r="F218" s="12">
        <v>4.6058714008946398</v>
      </c>
      <c r="G218" s="12">
        <v>4.6928402357482604</v>
      </c>
      <c r="H218" s="12">
        <v>4.7849854533084599</v>
      </c>
      <c r="I218" s="12"/>
      <c r="K218" s="168"/>
    </row>
    <row r="219" spans="2:12" x14ac:dyDescent="0.2">
      <c r="C219" s="8" t="s">
        <v>111</v>
      </c>
      <c r="D219" s="11" t="s">
        <v>126</v>
      </c>
      <c r="E219" s="12">
        <v>20.354856305761501</v>
      </c>
      <c r="F219" s="12">
        <v>20.950824587341099</v>
      </c>
      <c r="G219" s="12">
        <v>21.535087624230702</v>
      </c>
      <c r="H219" s="12">
        <v>21.9924300882812</v>
      </c>
      <c r="I219" s="12"/>
      <c r="K219" s="168"/>
    </row>
    <row r="220" spans="2:12" x14ac:dyDescent="0.2">
      <c r="C220" s="8" t="s">
        <v>113</v>
      </c>
      <c r="D220" s="11" t="s">
        <v>126</v>
      </c>
      <c r="E220" s="12">
        <v>14.825027505842099</v>
      </c>
      <c r="F220" s="12">
        <v>15.112472369264401</v>
      </c>
      <c r="G220" s="12">
        <v>15.6541394202848</v>
      </c>
      <c r="H220" s="12">
        <v>16.512558266725101</v>
      </c>
      <c r="I220" s="12"/>
      <c r="K220" s="168"/>
    </row>
    <row r="221" spans="2:12" x14ac:dyDescent="0.2">
      <c r="C221" s="8" t="s">
        <v>109</v>
      </c>
      <c r="D221" s="11" t="s">
        <v>126</v>
      </c>
      <c r="E221" s="12">
        <v>5.8578250532028804</v>
      </c>
      <c r="F221" s="12">
        <v>5.9320589864480002</v>
      </c>
      <c r="G221" s="12">
        <v>6.1561413744815301</v>
      </c>
      <c r="H221" s="12">
        <v>6.1499768552667398</v>
      </c>
      <c r="I221" s="12"/>
      <c r="K221" s="168"/>
    </row>
    <row r="223" spans="2:12" ht="13.5" x14ac:dyDescent="0.25">
      <c r="B223" s="42" t="s">
        <v>243</v>
      </c>
      <c r="C223" s="42"/>
      <c r="D223" s="43"/>
      <c r="E223" s="42"/>
      <c r="F223" s="42"/>
      <c r="G223" s="42"/>
      <c r="H223" s="42"/>
      <c r="I223" s="42"/>
      <c r="J223" s="42"/>
      <c r="K223" s="170" t="s">
        <v>244</v>
      </c>
      <c r="L223" s="42"/>
    </row>
    <row r="225" spans="3:11" x14ac:dyDescent="0.2">
      <c r="C225" s="8" t="s">
        <v>79</v>
      </c>
      <c r="D225" s="11" t="s">
        <v>126</v>
      </c>
      <c r="E225" s="12">
        <v>71.391853483312701</v>
      </c>
      <c r="F225" s="12">
        <v>74.002723132686398</v>
      </c>
      <c r="G225" s="12">
        <v>75.956042343598497</v>
      </c>
      <c r="H225" s="12">
        <v>77.325116516186398</v>
      </c>
      <c r="I225" s="12"/>
      <c r="K225" s="168"/>
    </row>
    <row r="226" spans="3:11" x14ac:dyDescent="0.2">
      <c r="C226" s="8" t="s">
        <v>81</v>
      </c>
      <c r="D226" s="11" t="s">
        <v>126</v>
      </c>
      <c r="E226" s="12">
        <v>51.405948504049199</v>
      </c>
      <c r="F226" s="12">
        <v>49.849142356779097</v>
      </c>
      <c r="G226" s="12">
        <v>48.344143823438102</v>
      </c>
      <c r="H226" s="12">
        <v>46.697231726458</v>
      </c>
      <c r="I226" s="12"/>
      <c r="K226" s="168"/>
    </row>
    <row r="227" spans="3:11" x14ac:dyDescent="0.2">
      <c r="C227" s="8" t="s">
        <v>84</v>
      </c>
      <c r="D227" s="11" t="s">
        <v>126</v>
      </c>
      <c r="E227" s="12">
        <v>2.7216690878172898</v>
      </c>
      <c r="F227" s="12">
        <v>2.7515056737646399</v>
      </c>
      <c r="G227" s="12">
        <v>2.7766315048484298</v>
      </c>
      <c r="H227" s="12">
        <v>2.5032626510757052</v>
      </c>
      <c r="I227" s="12"/>
      <c r="K227" s="168" t="s">
        <v>241</v>
      </c>
    </row>
    <row r="228" spans="3:11" x14ac:dyDescent="0.2">
      <c r="C228" s="8" t="s">
        <v>86</v>
      </c>
      <c r="D228" s="11" t="s">
        <v>126</v>
      </c>
      <c r="E228" s="12">
        <v>51.268462127537802</v>
      </c>
      <c r="F228" s="12">
        <v>52.135689862442902</v>
      </c>
      <c r="G228" s="12">
        <v>52.757064843032602</v>
      </c>
      <c r="H228" s="12">
        <v>53.3406011955312</v>
      </c>
      <c r="I228" s="12"/>
      <c r="K228" s="168"/>
    </row>
    <row r="229" spans="3:11" x14ac:dyDescent="0.2">
      <c r="C229" s="8" t="s">
        <v>88</v>
      </c>
      <c r="D229" s="11" t="s">
        <v>126</v>
      </c>
      <c r="E229" s="12">
        <v>102.435150442713</v>
      </c>
      <c r="F229" s="12">
        <v>106.186829249832</v>
      </c>
      <c r="G229" s="12">
        <v>109.55984227794499</v>
      </c>
      <c r="H229" s="12">
        <v>111.43083086253959</v>
      </c>
      <c r="I229" s="12"/>
      <c r="K229" s="168" t="s">
        <v>242</v>
      </c>
    </row>
    <row r="230" spans="3:11" x14ac:dyDescent="0.2">
      <c r="C230" s="8" t="s">
        <v>90</v>
      </c>
      <c r="D230" s="11" t="s">
        <v>126</v>
      </c>
      <c r="E230" s="12">
        <v>32.524521166744059</v>
      </c>
      <c r="F230" s="12">
        <v>33.013753981060987</v>
      </c>
      <c r="G230" s="12">
        <v>33.427788565230458</v>
      </c>
      <c r="H230" s="12">
        <v>33.573298601550775</v>
      </c>
      <c r="I230" s="12"/>
      <c r="K230" s="168" t="s">
        <v>211</v>
      </c>
    </row>
    <row r="231" spans="3:11" x14ac:dyDescent="0.2">
      <c r="C231" s="8" t="s">
        <v>93</v>
      </c>
      <c r="D231" s="11" t="s">
        <v>126</v>
      </c>
      <c r="E231" s="12">
        <v>58.506976711910802</v>
      </c>
      <c r="F231" s="12">
        <v>57.4836867533215</v>
      </c>
      <c r="G231" s="12">
        <v>53.310918510807703</v>
      </c>
      <c r="H231" s="12">
        <v>49.240950120087199</v>
      </c>
      <c r="I231" s="12"/>
      <c r="K231" s="168"/>
    </row>
    <row r="232" spans="3:11" x14ac:dyDescent="0.2">
      <c r="C232" s="8" t="s">
        <v>95</v>
      </c>
      <c r="D232" s="11" t="s">
        <v>126</v>
      </c>
      <c r="E232" s="12">
        <v>149.27391074188299</v>
      </c>
      <c r="F232" s="12">
        <v>150.54493283612399</v>
      </c>
      <c r="G232" s="12">
        <v>153.93541196603499</v>
      </c>
      <c r="H232" s="12">
        <v>155.63692334206999</v>
      </c>
      <c r="I232" s="12"/>
      <c r="K232" s="168"/>
    </row>
    <row r="233" spans="3:11" x14ac:dyDescent="0.2">
      <c r="C233" s="8" t="s">
        <v>97</v>
      </c>
      <c r="D233" s="11" t="s">
        <v>126</v>
      </c>
      <c r="E233" s="12">
        <v>120.292214043694</v>
      </c>
      <c r="F233" s="12">
        <v>115.37487067644</v>
      </c>
      <c r="G233" s="12">
        <v>108.78954667009999</v>
      </c>
      <c r="H233" s="12">
        <v>103.392472210788</v>
      </c>
      <c r="I233" s="12"/>
      <c r="K233" s="168"/>
    </row>
    <row r="234" spans="3:11" x14ac:dyDescent="0.2">
      <c r="C234" s="8" t="s">
        <v>99</v>
      </c>
      <c r="D234" s="11" t="s">
        <v>126</v>
      </c>
      <c r="E234" s="12">
        <v>29.401890538933301</v>
      </c>
      <c r="F234" s="12">
        <v>30.426535909715501</v>
      </c>
      <c r="G234" s="12">
        <v>31.607955313440801</v>
      </c>
      <c r="H234" s="12">
        <v>32.635464309549</v>
      </c>
      <c r="I234" s="12"/>
      <c r="K234" s="168"/>
    </row>
    <row r="235" spans="3:11" x14ac:dyDescent="0.2">
      <c r="C235" s="8" t="s">
        <v>101</v>
      </c>
      <c r="D235" s="11" t="s">
        <v>126</v>
      </c>
      <c r="E235" s="12">
        <v>51.773516277613901</v>
      </c>
      <c r="F235" s="12">
        <v>53.243877186477597</v>
      </c>
      <c r="G235" s="12">
        <v>54.916822106802698</v>
      </c>
      <c r="H235" s="12">
        <v>56.716900341790598</v>
      </c>
      <c r="I235" s="12"/>
      <c r="K235" s="168"/>
    </row>
    <row r="236" spans="3:11" x14ac:dyDescent="0.2">
      <c r="C236" s="8" t="s">
        <v>103</v>
      </c>
      <c r="D236" s="11" t="s">
        <v>126</v>
      </c>
      <c r="E236" s="12">
        <v>26.475074447779701</v>
      </c>
      <c r="F236" s="12">
        <v>26.392290805440901</v>
      </c>
      <c r="G236" s="12">
        <v>26.249996507232801</v>
      </c>
      <c r="H236" s="12">
        <v>26.007951525860399</v>
      </c>
      <c r="I236" s="12"/>
      <c r="K236" s="168"/>
    </row>
    <row r="237" spans="3:11" x14ac:dyDescent="0.2">
      <c r="C237" s="8" t="s">
        <v>105</v>
      </c>
      <c r="D237" s="11" t="s">
        <v>126</v>
      </c>
      <c r="E237" s="12">
        <v>9.5856814954396796</v>
      </c>
      <c r="F237" s="12">
        <v>10.054459891616</v>
      </c>
      <c r="G237" s="12">
        <v>10.514556763213699</v>
      </c>
      <c r="H237" s="12">
        <v>10.9682856687919</v>
      </c>
      <c r="I237" s="12"/>
      <c r="K237" s="168"/>
    </row>
    <row r="238" spans="3:11" x14ac:dyDescent="0.2">
      <c r="C238" s="8" t="s">
        <v>107</v>
      </c>
      <c r="D238" s="11" t="s">
        <v>126</v>
      </c>
      <c r="E238" s="12">
        <v>4.2370931848370299</v>
      </c>
      <c r="F238" s="12">
        <v>4.3123336398624001</v>
      </c>
      <c r="G238" s="12">
        <v>4.3875740948877802</v>
      </c>
      <c r="H238" s="12">
        <v>4.4679299410783004</v>
      </c>
      <c r="I238" s="12"/>
      <c r="K238" s="168"/>
    </row>
    <row r="239" spans="3:11" x14ac:dyDescent="0.2">
      <c r="C239" s="8" t="s">
        <v>111</v>
      </c>
      <c r="D239" s="11" t="s">
        <v>126</v>
      </c>
      <c r="E239" s="12">
        <v>18.692465149428099</v>
      </c>
      <c r="F239" s="12">
        <v>19.222941225828698</v>
      </c>
      <c r="G239" s="12">
        <v>19.7336166630534</v>
      </c>
      <c r="H239" s="12">
        <v>20.125285214164201</v>
      </c>
      <c r="I239" s="12"/>
      <c r="K239" s="168"/>
    </row>
    <row r="240" spans="3:11" x14ac:dyDescent="0.2">
      <c r="C240" s="8" t="s">
        <v>113</v>
      </c>
      <c r="D240" s="11" t="s">
        <v>126</v>
      </c>
      <c r="E240" s="12">
        <v>13.9064452286958</v>
      </c>
      <c r="F240" s="12">
        <v>14.1723194094302</v>
      </c>
      <c r="G240" s="12">
        <v>14.681235485238499</v>
      </c>
      <c r="H240" s="12">
        <v>15.511407516512801</v>
      </c>
      <c r="I240" s="12"/>
      <c r="K240" s="168"/>
    </row>
    <row r="241" spans="2:12" x14ac:dyDescent="0.2">
      <c r="C241" s="8" t="s">
        <v>109</v>
      </c>
      <c r="D241" s="11" t="s">
        <v>126</v>
      </c>
      <c r="E241" s="12">
        <v>5.3633825069840801</v>
      </c>
      <c r="F241" s="12">
        <v>5.4207342540642696</v>
      </c>
      <c r="G241" s="12">
        <v>5.62549552600181</v>
      </c>
      <c r="H241" s="12">
        <v>5.6000588225662602</v>
      </c>
      <c r="I241" s="12"/>
      <c r="K241" s="168"/>
    </row>
    <row r="243" spans="2:12" ht="13.5" x14ac:dyDescent="0.25">
      <c r="B243" s="42" t="s">
        <v>245</v>
      </c>
      <c r="C243" s="42"/>
      <c r="D243" s="43"/>
      <c r="E243" s="42"/>
      <c r="F243" s="42"/>
      <c r="G243" s="42"/>
      <c r="H243" s="42"/>
      <c r="I243" s="42"/>
      <c r="J243" s="42"/>
      <c r="K243" s="170" t="s">
        <v>246</v>
      </c>
      <c r="L243" s="42"/>
    </row>
    <row r="245" spans="2:12" x14ac:dyDescent="0.2">
      <c r="C245" s="8" t="s">
        <v>79</v>
      </c>
      <c r="D245" s="11" t="s">
        <v>126</v>
      </c>
      <c r="E245" s="12">
        <v>0.44459397568258602</v>
      </c>
      <c r="F245" s="12">
        <v>0.21935021961416501</v>
      </c>
      <c r="G245" s="12">
        <v>0.14750721232071701</v>
      </c>
      <c r="H245" s="12">
        <v>0.119674792483659</v>
      </c>
      <c r="I245" s="12"/>
    </row>
    <row r="246" spans="2:12" x14ac:dyDescent="0.2">
      <c r="C246" s="8" t="s">
        <v>81</v>
      </c>
      <c r="D246" s="11" t="s">
        <v>126</v>
      </c>
      <c r="E246" s="12">
        <v>3.12</v>
      </c>
      <c r="F246" s="12">
        <v>3</v>
      </c>
      <c r="G246" s="12">
        <v>2.8149999999999999</v>
      </c>
      <c r="H246" s="12">
        <v>2.7370000000000001</v>
      </c>
      <c r="I246" s="12"/>
    </row>
    <row r="247" spans="2:12" x14ac:dyDescent="0.2">
      <c r="C247" s="8" t="s">
        <v>84</v>
      </c>
      <c r="D247" s="11" t="s">
        <v>126</v>
      </c>
      <c r="E247" s="12">
        <v>3.9E-2</v>
      </c>
      <c r="F247" s="12">
        <v>3.9E-2</v>
      </c>
      <c r="G247" s="12">
        <v>3.9E-2</v>
      </c>
      <c r="H247" s="12">
        <v>3.9E-2</v>
      </c>
      <c r="I247" s="12"/>
    </row>
    <row r="248" spans="2:12" x14ac:dyDescent="0.2">
      <c r="C248" s="8" t="s">
        <v>86</v>
      </c>
      <c r="D248" s="11" t="s">
        <v>126</v>
      </c>
      <c r="E248" s="12">
        <v>0.83259413699437501</v>
      </c>
      <c r="F248" s="12">
        <v>0.70673889187886596</v>
      </c>
      <c r="G248" s="12">
        <v>0.56974851329627796</v>
      </c>
      <c r="H248" s="12">
        <v>0.47135275535805798</v>
      </c>
      <c r="I248" s="12"/>
    </row>
    <row r="249" spans="2:12" x14ac:dyDescent="0.2">
      <c r="C249" s="8" t="s">
        <v>88</v>
      </c>
      <c r="D249" s="11" t="s">
        <v>126</v>
      </c>
      <c r="E249" s="12">
        <v>3.5064506078156401</v>
      </c>
      <c r="F249" s="12">
        <v>2.5334308112799699</v>
      </c>
      <c r="G249" s="12">
        <v>2.2258735380328898</v>
      </c>
      <c r="H249" s="12">
        <v>1.5701797126478301</v>
      </c>
      <c r="I249" s="12"/>
    </row>
    <row r="250" spans="2:12" x14ac:dyDescent="0.2">
      <c r="C250" s="8" t="s">
        <v>90</v>
      </c>
      <c r="D250" s="11" t="s">
        <v>126</v>
      </c>
      <c r="E250" s="12">
        <v>0.248</v>
      </c>
      <c r="F250" s="12">
        <v>0.248</v>
      </c>
      <c r="G250" s="12">
        <v>0.22900000000000001</v>
      </c>
      <c r="H250" s="12">
        <v>0.21099999999999999</v>
      </c>
      <c r="I250" s="12"/>
    </row>
    <row r="251" spans="2:12" x14ac:dyDescent="0.2">
      <c r="C251" s="8" t="s">
        <v>93</v>
      </c>
      <c r="D251" s="11" t="s">
        <v>126</v>
      </c>
      <c r="E251" s="12">
        <v>5.0919999999999996</v>
      </c>
      <c r="F251" s="12">
        <v>4.4660000000000002</v>
      </c>
      <c r="G251" s="12">
        <v>4.0030000000000001</v>
      </c>
      <c r="H251" s="12">
        <v>3.38</v>
      </c>
      <c r="I251" s="12"/>
    </row>
    <row r="252" spans="2:12" x14ac:dyDescent="0.2">
      <c r="C252" s="8" t="s">
        <v>95</v>
      </c>
      <c r="D252" s="11" t="s">
        <v>126</v>
      </c>
      <c r="E252" s="12">
        <v>3.0927842197884301</v>
      </c>
      <c r="F252" s="12">
        <v>2.9557375274596498</v>
      </c>
      <c r="G252" s="12">
        <v>2.9557375274596498</v>
      </c>
      <c r="H252" s="12">
        <v>2.1354012982008701</v>
      </c>
      <c r="I252" s="12"/>
    </row>
    <row r="253" spans="2:12" x14ac:dyDescent="0.2">
      <c r="C253" s="8" t="s">
        <v>97</v>
      </c>
      <c r="D253" s="11" t="s">
        <v>126</v>
      </c>
      <c r="E253" s="12">
        <v>5.4535751847220801</v>
      </c>
      <c r="F253" s="12">
        <v>4.9591345727330296</v>
      </c>
      <c r="G253" s="12">
        <v>4.8295161198574403</v>
      </c>
      <c r="H253" s="12">
        <v>3.8134955923541001</v>
      </c>
      <c r="I253" s="12"/>
    </row>
    <row r="254" spans="2:12" x14ac:dyDescent="0.2">
      <c r="C254" s="8" t="s">
        <v>99</v>
      </c>
      <c r="D254" s="11" t="s">
        <v>126</v>
      </c>
      <c r="E254" s="12">
        <v>0.70272878406883499</v>
      </c>
      <c r="F254" s="12">
        <v>0.70272878406883499</v>
      </c>
      <c r="G254" s="12">
        <v>0.70272878406883499</v>
      </c>
      <c r="H254" s="12">
        <v>0.70272878406883499</v>
      </c>
      <c r="I254" s="12"/>
    </row>
    <row r="255" spans="2:12" x14ac:dyDescent="0.2">
      <c r="C255" s="8" t="s">
        <v>101</v>
      </c>
      <c r="D255" s="11" t="s">
        <v>126</v>
      </c>
      <c r="E255" s="12">
        <v>4.1520032163945499</v>
      </c>
      <c r="F255" s="12">
        <v>3.72652952749154</v>
      </c>
      <c r="G255" s="12">
        <v>3.05513945745431</v>
      </c>
      <c r="H255" s="12">
        <v>1.24072694310899</v>
      </c>
      <c r="I255" s="12"/>
    </row>
    <row r="256" spans="2:12" x14ac:dyDescent="0.2">
      <c r="C256" s="8" t="s">
        <v>103</v>
      </c>
      <c r="D256" s="11" t="s">
        <v>126</v>
      </c>
      <c r="E256" s="12">
        <v>1.7305229332185399</v>
      </c>
      <c r="F256" s="12">
        <v>1.6754468631596799</v>
      </c>
      <c r="G256" s="12">
        <v>1.6301293109941299</v>
      </c>
      <c r="H256" s="12">
        <v>1.1896396162524701</v>
      </c>
      <c r="I256" s="12"/>
    </row>
    <row r="257" spans="2:12" x14ac:dyDescent="0.2">
      <c r="C257" s="8" t="s">
        <v>105</v>
      </c>
      <c r="D257" s="11" t="s">
        <v>126</v>
      </c>
      <c r="E257" s="12">
        <v>0.23200000000000001</v>
      </c>
      <c r="F257" s="12">
        <v>0.20799999999999999</v>
      </c>
      <c r="G257" s="12">
        <v>0.14299999999999999</v>
      </c>
      <c r="H257" s="12">
        <v>9.2999999999999999E-2</v>
      </c>
      <c r="I257" s="12"/>
    </row>
    <row r="258" spans="2:12" x14ac:dyDescent="0.2">
      <c r="C258" s="8" t="s">
        <v>107</v>
      </c>
      <c r="D258" s="11" t="s">
        <v>126</v>
      </c>
      <c r="E258" s="12">
        <v>0.12</v>
      </c>
      <c r="F258" s="12">
        <v>0.122</v>
      </c>
      <c r="G258" s="12">
        <v>8.5000000000000006E-2</v>
      </c>
      <c r="H258" s="12">
        <v>8.1000000000000003E-2</v>
      </c>
      <c r="I258" s="12"/>
    </row>
    <row r="259" spans="2:12" x14ac:dyDescent="0.2">
      <c r="C259" s="8" t="s">
        <v>111</v>
      </c>
      <c r="D259" s="11" t="s">
        <v>126</v>
      </c>
      <c r="E259" s="12">
        <v>0.73937991240643497</v>
      </c>
      <c r="F259" s="12">
        <v>0.65046130977862804</v>
      </c>
      <c r="G259" s="12">
        <v>0.36258211468201001</v>
      </c>
      <c r="H259" s="12">
        <v>0.19849828339774001</v>
      </c>
      <c r="I259" s="12"/>
    </row>
    <row r="260" spans="2:12" x14ac:dyDescent="0.2">
      <c r="C260" s="8" t="s">
        <v>113</v>
      </c>
      <c r="D260" s="11" t="s">
        <v>126</v>
      </c>
      <c r="E260" s="12">
        <v>0.99151567980501798</v>
      </c>
      <c r="F260" s="12">
        <v>0.87628679220211403</v>
      </c>
      <c r="G260" s="12">
        <v>0.74572410017937996</v>
      </c>
      <c r="H260" s="12">
        <v>0.43999773671474002</v>
      </c>
      <c r="I260" s="12"/>
    </row>
    <row r="261" spans="2:12" x14ac:dyDescent="0.2">
      <c r="C261" s="8" t="s">
        <v>109</v>
      </c>
      <c r="D261" s="11" t="s">
        <v>126</v>
      </c>
      <c r="E261" s="12">
        <v>4.7980538222237003E-2</v>
      </c>
      <c r="F261" s="12">
        <v>4.0093169810377902E-2</v>
      </c>
      <c r="G261" s="12">
        <v>3.57679354862694E-2</v>
      </c>
      <c r="H261" s="12">
        <v>1.6775938239191698E-2</v>
      </c>
      <c r="I261" s="12"/>
    </row>
    <row r="263" spans="2:12" ht="13.5" x14ac:dyDescent="0.25">
      <c r="B263" s="42" t="s">
        <v>247</v>
      </c>
      <c r="C263" s="42"/>
      <c r="D263" s="43"/>
      <c r="E263" s="42"/>
      <c r="F263" s="42"/>
      <c r="G263" s="42"/>
      <c r="H263" s="42"/>
      <c r="I263" s="42"/>
      <c r="J263" s="42"/>
      <c r="K263" s="170" t="s">
        <v>248</v>
      </c>
      <c r="L263" s="42"/>
    </row>
    <row r="265" spans="2:12" x14ac:dyDescent="0.2">
      <c r="C265" s="8" t="s">
        <v>79</v>
      </c>
      <c r="D265" s="11" t="s">
        <v>126</v>
      </c>
      <c r="E265" s="12">
        <v>72.107761123971642</v>
      </c>
      <c r="F265" s="12">
        <v>70.384993027619856</v>
      </c>
      <c r="G265" s="12">
        <v>76.116</v>
      </c>
      <c r="H265" s="12">
        <v>77.296603910000002</v>
      </c>
      <c r="I265" s="12"/>
      <c r="K265" s="168"/>
    </row>
    <row r="266" spans="2:12" x14ac:dyDescent="0.2">
      <c r="C266" s="8" t="s">
        <v>81</v>
      </c>
      <c r="D266" s="11" t="s">
        <v>126</v>
      </c>
      <c r="E266" s="12">
        <v>62.06</v>
      </c>
      <c r="F266" s="12">
        <v>57.381</v>
      </c>
      <c r="G266" s="12">
        <v>58.957000000000001</v>
      </c>
      <c r="H266" s="12">
        <v>56.28</v>
      </c>
      <c r="I266" s="12"/>
      <c r="K266" s="168"/>
    </row>
    <row r="267" spans="2:12" x14ac:dyDescent="0.2">
      <c r="C267" s="8" t="s">
        <v>84</v>
      </c>
      <c r="D267" s="11" t="s">
        <v>126</v>
      </c>
      <c r="E267" s="12">
        <v>2.7454121880208575</v>
      </c>
      <c r="F267" s="12">
        <v>2.5179999999999998</v>
      </c>
      <c r="G267" s="12">
        <v>2.2040000000000002</v>
      </c>
      <c r="H267" s="12">
        <v>2.83</v>
      </c>
      <c r="I267" s="12"/>
      <c r="K267" s="168" t="s">
        <v>249</v>
      </c>
    </row>
    <row r="268" spans="2:12" x14ac:dyDescent="0.2">
      <c r="C268" s="8" t="s">
        <v>86</v>
      </c>
      <c r="D268" s="11" t="s">
        <v>126</v>
      </c>
      <c r="E268" s="12">
        <v>44.024000000000008</v>
      </c>
      <c r="F268" s="12">
        <v>45.385000000000005</v>
      </c>
      <c r="G268" s="12">
        <v>49.222999999999999</v>
      </c>
      <c r="H268" s="12">
        <v>56.573</v>
      </c>
      <c r="I268" s="12"/>
      <c r="K268" s="168"/>
    </row>
    <row r="269" spans="2:12" x14ac:dyDescent="0.2">
      <c r="C269" s="8" t="s">
        <v>88</v>
      </c>
      <c r="D269" s="11" t="s">
        <v>126</v>
      </c>
      <c r="E269" s="12">
        <v>86.736000000000004</v>
      </c>
      <c r="F269" s="12">
        <v>84.555000000000007</v>
      </c>
      <c r="G269" s="12">
        <v>94.064999999999998</v>
      </c>
      <c r="H269" s="12">
        <v>99.35</v>
      </c>
      <c r="I269" s="12"/>
      <c r="K269" s="168" t="s">
        <v>250</v>
      </c>
    </row>
    <row r="270" spans="2:12" x14ac:dyDescent="0.2">
      <c r="C270" s="8" t="s">
        <v>90</v>
      </c>
      <c r="D270" s="11" t="s">
        <v>126</v>
      </c>
      <c r="E270" s="12">
        <v>34.946999999999996</v>
      </c>
      <c r="F270" s="12">
        <v>31.983000000000004</v>
      </c>
      <c r="G270" s="12">
        <v>31.05</v>
      </c>
      <c r="H270" s="12">
        <v>27.707999999999998</v>
      </c>
      <c r="I270" s="12"/>
      <c r="K270" s="168"/>
    </row>
    <row r="271" spans="2:12" x14ac:dyDescent="0.2">
      <c r="C271" s="8" t="s">
        <v>93</v>
      </c>
      <c r="D271" s="11" t="s">
        <v>126</v>
      </c>
      <c r="E271" s="12">
        <v>81.027000000000001</v>
      </c>
      <c r="F271" s="12">
        <v>86.057999999999993</v>
      </c>
      <c r="G271" s="12">
        <v>76.119</v>
      </c>
      <c r="H271" s="12">
        <v>62.948</v>
      </c>
      <c r="I271" s="12"/>
      <c r="K271" s="168"/>
    </row>
    <row r="272" spans="2:12" x14ac:dyDescent="0.2">
      <c r="C272" s="8" t="s">
        <v>95</v>
      </c>
      <c r="D272" s="11" t="s">
        <v>126</v>
      </c>
      <c r="E272" s="12">
        <v>162.24193973624713</v>
      </c>
      <c r="F272" s="12">
        <v>163.37099999999998</v>
      </c>
      <c r="G272" s="12">
        <v>171.8</v>
      </c>
      <c r="H272" s="12">
        <v>178.52799999999999</v>
      </c>
      <c r="I272" s="12"/>
      <c r="K272" s="168"/>
    </row>
    <row r="273" spans="2:12" x14ac:dyDescent="0.2">
      <c r="C273" s="8" t="s">
        <v>97</v>
      </c>
      <c r="D273" s="11" t="s">
        <v>126</v>
      </c>
      <c r="E273" s="12">
        <v>120.30515406956067</v>
      </c>
      <c r="F273" s="12">
        <v>114.45122808650557</v>
      </c>
      <c r="G273" s="12">
        <v>113.62053081025999</v>
      </c>
      <c r="H273" s="12">
        <v>110.937110907781</v>
      </c>
      <c r="I273" s="12"/>
      <c r="K273" s="168"/>
    </row>
    <row r="274" spans="2:12" x14ac:dyDescent="0.2">
      <c r="C274" s="8" t="s">
        <v>99</v>
      </c>
      <c r="D274" s="11" t="s">
        <v>126</v>
      </c>
      <c r="E274" s="12">
        <v>26.754587758045798</v>
      </c>
      <c r="F274" s="12">
        <v>27.273689046203401</v>
      </c>
      <c r="G274" s="12">
        <v>29.771088619529799</v>
      </c>
      <c r="H274" s="12">
        <v>33.957481750509103</v>
      </c>
      <c r="I274" s="12"/>
      <c r="K274" s="168"/>
    </row>
    <row r="275" spans="2:12" x14ac:dyDescent="0.2">
      <c r="C275" s="8" t="s">
        <v>101</v>
      </c>
      <c r="D275" s="11" t="s">
        <v>126</v>
      </c>
      <c r="E275" s="12">
        <v>56.061300000000003</v>
      </c>
      <c r="F275" s="12">
        <v>53.713000000000008</v>
      </c>
      <c r="G275" s="12">
        <v>57.851999999999997</v>
      </c>
      <c r="H275" s="12">
        <v>60.991</v>
      </c>
      <c r="I275" s="12"/>
      <c r="K275" s="168"/>
    </row>
    <row r="276" spans="2:12" x14ac:dyDescent="0.2">
      <c r="C276" s="8" t="s">
        <v>103</v>
      </c>
      <c r="D276" s="11" t="s">
        <v>126</v>
      </c>
      <c r="E276" s="12">
        <v>31.254999999999999</v>
      </c>
      <c r="F276" s="12">
        <v>31.374000000000002</v>
      </c>
      <c r="G276" s="12">
        <v>31.742000000000001</v>
      </c>
      <c r="H276" s="12">
        <v>27.841000000000001</v>
      </c>
      <c r="I276" s="12"/>
      <c r="K276" s="168"/>
    </row>
    <row r="277" spans="2:12" x14ac:dyDescent="0.2">
      <c r="C277" s="8" t="s">
        <v>105</v>
      </c>
      <c r="D277" s="11" t="s">
        <v>126</v>
      </c>
      <c r="E277" s="12">
        <v>8.3040000000000003</v>
      </c>
      <c r="F277" s="12">
        <v>8.3659999999999979</v>
      </c>
      <c r="G277" s="12">
        <v>9.3439999999999994</v>
      </c>
      <c r="H277" s="12">
        <v>10.942</v>
      </c>
      <c r="I277" s="12"/>
      <c r="K277" s="168"/>
    </row>
    <row r="278" spans="2:12" x14ac:dyDescent="0.2">
      <c r="C278" s="8" t="s">
        <v>107</v>
      </c>
      <c r="D278" s="11" t="s">
        <v>126</v>
      </c>
      <c r="E278" s="12">
        <v>4.7270000000000003</v>
      </c>
      <c r="F278" s="12">
        <v>4.1389999999999993</v>
      </c>
      <c r="G278" s="12">
        <v>4.9119999999999999</v>
      </c>
      <c r="H278" s="12">
        <v>4.556</v>
      </c>
      <c r="I278" s="12"/>
      <c r="K278" s="168"/>
    </row>
    <row r="279" spans="2:12" x14ac:dyDescent="0.2">
      <c r="C279" s="8" t="s">
        <v>111</v>
      </c>
      <c r="D279" s="11" t="s">
        <v>126</v>
      </c>
      <c r="E279" s="12">
        <v>17.419999999999998</v>
      </c>
      <c r="F279" s="12">
        <v>15.726000000000003</v>
      </c>
      <c r="G279" s="12">
        <v>15.176</v>
      </c>
      <c r="H279" s="12">
        <v>15.96</v>
      </c>
      <c r="I279" s="12"/>
      <c r="K279" s="168"/>
    </row>
    <row r="280" spans="2:12" x14ac:dyDescent="0.2">
      <c r="C280" s="8" t="s">
        <v>113</v>
      </c>
      <c r="D280" s="11" t="s">
        <v>126</v>
      </c>
      <c r="E280" s="12">
        <v>13.076120548859775</v>
      </c>
      <c r="F280" s="12">
        <v>12.993286066204416</v>
      </c>
      <c r="G280" s="12">
        <v>12.674204954432399</v>
      </c>
      <c r="H280" s="12">
        <v>12.945</v>
      </c>
      <c r="I280" s="12"/>
      <c r="K280" s="168"/>
    </row>
    <row r="281" spans="2:12" x14ac:dyDescent="0.2">
      <c r="C281" s="8" t="s">
        <v>109</v>
      </c>
      <c r="D281" s="11" t="s">
        <v>126</v>
      </c>
      <c r="E281" s="12">
        <v>6.2610000000000001</v>
      </c>
      <c r="F281" s="12">
        <v>6.2889999999999997</v>
      </c>
      <c r="G281" s="12">
        <v>7.1920000000000002</v>
      </c>
      <c r="H281" s="12">
        <v>8.0739999999999998</v>
      </c>
      <c r="I281" s="12"/>
      <c r="K281" s="168"/>
    </row>
    <row r="283" spans="2:12" x14ac:dyDescent="0.2">
      <c r="B283" s="45" t="s">
        <v>26</v>
      </c>
      <c r="C283" s="46"/>
      <c r="D283" s="47"/>
      <c r="E283" s="48"/>
      <c r="F283" s="48"/>
      <c r="G283" s="48"/>
      <c r="H283" s="48"/>
      <c r="I283" s="48"/>
      <c r="J283" s="48"/>
      <c r="K283" s="48"/>
      <c r="L283" s="4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outlinePr summaryBelow="0"/>
  </sheetPr>
  <dimension ref="B2:W406"/>
  <sheetViews>
    <sheetView showGridLines="0" workbookViewId="0">
      <pane ySplit="3" topLeftCell="A4" activePane="bottomLeft" state="frozen"/>
      <selection pane="bottomLeft" activeCell="A4" sqref="A4"/>
    </sheetView>
  </sheetViews>
  <sheetFormatPr defaultRowHeight="12.75" outlineLevelRow="1" x14ac:dyDescent="0.2"/>
  <cols>
    <col min="1" max="2" width="2.625" style="8" customWidth="1"/>
    <col min="3" max="3" width="23.375" style="8" bestFit="1" customWidth="1"/>
    <col min="4" max="4" width="9" style="11" customWidth="1"/>
    <col min="5" max="12" width="7.625" style="8" customWidth="1"/>
    <col min="13" max="13" width="2.625" style="8" customWidth="1"/>
    <col min="14" max="16" width="11.875" style="18" customWidth="1"/>
    <col min="17" max="17" width="9.125" style="18" customWidth="1"/>
    <col min="18" max="20" width="7.125" style="18" bestFit="1" customWidth="1"/>
    <col min="21" max="21" width="14.75" style="18" customWidth="1"/>
    <col min="22" max="22" width="6.75" style="18" bestFit="1" customWidth="1"/>
    <col min="23" max="23" width="10" style="1" customWidth="1"/>
    <col min="24" max="16384" width="9" style="8"/>
  </cols>
  <sheetData>
    <row r="2" spans="2:23" s="1" customFormat="1" x14ac:dyDescent="0.2">
      <c r="B2" s="2"/>
      <c r="C2" s="2" t="s">
        <v>169</v>
      </c>
      <c r="D2" s="3" t="s">
        <v>170</v>
      </c>
      <c r="E2" s="4" t="s">
        <v>251</v>
      </c>
      <c r="F2" s="4" t="s">
        <v>252</v>
      </c>
      <c r="G2" s="4" t="s">
        <v>253</v>
      </c>
      <c r="H2" s="4" t="s">
        <v>171</v>
      </c>
      <c r="I2" s="4" t="s">
        <v>172</v>
      </c>
      <c r="J2" s="4" t="s">
        <v>173</v>
      </c>
      <c r="K2" s="4" t="s">
        <v>150</v>
      </c>
      <c r="L2" s="4" t="s">
        <v>174</v>
      </c>
      <c r="N2" s="5" t="s">
        <v>42</v>
      </c>
      <c r="O2" s="5"/>
      <c r="P2" s="5"/>
      <c r="Q2" s="5"/>
      <c r="R2" s="5"/>
      <c r="S2" s="5"/>
      <c r="T2" s="5"/>
      <c r="U2" s="5"/>
      <c r="V2" s="5"/>
      <c r="W2" s="6"/>
    </row>
    <row r="3" spans="2:23" s="6" customFormat="1" x14ac:dyDescent="0.2">
      <c r="B3" s="7"/>
      <c r="C3" s="6" t="s">
        <v>175</v>
      </c>
      <c r="E3" s="6">
        <v>3</v>
      </c>
      <c r="F3" s="6">
        <v>4</v>
      </c>
      <c r="G3" s="6">
        <v>5</v>
      </c>
      <c r="H3" s="6">
        <v>6</v>
      </c>
      <c r="I3" s="6">
        <v>7</v>
      </c>
      <c r="J3" s="6">
        <v>8</v>
      </c>
      <c r="K3" s="6">
        <v>9</v>
      </c>
      <c r="L3" s="6">
        <v>10</v>
      </c>
    </row>
    <row r="5" spans="2:23" ht="13.5" x14ac:dyDescent="0.25">
      <c r="B5" s="9" t="s">
        <v>160</v>
      </c>
      <c r="C5" s="9"/>
      <c r="D5" s="10"/>
      <c r="E5" s="9"/>
      <c r="F5" s="9"/>
      <c r="G5" s="9"/>
      <c r="H5" s="9"/>
      <c r="I5" s="9"/>
      <c r="J5" s="9"/>
      <c r="K5" s="9"/>
      <c r="L5" s="9"/>
      <c r="M5" s="9"/>
      <c r="N5" s="171"/>
      <c r="O5" s="171"/>
      <c r="P5" s="171"/>
      <c r="Q5" s="171"/>
      <c r="R5" s="171"/>
      <c r="S5" s="171"/>
      <c r="T5" s="171"/>
      <c r="U5" s="171"/>
      <c r="V5" s="171"/>
      <c r="W5" s="172"/>
    </row>
    <row r="6" spans="2:23" outlineLevel="1" x14ac:dyDescent="0.2"/>
    <row r="7" spans="2:23" s="34" customFormat="1" ht="13.5" outlineLevel="1" x14ac:dyDescent="0.25">
      <c r="B7" s="35" t="s">
        <v>254</v>
      </c>
      <c r="C7" s="35"/>
      <c r="D7" s="32"/>
      <c r="E7" s="33"/>
      <c r="F7" s="33"/>
      <c r="G7" s="33"/>
      <c r="H7" s="33"/>
      <c r="I7" s="33"/>
      <c r="J7" s="33"/>
      <c r="K7" s="33"/>
      <c r="L7" s="33"/>
      <c r="M7" s="33"/>
      <c r="N7" s="170" t="s">
        <v>255</v>
      </c>
      <c r="O7" s="170"/>
      <c r="P7" s="170"/>
      <c r="Q7" s="170"/>
      <c r="R7" s="170"/>
      <c r="S7" s="170"/>
      <c r="T7" s="170"/>
      <c r="U7" s="170"/>
      <c r="V7" s="170"/>
      <c r="W7" s="173"/>
    </row>
    <row r="8" spans="2:23" outlineLevel="1" x14ac:dyDescent="0.2"/>
    <row r="9" spans="2:23" outlineLevel="1" x14ac:dyDescent="0.2">
      <c r="C9" s="8" t="s">
        <v>79</v>
      </c>
      <c r="D9" s="11" t="s">
        <v>134</v>
      </c>
      <c r="E9" s="12">
        <v>189.14430877213201</v>
      </c>
      <c r="F9" s="12">
        <v>192.720797385862</v>
      </c>
      <c r="G9" s="12">
        <v>191.99886023438</v>
      </c>
      <c r="H9" s="12">
        <v>182.64590090873199</v>
      </c>
      <c r="I9" s="12">
        <v>184.716123345873</v>
      </c>
      <c r="J9" s="12">
        <v>182.66</v>
      </c>
      <c r="K9" s="12">
        <v>191.24007283985699</v>
      </c>
      <c r="L9" s="12"/>
      <c r="M9" s="21"/>
      <c r="N9" s="6"/>
      <c r="O9" s="6"/>
      <c r="P9" s="6"/>
      <c r="Q9" s="6"/>
      <c r="R9" s="6"/>
      <c r="S9" s="6"/>
      <c r="T9" s="6"/>
      <c r="U9" s="6"/>
      <c r="V9" s="6"/>
    </row>
    <row r="10" spans="2:23" outlineLevel="1" x14ac:dyDescent="0.2">
      <c r="C10" s="8" t="s">
        <v>81</v>
      </c>
      <c r="D10" s="11" t="s">
        <v>134</v>
      </c>
      <c r="E10" s="12">
        <v>184.8</v>
      </c>
      <c r="F10" s="12">
        <v>183.75</v>
      </c>
      <c r="G10" s="12">
        <v>179.52</v>
      </c>
      <c r="H10" s="12">
        <v>179.86</v>
      </c>
      <c r="I10" s="12">
        <v>175.43</v>
      </c>
      <c r="J10" s="12">
        <v>172.84899999999999</v>
      </c>
      <c r="K10" s="12">
        <v>169.54</v>
      </c>
      <c r="L10" s="12"/>
      <c r="M10" s="21"/>
      <c r="N10" s="6"/>
      <c r="O10" s="6"/>
      <c r="P10" s="6"/>
      <c r="Q10" s="6"/>
      <c r="R10" s="6"/>
      <c r="S10" s="6"/>
      <c r="T10" s="6"/>
      <c r="U10" s="6"/>
      <c r="V10" s="6"/>
    </row>
    <row r="11" spans="2:23" outlineLevel="1" x14ac:dyDescent="0.2">
      <c r="C11" s="8" t="s">
        <v>84</v>
      </c>
      <c r="D11" s="11" t="s">
        <v>134</v>
      </c>
      <c r="E11" s="12">
        <v>14.132034121401718</v>
      </c>
      <c r="F11" s="12">
        <v>14.163946763937787</v>
      </c>
      <c r="G11" s="12">
        <v>14.226090648011846</v>
      </c>
      <c r="H11" s="12">
        <v>11.652000000000001</v>
      </c>
      <c r="I11" s="12">
        <v>14.37</v>
      </c>
      <c r="J11" s="12">
        <v>14.619861664762418</v>
      </c>
      <c r="K11" s="12">
        <v>15.271547781797601</v>
      </c>
      <c r="L11" s="12"/>
      <c r="M11" s="21"/>
      <c r="N11" s="6" t="s">
        <v>256</v>
      </c>
      <c r="O11" s="6"/>
      <c r="P11" s="6"/>
      <c r="Q11" s="6"/>
      <c r="R11" s="6"/>
      <c r="S11" s="6"/>
      <c r="T11" s="6"/>
      <c r="U11" s="6"/>
      <c r="V11" s="6"/>
    </row>
    <row r="12" spans="2:23" outlineLevel="1" x14ac:dyDescent="0.2">
      <c r="C12" s="8" t="s">
        <v>86</v>
      </c>
      <c r="D12" s="11" t="s">
        <v>134</v>
      </c>
      <c r="E12" s="12">
        <v>189.88</v>
      </c>
      <c r="F12" s="12">
        <v>192.42</v>
      </c>
      <c r="G12" s="12">
        <v>197.63</v>
      </c>
      <c r="H12" s="12">
        <v>197.08</v>
      </c>
      <c r="I12" s="12">
        <v>201.9</v>
      </c>
      <c r="J12" s="12">
        <v>203.21</v>
      </c>
      <c r="K12" s="12">
        <v>200.44</v>
      </c>
      <c r="L12" s="12"/>
      <c r="M12" s="21"/>
      <c r="N12" s="6"/>
      <c r="O12" s="6"/>
      <c r="P12" s="6"/>
      <c r="Q12" s="6"/>
      <c r="R12" s="6"/>
      <c r="S12" s="6"/>
      <c r="T12" s="6"/>
      <c r="U12" s="6"/>
      <c r="V12" s="6"/>
    </row>
    <row r="13" spans="2:23" outlineLevel="1" x14ac:dyDescent="0.2">
      <c r="C13" s="8" t="s">
        <v>88</v>
      </c>
      <c r="D13" s="11" t="s">
        <v>134</v>
      </c>
      <c r="E13" s="12">
        <v>436.27311311579626</v>
      </c>
      <c r="F13" s="12">
        <v>437.25829527622415</v>
      </c>
      <c r="G13" s="12">
        <v>439.17675269949331</v>
      </c>
      <c r="H13" s="12">
        <v>432.18</v>
      </c>
      <c r="I13" s="12">
        <v>430.5</v>
      </c>
      <c r="J13" s="12">
        <v>439.21999999999997</v>
      </c>
      <c r="K13" s="12">
        <v>424.36652485424298</v>
      </c>
      <c r="L13" s="12"/>
      <c r="M13" s="21"/>
      <c r="N13" s="6" t="s">
        <v>256</v>
      </c>
      <c r="O13" s="6"/>
      <c r="P13" s="6"/>
      <c r="Q13" s="6"/>
      <c r="R13" s="6"/>
      <c r="S13" s="6"/>
      <c r="T13" s="6"/>
      <c r="U13" s="6"/>
      <c r="V13" s="6"/>
    </row>
    <row r="14" spans="2:23" outlineLevel="1" x14ac:dyDescent="0.2">
      <c r="C14" s="8" t="s">
        <v>90</v>
      </c>
      <c r="D14" s="11" t="s">
        <v>134</v>
      </c>
      <c r="E14" s="12">
        <v>105.1026538608006</v>
      </c>
      <c r="F14" s="12">
        <v>104.99</v>
      </c>
      <c r="G14" s="12">
        <v>105.2396126565489</v>
      </c>
      <c r="H14" s="12">
        <v>103.38</v>
      </c>
      <c r="I14" s="12">
        <v>103.51</v>
      </c>
      <c r="J14" s="12">
        <v>102.46</v>
      </c>
      <c r="K14" s="12">
        <v>103.638918532283</v>
      </c>
      <c r="L14" s="12"/>
      <c r="M14" s="21"/>
      <c r="N14" s="6"/>
      <c r="O14" s="6"/>
      <c r="P14" s="6"/>
      <c r="Q14" s="6"/>
      <c r="R14" s="6"/>
      <c r="S14" s="6"/>
      <c r="T14" s="6"/>
      <c r="U14" s="6"/>
      <c r="V14" s="6"/>
    </row>
    <row r="15" spans="2:23" outlineLevel="1" x14ac:dyDescent="0.2">
      <c r="C15" s="8" t="s">
        <v>93</v>
      </c>
      <c r="D15" s="11" t="s">
        <v>134</v>
      </c>
      <c r="E15" s="12">
        <v>81.268901198179705</v>
      </c>
      <c r="F15" s="12">
        <v>84.59</v>
      </c>
      <c r="G15" s="12">
        <v>81.69</v>
      </c>
      <c r="H15" s="12">
        <v>83.91</v>
      </c>
      <c r="I15" s="12">
        <v>88.110156640835797</v>
      </c>
      <c r="J15" s="12">
        <v>88.680494328295197</v>
      </c>
      <c r="K15" s="12">
        <v>101.83</v>
      </c>
      <c r="L15" s="12"/>
      <c r="M15" s="21"/>
      <c r="N15" s="6"/>
      <c r="O15" s="6"/>
      <c r="P15" s="6"/>
      <c r="Q15" s="6"/>
      <c r="R15" s="6"/>
      <c r="S15" s="6"/>
      <c r="T15" s="6"/>
      <c r="U15" s="6"/>
      <c r="V15" s="6"/>
    </row>
    <row r="16" spans="2:23" outlineLevel="1" x14ac:dyDescent="0.2">
      <c r="C16" s="8" t="s">
        <v>95</v>
      </c>
      <c r="D16" s="11" t="s">
        <v>134</v>
      </c>
      <c r="E16" s="12">
        <v>645.54282745752801</v>
      </c>
      <c r="F16" s="12">
        <v>644.29999999999995</v>
      </c>
      <c r="G16" s="12">
        <v>653.96</v>
      </c>
      <c r="H16" s="12">
        <v>642.46</v>
      </c>
      <c r="I16" s="12">
        <v>677.15227390796599</v>
      </c>
      <c r="J16" s="12">
        <v>694.65</v>
      </c>
      <c r="K16" s="12">
        <v>690.39</v>
      </c>
      <c r="L16" s="12"/>
      <c r="M16" s="21"/>
      <c r="N16" s="6"/>
      <c r="O16" s="6"/>
      <c r="P16" s="6"/>
      <c r="Q16" s="6"/>
      <c r="R16" s="6"/>
      <c r="S16" s="6"/>
      <c r="T16" s="6"/>
      <c r="U16" s="6"/>
      <c r="V16" s="6"/>
    </row>
    <row r="17" spans="2:23" outlineLevel="1" x14ac:dyDescent="0.2">
      <c r="C17" s="8" t="s">
        <v>97</v>
      </c>
      <c r="D17" s="11" t="s">
        <v>134</v>
      </c>
      <c r="E17" s="12">
        <v>457.36316498791899</v>
      </c>
      <c r="F17" s="12">
        <v>451.93281348633298</v>
      </c>
      <c r="G17" s="12">
        <v>453.61355904751701</v>
      </c>
      <c r="H17" s="12">
        <v>451.85689213569498</v>
      </c>
      <c r="I17" s="12">
        <v>439.22019750905099</v>
      </c>
      <c r="J17" s="12">
        <v>453.52338212963201</v>
      </c>
      <c r="K17" s="12">
        <v>455.97429109638102</v>
      </c>
      <c r="L17" s="12"/>
      <c r="M17" s="21"/>
      <c r="N17" s="6"/>
      <c r="O17" s="6"/>
      <c r="P17" s="6"/>
      <c r="Q17" s="6"/>
      <c r="R17" s="6"/>
      <c r="S17" s="6"/>
      <c r="T17" s="6"/>
      <c r="U17" s="6"/>
      <c r="V17" s="6"/>
    </row>
    <row r="18" spans="2:23" outlineLevel="1" x14ac:dyDescent="0.2">
      <c r="C18" s="8" t="s">
        <v>99</v>
      </c>
      <c r="D18" s="11" t="s">
        <v>134</v>
      </c>
      <c r="E18" s="12">
        <v>68.52</v>
      </c>
      <c r="F18" s="12">
        <v>69.33</v>
      </c>
      <c r="G18" s="12">
        <v>68.58</v>
      </c>
      <c r="H18" s="12">
        <v>68.33</v>
      </c>
      <c r="I18" s="12">
        <v>68.349999999999994</v>
      </c>
      <c r="J18" s="12">
        <v>67.709999999999994</v>
      </c>
      <c r="K18" s="12">
        <v>66.39</v>
      </c>
      <c r="L18" s="12"/>
      <c r="M18" s="21"/>
      <c r="N18" s="6"/>
      <c r="O18" s="6"/>
      <c r="P18" s="6"/>
      <c r="Q18" s="6"/>
      <c r="R18" s="6"/>
      <c r="S18" s="6"/>
      <c r="T18" s="6"/>
      <c r="U18" s="6"/>
      <c r="V18" s="6"/>
    </row>
    <row r="19" spans="2:23" outlineLevel="1" x14ac:dyDescent="0.2">
      <c r="C19" s="8" t="s">
        <v>101</v>
      </c>
      <c r="D19" s="11" t="s">
        <v>134</v>
      </c>
      <c r="E19" s="12">
        <v>264.62</v>
      </c>
      <c r="F19" s="12">
        <v>282.27</v>
      </c>
      <c r="G19" s="12">
        <v>288.41547573538099</v>
      </c>
      <c r="H19" s="12">
        <v>285.120939363964</v>
      </c>
      <c r="I19" s="12">
        <v>295.16000000000003</v>
      </c>
      <c r="J19" s="12">
        <v>300.27999999999997</v>
      </c>
      <c r="K19" s="12">
        <v>289.77</v>
      </c>
      <c r="L19" s="12"/>
      <c r="M19" s="21"/>
      <c r="N19" s="6"/>
      <c r="O19" s="6"/>
      <c r="P19" s="6"/>
      <c r="Q19" s="6"/>
      <c r="R19" s="6"/>
      <c r="S19" s="6"/>
      <c r="T19" s="6"/>
      <c r="U19" s="6"/>
      <c r="V19" s="6"/>
    </row>
    <row r="20" spans="2:23" outlineLevel="1" x14ac:dyDescent="0.2">
      <c r="C20" s="8" t="s">
        <v>103</v>
      </c>
      <c r="D20" s="11" t="s">
        <v>134</v>
      </c>
      <c r="E20" s="12">
        <v>189.488144241199</v>
      </c>
      <c r="F20" s="12">
        <v>180.741673275225</v>
      </c>
      <c r="G20" s="12">
        <v>183.485497630921</v>
      </c>
      <c r="H20" s="12">
        <v>180.88999899999999</v>
      </c>
      <c r="I20" s="12">
        <v>172.986870233817</v>
      </c>
      <c r="J20" s="12">
        <v>177.2</v>
      </c>
      <c r="K20" s="12">
        <v>196.07640970180401</v>
      </c>
      <c r="L20" s="12"/>
      <c r="M20" s="21"/>
      <c r="N20" s="6"/>
      <c r="O20" s="6"/>
      <c r="P20" s="6"/>
      <c r="Q20" s="6"/>
      <c r="R20" s="6"/>
      <c r="S20" s="6"/>
      <c r="T20" s="6"/>
      <c r="U20" s="6"/>
      <c r="V20" s="6"/>
    </row>
    <row r="21" spans="2:23" outlineLevel="1" x14ac:dyDescent="0.2">
      <c r="C21" s="8" t="s">
        <v>105</v>
      </c>
      <c r="D21" s="11" t="s">
        <v>134</v>
      </c>
      <c r="E21" s="12">
        <v>42.1</v>
      </c>
      <c r="F21" s="12">
        <v>43.686864841972898</v>
      </c>
      <c r="G21" s="12">
        <v>45.117175086861799</v>
      </c>
      <c r="H21" s="12">
        <v>44.220819062218197</v>
      </c>
      <c r="I21" s="12">
        <v>46.42</v>
      </c>
      <c r="J21" s="12">
        <v>46.64</v>
      </c>
      <c r="K21" s="12">
        <v>41.71</v>
      </c>
      <c r="L21" s="12"/>
      <c r="M21" s="21"/>
      <c r="N21" s="6"/>
      <c r="O21" s="6"/>
      <c r="P21" s="6"/>
      <c r="Q21" s="6"/>
      <c r="R21" s="6"/>
      <c r="S21" s="6"/>
      <c r="T21" s="6"/>
      <c r="U21" s="6"/>
      <c r="V21" s="6"/>
    </row>
    <row r="22" spans="2:23" outlineLevel="1" x14ac:dyDescent="0.2">
      <c r="C22" s="8" t="s">
        <v>107</v>
      </c>
      <c r="D22" s="11" t="s">
        <v>134</v>
      </c>
      <c r="E22" s="12">
        <v>34.07</v>
      </c>
      <c r="F22" s="12">
        <v>29.5</v>
      </c>
      <c r="G22" s="12">
        <v>28.85</v>
      </c>
      <c r="H22" s="12">
        <v>28.23</v>
      </c>
      <c r="I22" s="12">
        <v>30.37</v>
      </c>
      <c r="J22" s="12">
        <v>32.869999999999997</v>
      </c>
      <c r="K22" s="12">
        <v>28.12</v>
      </c>
      <c r="L22" s="12"/>
      <c r="M22" s="21"/>
      <c r="N22" s="6"/>
      <c r="O22" s="6"/>
      <c r="P22" s="6"/>
      <c r="Q22" s="6"/>
      <c r="R22" s="6"/>
      <c r="S22" s="6"/>
      <c r="T22" s="6"/>
      <c r="U22" s="6"/>
      <c r="V22" s="6"/>
    </row>
    <row r="23" spans="2:23" outlineLevel="1" x14ac:dyDescent="0.2">
      <c r="C23" s="8" t="s">
        <v>111</v>
      </c>
      <c r="D23" s="11" t="s">
        <v>134</v>
      </c>
      <c r="E23" s="12">
        <v>93.16</v>
      </c>
      <c r="F23" s="12">
        <v>92.558189507076605</v>
      </c>
      <c r="G23" s="12">
        <v>92.452515149166402</v>
      </c>
      <c r="H23" s="12">
        <v>88.107760204071198</v>
      </c>
      <c r="I23" s="12">
        <v>88.625186521672603</v>
      </c>
      <c r="J23" s="12">
        <v>87.69</v>
      </c>
      <c r="K23" s="12">
        <v>86.88</v>
      </c>
      <c r="L23" s="12"/>
      <c r="M23" s="21"/>
      <c r="N23" s="6"/>
      <c r="O23" s="6"/>
      <c r="P23" s="6"/>
      <c r="Q23" s="6"/>
      <c r="R23" s="6"/>
      <c r="S23" s="6"/>
      <c r="T23" s="6"/>
      <c r="U23" s="6"/>
      <c r="V23" s="6"/>
    </row>
    <row r="24" spans="2:23" outlineLevel="1" x14ac:dyDescent="0.2">
      <c r="C24" s="8" t="s">
        <v>113</v>
      </c>
      <c r="D24" s="11" t="s">
        <v>134</v>
      </c>
      <c r="E24" s="12">
        <v>77.61</v>
      </c>
      <c r="F24" s="12">
        <v>79.594395391550506</v>
      </c>
      <c r="G24" s="12">
        <v>82.748233259873899</v>
      </c>
      <c r="H24" s="12">
        <v>83.119603622010601</v>
      </c>
      <c r="I24" s="12">
        <v>84.17</v>
      </c>
      <c r="J24" s="12">
        <v>86.8</v>
      </c>
      <c r="K24" s="12">
        <v>83.74</v>
      </c>
      <c r="L24" s="12"/>
      <c r="M24" s="21"/>
      <c r="N24" s="6"/>
      <c r="O24" s="6"/>
      <c r="P24" s="6"/>
      <c r="Q24" s="6"/>
      <c r="R24" s="6"/>
      <c r="S24" s="6"/>
      <c r="T24" s="6"/>
      <c r="U24" s="6"/>
      <c r="V24" s="6"/>
    </row>
    <row r="25" spans="2:23" outlineLevel="1" x14ac:dyDescent="0.2">
      <c r="C25" s="8" t="s">
        <v>109</v>
      </c>
      <c r="D25" s="11" t="s">
        <v>134</v>
      </c>
      <c r="E25" s="12">
        <v>23.74</v>
      </c>
      <c r="F25" s="12">
        <v>23.93</v>
      </c>
      <c r="G25" s="12">
        <v>24.16</v>
      </c>
      <c r="H25" s="12">
        <v>24.17</v>
      </c>
      <c r="I25" s="12">
        <v>24.34</v>
      </c>
      <c r="J25" s="12">
        <v>24.16</v>
      </c>
      <c r="K25" s="12">
        <v>24.15</v>
      </c>
      <c r="L25" s="12"/>
      <c r="M25" s="21"/>
      <c r="N25" s="6"/>
      <c r="O25" s="6"/>
      <c r="P25" s="6"/>
      <c r="Q25" s="6"/>
      <c r="R25" s="6"/>
      <c r="S25" s="6"/>
      <c r="T25" s="6"/>
      <c r="U25" s="6"/>
      <c r="V25" s="6"/>
    </row>
    <row r="26" spans="2:23" outlineLevel="1" x14ac:dyDescent="0.2"/>
    <row r="27" spans="2:23" outlineLevel="1" x14ac:dyDescent="0.2">
      <c r="C27" s="13" t="s">
        <v>257</v>
      </c>
      <c r="D27" s="14" t="s">
        <v>134</v>
      </c>
      <c r="E27" s="15">
        <f>SUM(E9:E25)</f>
        <v>3096.8151477549559</v>
      </c>
      <c r="F27" s="15">
        <f t="shared" ref="F27:L27" si="0">SUM(F9:F25)</f>
        <v>3107.7369759281814</v>
      </c>
      <c r="G27" s="15">
        <f t="shared" si="0"/>
        <v>3130.8637721481546</v>
      </c>
      <c r="H27" s="15">
        <f t="shared" si="0"/>
        <v>3087.2139142966917</v>
      </c>
      <c r="I27" s="15">
        <f t="shared" si="0"/>
        <v>3125.3308081592158</v>
      </c>
      <c r="J27" s="15">
        <f t="shared" si="0"/>
        <v>3175.2227381226894</v>
      </c>
      <c r="K27" s="15">
        <f t="shared" si="0"/>
        <v>3169.5277648063652</v>
      </c>
      <c r="L27" s="15">
        <f t="shared" si="0"/>
        <v>0</v>
      </c>
    </row>
    <row r="28" spans="2:23" outlineLevel="1" x14ac:dyDescent="0.2"/>
    <row r="29" spans="2:23" s="34" customFormat="1" ht="13.5" outlineLevel="1" x14ac:dyDescent="0.25">
      <c r="B29" s="35" t="s">
        <v>258</v>
      </c>
      <c r="C29" s="35"/>
      <c r="D29" s="32"/>
      <c r="E29" s="33"/>
      <c r="F29" s="33"/>
      <c r="G29" s="33"/>
      <c r="H29" s="33"/>
      <c r="I29" s="33"/>
      <c r="J29" s="33"/>
      <c r="K29" s="33"/>
      <c r="L29" s="33"/>
      <c r="M29" s="33"/>
      <c r="N29" s="170" t="s">
        <v>259</v>
      </c>
      <c r="O29" s="170"/>
      <c r="P29" s="170"/>
      <c r="Q29" s="170"/>
      <c r="R29" s="170"/>
      <c r="S29" s="170"/>
      <c r="T29" s="170"/>
      <c r="U29" s="170"/>
      <c r="V29" s="170"/>
      <c r="W29" s="173"/>
    </row>
    <row r="30" spans="2:23" outlineLevel="1" x14ac:dyDescent="0.2"/>
    <row r="31" spans="2:23" outlineLevel="1" x14ac:dyDescent="0.2">
      <c r="C31" s="8" t="s">
        <v>79</v>
      </c>
      <c r="D31" s="11" t="s">
        <v>136</v>
      </c>
      <c r="E31" s="16">
        <v>38006.129999999997</v>
      </c>
      <c r="F31" s="16">
        <v>38076.050000000003</v>
      </c>
      <c r="G31" s="16">
        <v>38095.050000000003</v>
      </c>
      <c r="H31" s="16">
        <v>38184.71</v>
      </c>
      <c r="I31" s="16">
        <v>38325.279999999999</v>
      </c>
      <c r="J31" s="16">
        <v>38419.65</v>
      </c>
      <c r="K31" s="16">
        <v>38584.370000000003</v>
      </c>
      <c r="L31" s="16"/>
      <c r="M31" s="21"/>
      <c r="N31" s="6"/>
      <c r="O31" s="6"/>
      <c r="P31" s="6"/>
      <c r="Q31" s="6"/>
      <c r="R31" s="6"/>
      <c r="S31" s="6"/>
      <c r="T31" s="6"/>
      <c r="U31" s="6"/>
      <c r="V31" s="6"/>
    </row>
    <row r="32" spans="2:23" outlineLevel="1" x14ac:dyDescent="0.2">
      <c r="C32" s="8" t="s">
        <v>81</v>
      </c>
      <c r="D32" s="11" t="s">
        <v>136</v>
      </c>
      <c r="E32" s="16">
        <v>27225.7</v>
      </c>
      <c r="F32" s="16">
        <v>27218.7</v>
      </c>
      <c r="G32" s="16">
        <v>27275.3</v>
      </c>
      <c r="H32" s="16">
        <v>27359.8</v>
      </c>
      <c r="I32" s="16">
        <v>27563.599999999999</v>
      </c>
      <c r="J32" s="16">
        <v>27597</v>
      </c>
      <c r="K32" s="16">
        <v>27644.400000000001</v>
      </c>
      <c r="L32" s="16"/>
      <c r="M32" s="21"/>
      <c r="N32" s="6"/>
      <c r="O32" s="6"/>
      <c r="P32" s="6"/>
      <c r="Q32" s="6"/>
      <c r="R32" s="6"/>
      <c r="S32" s="6"/>
      <c r="T32" s="6"/>
      <c r="U32" s="6"/>
      <c r="V32" s="6"/>
    </row>
    <row r="33" spans="3:22" outlineLevel="1" x14ac:dyDescent="0.2">
      <c r="C33" s="8" t="s">
        <v>84</v>
      </c>
      <c r="D33" s="11" t="s">
        <v>136</v>
      </c>
      <c r="E33" s="16">
        <v>2577.0311208885255</v>
      </c>
      <c r="F33" s="16">
        <v>2581.4933484256035</v>
      </c>
      <c r="G33" s="16">
        <v>2585.5677097198404</v>
      </c>
      <c r="H33" s="16">
        <v>2595.5297603449544</v>
      </c>
      <c r="I33" s="16">
        <v>2603.4588473424196</v>
      </c>
      <c r="J33" s="16">
        <v>2626.6137800000001</v>
      </c>
      <c r="K33" s="16">
        <v>2606.0845890000001</v>
      </c>
      <c r="L33" s="16"/>
      <c r="M33" s="21"/>
      <c r="N33" s="6" t="s">
        <v>260</v>
      </c>
      <c r="O33" s="6"/>
      <c r="P33" s="6"/>
      <c r="Q33" s="6"/>
      <c r="R33" s="6"/>
      <c r="S33" s="6"/>
      <c r="T33" s="6"/>
      <c r="U33" s="6"/>
      <c r="V33" s="6"/>
    </row>
    <row r="34" spans="3:22" outlineLevel="1" x14ac:dyDescent="0.2">
      <c r="C34" s="8" t="s">
        <v>86</v>
      </c>
      <c r="D34" s="11" t="s">
        <v>136</v>
      </c>
      <c r="E34" s="16">
        <v>25406.7</v>
      </c>
      <c r="F34" s="16">
        <v>25613</v>
      </c>
      <c r="G34" s="16">
        <v>25676.3</v>
      </c>
      <c r="H34" s="16">
        <v>25760.6</v>
      </c>
      <c r="I34" s="16">
        <v>25812.799999999999</v>
      </c>
      <c r="J34" s="16">
        <v>25912.1</v>
      </c>
      <c r="K34" s="16">
        <v>26032.3</v>
      </c>
      <c r="L34" s="16"/>
      <c r="M34" s="21"/>
      <c r="N34" s="6"/>
      <c r="O34" s="6"/>
      <c r="P34" s="6"/>
      <c r="Q34" s="6"/>
      <c r="R34" s="6"/>
      <c r="S34" s="6"/>
      <c r="T34" s="6"/>
      <c r="U34" s="6"/>
      <c r="V34" s="6"/>
    </row>
    <row r="35" spans="3:22" outlineLevel="1" x14ac:dyDescent="0.2">
      <c r="C35" s="8" t="s">
        <v>88</v>
      </c>
      <c r="D35" s="11" t="s">
        <v>136</v>
      </c>
      <c r="E35" s="16">
        <v>45975.106527863332</v>
      </c>
      <c r="F35" s="16">
        <v>46054.714175867986</v>
      </c>
      <c r="G35" s="16">
        <v>46127.402158957208</v>
      </c>
      <c r="H35" s="16">
        <v>46305.128510421557</v>
      </c>
      <c r="I35" s="16">
        <v>46446.58610339446</v>
      </c>
      <c r="J35" s="16">
        <v>46539.848021002996</v>
      </c>
      <c r="K35" s="16">
        <v>46814.915666002998</v>
      </c>
      <c r="L35" s="16"/>
      <c r="M35" s="21"/>
      <c r="N35" s="6" t="s">
        <v>260</v>
      </c>
      <c r="O35" s="6"/>
      <c r="P35" s="6"/>
      <c r="Q35" s="6"/>
      <c r="R35" s="6"/>
      <c r="S35" s="6"/>
      <c r="T35" s="6"/>
      <c r="U35" s="6"/>
      <c r="V35" s="6"/>
    </row>
    <row r="36" spans="3:22" outlineLevel="1" x14ac:dyDescent="0.2">
      <c r="C36" s="8" t="s">
        <v>90</v>
      </c>
      <c r="D36" s="11" t="s">
        <v>136</v>
      </c>
      <c r="E36" s="16">
        <v>17997.86</v>
      </c>
      <c r="F36" s="16">
        <v>18024.21</v>
      </c>
      <c r="G36" s="16">
        <v>18082.939999999999</v>
      </c>
      <c r="H36" s="16">
        <v>18117.32</v>
      </c>
      <c r="I36" s="16">
        <v>18176.099999999999</v>
      </c>
      <c r="J36" s="16">
        <v>18233</v>
      </c>
      <c r="K36" s="16">
        <v>18300.34</v>
      </c>
      <c r="L36" s="16"/>
      <c r="M36" s="21"/>
      <c r="N36" s="6"/>
      <c r="O36" s="6"/>
      <c r="P36" s="6"/>
      <c r="Q36" s="6"/>
      <c r="R36" s="6"/>
      <c r="S36" s="6"/>
      <c r="T36" s="6"/>
      <c r="U36" s="6"/>
      <c r="V36" s="6"/>
    </row>
    <row r="37" spans="3:22" outlineLevel="1" x14ac:dyDescent="0.2">
      <c r="C37" s="8" t="s">
        <v>93</v>
      </c>
      <c r="D37" s="11" t="s">
        <v>136</v>
      </c>
      <c r="E37" s="16">
        <v>13735.07</v>
      </c>
      <c r="F37" s="16">
        <v>13753.18</v>
      </c>
      <c r="G37" s="16">
        <v>13792.82</v>
      </c>
      <c r="H37" s="16">
        <v>13837.42</v>
      </c>
      <c r="I37" s="16">
        <v>13870.3045</v>
      </c>
      <c r="J37" s="16">
        <v>13905.12</v>
      </c>
      <c r="K37" s="16">
        <v>13929.4851</v>
      </c>
      <c r="L37" s="16"/>
      <c r="M37" s="21"/>
      <c r="N37" s="6"/>
      <c r="O37" s="6"/>
      <c r="P37" s="6"/>
      <c r="Q37" s="6"/>
      <c r="R37" s="6"/>
      <c r="S37" s="6"/>
      <c r="T37" s="6"/>
      <c r="U37" s="6"/>
      <c r="V37" s="6"/>
    </row>
    <row r="38" spans="3:22" outlineLevel="1" x14ac:dyDescent="0.2">
      <c r="C38" s="8" t="s">
        <v>95</v>
      </c>
      <c r="D38" s="11" t="s">
        <v>136</v>
      </c>
      <c r="E38" s="16">
        <v>31186.941609252201</v>
      </c>
      <c r="F38" s="16">
        <v>31114.729238496999</v>
      </c>
      <c r="G38" s="16">
        <v>31147.73</v>
      </c>
      <c r="H38" s="16">
        <v>31266.5</v>
      </c>
      <c r="I38" s="16">
        <v>31373.7</v>
      </c>
      <c r="J38" s="16">
        <v>31460.6</v>
      </c>
      <c r="K38" s="16">
        <v>31549.996711005999</v>
      </c>
      <c r="L38" s="16"/>
      <c r="M38" s="21"/>
      <c r="N38" s="6"/>
      <c r="O38" s="6"/>
      <c r="P38" s="6"/>
      <c r="Q38" s="6"/>
      <c r="R38" s="6"/>
      <c r="S38" s="6"/>
      <c r="T38" s="6"/>
      <c r="U38" s="6"/>
      <c r="V38" s="6"/>
    </row>
    <row r="39" spans="3:22" outlineLevel="1" x14ac:dyDescent="0.2">
      <c r="C39" s="8" t="s">
        <v>97</v>
      </c>
      <c r="D39" s="11" t="s">
        <v>136</v>
      </c>
      <c r="E39" s="16">
        <v>41578.134806973998</v>
      </c>
      <c r="F39" s="16">
        <v>41578.134806973998</v>
      </c>
      <c r="G39" s="16">
        <v>41715.672245102003</v>
      </c>
      <c r="H39" s="16">
        <v>41881.199636233003</v>
      </c>
      <c r="I39" s="16">
        <v>42010.7</v>
      </c>
      <c r="J39" s="16">
        <v>42102.877915341996</v>
      </c>
      <c r="K39" s="16">
        <v>42198.05</v>
      </c>
      <c r="L39" s="16"/>
      <c r="M39" s="21"/>
      <c r="N39" s="6"/>
      <c r="O39" s="6"/>
      <c r="P39" s="6"/>
      <c r="Q39" s="6"/>
      <c r="R39" s="6"/>
      <c r="S39" s="6"/>
      <c r="T39" s="6"/>
      <c r="U39" s="6"/>
      <c r="V39" s="6"/>
    </row>
    <row r="40" spans="3:22" outlineLevel="1" x14ac:dyDescent="0.2">
      <c r="C40" s="8" t="s">
        <v>99</v>
      </c>
      <c r="D40" s="11" t="s">
        <v>136</v>
      </c>
      <c r="E40" s="16">
        <v>11610.2</v>
      </c>
      <c r="F40" s="16">
        <v>11645.4</v>
      </c>
      <c r="G40" s="16">
        <v>11687.9</v>
      </c>
      <c r="H40" s="16">
        <v>11762</v>
      </c>
      <c r="I40" s="16">
        <v>11894.6</v>
      </c>
      <c r="J40" s="16">
        <v>11935.02</v>
      </c>
      <c r="K40" s="16">
        <v>11976.629000000001</v>
      </c>
      <c r="L40" s="16"/>
      <c r="M40" s="21"/>
      <c r="N40" s="6"/>
      <c r="O40" s="6"/>
      <c r="P40" s="6"/>
      <c r="Q40" s="6"/>
      <c r="R40" s="6"/>
      <c r="S40" s="6"/>
      <c r="T40" s="6"/>
      <c r="U40" s="6"/>
      <c r="V40" s="6"/>
    </row>
    <row r="41" spans="3:22" outlineLevel="1" x14ac:dyDescent="0.2">
      <c r="C41" s="8" t="s">
        <v>101</v>
      </c>
      <c r="D41" s="11" t="s">
        <v>136</v>
      </c>
      <c r="E41" s="16">
        <v>31274.080000000002</v>
      </c>
      <c r="F41" s="16">
        <v>31363.38</v>
      </c>
      <c r="G41" s="16">
        <v>31404.9</v>
      </c>
      <c r="H41" s="16">
        <v>31531.96</v>
      </c>
      <c r="I41" s="16">
        <v>31604.71</v>
      </c>
      <c r="J41" s="16">
        <v>31693.4</v>
      </c>
      <c r="K41" s="16">
        <v>31790.1</v>
      </c>
      <c r="L41" s="16"/>
      <c r="M41" s="21"/>
      <c r="N41" s="6"/>
      <c r="O41" s="6"/>
      <c r="P41" s="6"/>
      <c r="Q41" s="6"/>
      <c r="R41" s="6"/>
      <c r="S41" s="6"/>
      <c r="T41" s="6"/>
      <c r="U41" s="6"/>
      <c r="V41" s="6"/>
    </row>
    <row r="42" spans="3:22" outlineLevel="1" x14ac:dyDescent="0.2">
      <c r="C42" s="8" t="s">
        <v>103</v>
      </c>
      <c r="D42" s="11" t="s">
        <v>136</v>
      </c>
      <c r="E42" s="16">
        <v>16548.7132016</v>
      </c>
      <c r="F42" s="16">
        <v>16568.337314220302</v>
      </c>
      <c r="G42" s="16">
        <v>16595.528297397599</v>
      </c>
      <c r="H42" s="16">
        <v>16613.295909999601</v>
      </c>
      <c r="I42" s="16">
        <v>16636.496523473201</v>
      </c>
      <c r="J42" s="16">
        <v>16682.306095550899</v>
      </c>
      <c r="K42" s="16">
        <v>16728.8</v>
      </c>
      <c r="L42" s="16"/>
      <c r="M42" s="21"/>
      <c r="N42" s="6"/>
      <c r="O42" s="6"/>
      <c r="P42" s="6"/>
      <c r="Q42" s="6"/>
      <c r="R42" s="6"/>
      <c r="S42" s="6"/>
      <c r="T42" s="6"/>
      <c r="U42" s="6"/>
      <c r="V42" s="6"/>
    </row>
    <row r="43" spans="3:22" outlineLevel="1" x14ac:dyDescent="0.2">
      <c r="C43" s="8" t="s">
        <v>105</v>
      </c>
      <c r="D43" s="11" t="s">
        <v>136</v>
      </c>
      <c r="E43" s="16">
        <v>6677</v>
      </c>
      <c r="F43" s="16">
        <v>6708.1</v>
      </c>
      <c r="G43" s="16">
        <v>6734.1</v>
      </c>
      <c r="H43" s="16">
        <v>6747.6</v>
      </c>
      <c r="I43" s="16">
        <v>6768.3</v>
      </c>
      <c r="J43" s="16">
        <v>6828.07</v>
      </c>
      <c r="K43" s="16">
        <v>6848</v>
      </c>
      <c r="L43" s="16"/>
      <c r="M43" s="21"/>
      <c r="N43" s="6"/>
      <c r="O43" s="6"/>
      <c r="P43" s="6"/>
      <c r="Q43" s="6"/>
      <c r="R43" s="6"/>
      <c r="S43" s="6"/>
      <c r="T43" s="6"/>
      <c r="U43" s="6"/>
      <c r="V43" s="6"/>
    </row>
    <row r="44" spans="3:22" outlineLevel="1" x14ac:dyDescent="0.2">
      <c r="C44" s="8" t="s">
        <v>107</v>
      </c>
      <c r="D44" s="11" t="s">
        <v>136</v>
      </c>
      <c r="E44" s="16">
        <v>3270.5</v>
      </c>
      <c r="F44" s="16">
        <v>3280.1</v>
      </c>
      <c r="G44" s="16">
        <v>3291.8</v>
      </c>
      <c r="H44" s="16">
        <v>3306.8</v>
      </c>
      <c r="I44" s="16">
        <v>3324</v>
      </c>
      <c r="J44" s="16">
        <v>3336.6</v>
      </c>
      <c r="K44" s="16">
        <v>3348.6</v>
      </c>
      <c r="L44" s="16"/>
      <c r="M44" s="21"/>
      <c r="N44" s="6"/>
      <c r="O44" s="6"/>
      <c r="P44" s="6"/>
      <c r="Q44" s="6"/>
      <c r="R44" s="6"/>
      <c r="S44" s="6"/>
      <c r="T44" s="6"/>
      <c r="U44" s="6"/>
      <c r="V44" s="6"/>
    </row>
    <row r="45" spans="3:22" outlineLevel="1" x14ac:dyDescent="0.2">
      <c r="C45" s="8" t="s">
        <v>111</v>
      </c>
      <c r="D45" s="11" t="s">
        <v>136</v>
      </c>
      <c r="E45" s="16">
        <v>14397.9</v>
      </c>
      <c r="F45" s="16">
        <v>14437.9</v>
      </c>
      <c r="G45" s="16">
        <v>14497</v>
      </c>
      <c r="H45" s="16">
        <v>14528.47</v>
      </c>
      <c r="I45" s="16">
        <v>14557.06</v>
      </c>
      <c r="J45" s="16">
        <v>14620.7</v>
      </c>
      <c r="K45" s="16">
        <v>14652.4</v>
      </c>
      <c r="L45" s="16"/>
      <c r="M45" s="21"/>
      <c r="N45" s="6"/>
      <c r="O45" s="6"/>
      <c r="P45" s="6"/>
      <c r="Q45" s="6"/>
      <c r="R45" s="6"/>
      <c r="S45" s="6"/>
      <c r="T45" s="6"/>
      <c r="U45" s="6"/>
      <c r="V45" s="6"/>
    </row>
    <row r="46" spans="3:22" outlineLevel="1" x14ac:dyDescent="0.2">
      <c r="C46" s="8" t="s">
        <v>113</v>
      </c>
      <c r="D46" s="11" t="s">
        <v>136</v>
      </c>
      <c r="E46" s="16">
        <v>8319.86</v>
      </c>
      <c r="F46" s="16">
        <v>8333.9500000000007</v>
      </c>
      <c r="G46" s="16">
        <v>8365.7900000000009</v>
      </c>
      <c r="H46" s="16">
        <v>8386.09</v>
      </c>
      <c r="I46" s="16">
        <v>8433.1</v>
      </c>
      <c r="J46" s="16">
        <v>8490.91</v>
      </c>
      <c r="K46" s="16">
        <v>8529.8700000000008</v>
      </c>
      <c r="L46" s="16"/>
      <c r="M46" s="21"/>
      <c r="N46" s="6"/>
      <c r="O46" s="6"/>
      <c r="P46" s="6"/>
      <c r="Q46" s="6"/>
      <c r="R46" s="6"/>
      <c r="S46" s="6"/>
      <c r="T46" s="6"/>
      <c r="U46" s="6"/>
      <c r="V46" s="6"/>
    </row>
    <row r="47" spans="3:22" outlineLevel="1" x14ac:dyDescent="0.2">
      <c r="C47" s="8" t="s">
        <v>109</v>
      </c>
      <c r="D47" s="11" t="s">
        <v>136</v>
      </c>
      <c r="E47" s="16">
        <v>3443.9</v>
      </c>
      <c r="F47" s="16">
        <v>3458.6</v>
      </c>
      <c r="G47" s="16">
        <v>3465.7</v>
      </c>
      <c r="H47" s="16">
        <v>3484.3</v>
      </c>
      <c r="I47" s="16">
        <v>3474.8</v>
      </c>
      <c r="J47" s="16">
        <v>3481.05</v>
      </c>
      <c r="K47" s="16">
        <v>3499.72</v>
      </c>
      <c r="L47" s="16"/>
      <c r="M47" s="21"/>
      <c r="N47" s="6"/>
      <c r="O47" s="6"/>
      <c r="P47" s="6"/>
      <c r="Q47" s="6"/>
      <c r="R47" s="6"/>
      <c r="S47" s="6"/>
      <c r="T47" s="6"/>
      <c r="U47" s="6"/>
      <c r="V47" s="6"/>
    </row>
    <row r="48" spans="3:22" outlineLevel="1" x14ac:dyDescent="0.2"/>
    <row r="49" spans="2:23" outlineLevel="1" x14ac:dyDescent="0.2">
      <c r="C49" s="13" t="s">
        <v>257</v>
      </c>
      <c r="D49" s="14" t="s">
        <v>136</v>
      </c>
      <c r="E49" s="17">
        <f>SUM(E31:E47)</f>
        <v>339230.8272665781</v>
      </c>
      <c r="F49" s="17">
        <f t="shared" ref="F49:L49" si="1">SUM(F31:F47)</f>
        <v>339809.97888398485</v>
      </c>
      <c r="G49" s="17">
        <f t="shared" si="1"/>
        <v>340541.50041117665</v>
      </c>
      <c r="H49" s="17">
        <f t="shared" si="1"/>
        <v>341668.72381699906</v>
      </c>
      <c r="I49" s="17">
        <f t="shared" si="1"/>
        <v>342875.59597421001</v>
      </c>
      <c r="J49" s="17">
        <f t="shared" si="1"/>
        <v>343864.86581189581</v>
      </c>
      <c r="K49" s="17">
        <f t="shared" si="1"/>
        <v>345034.06106600893</v>
      </c>
      <c r="L49" s="17">
        <f t="shared" si="1"/>
        <v>0</v>
      </c>
    </row>
    <row r="50" spans="2:23" collapsed="1" x14ac:dyDescent="0.2"/>
    <row r="51" spans="2:23" ht="13.5" x14ac:dyDescent="0.25">
      <c r="B51" s="9" t="s">
        <v>261</v>
      </c>
      <c r="C51" s="9"/>
      <c r="D51" s="10"/>
      <c r="E51" s="9"/>
      <c r="F51" s="9"/>
      <c r="G51" s="9"/>
      <c r="H51" s="9"/>
      <c r="I51" s="9"/>
      <c r="J51" s="9"/>
      <c r="K51" s="9"/>
      <c r="L51" s="9"/>
      <c r="M51" s="9"/>
      <c r="N51" s="171"/>
      <c r="O51" s="171"/>
      <c r="P51" s="171"/>
      <c r="Q51" s="171"/>
      <c r="R51" s="171"/>
      <c r="S51" s="171"/>
      <c r="T51" s="171"/>
      <c r="U51" s="171"/>
      <c r="V51" s="171"/>
      <c r="W51" s="172"/>
    </row>
    <row r="52" spans="2:23" outlineLevel="1" x14ac:dyDescent="0.2"/>
    <row r="53" spans="2:23" s="34" customFormat="1" ht="13.5" outlineLevel="1" x14ac:dyDescent="0.25">
      <c r="B53" s="35" t="s">
        <v>262</v>
      </c>
      <c r="C53" s="35"/>
      <c r="D53" s="32"/>
      <c r="E53" s="33"/>
      <c r="F53" s="33"/>
      <c r="G53" s="33"/>
      <c r="H53" s="33"/>
      <c r="I53" s="33"/>
      <c r="J53" s="33"/>
      <c r="K53" s="33"/>
      <c r="L53" s="33"/>
      <c r="M53" s="33"/>
      <c r="N53" s="174" t="s">
        <v>263</v>
      </c>
      <c r="O53" s="175"/>
      <c r="P53" s="175"/>
      <c r="Q53" s="176" t="s">
        <v>251</v>
      </c>
      <c r="R53" s="176" t="s">
        <v>252</v>
      </c>
      <c r="S53" s="176" t="s">
        <v>253</v>
      </c>
      <c r="T53" s="170"/>
      <c r="U53" s="170"/>
      <c r="V53" s="170"/>
      <c r="W53" s="173"/>
    </row>
    <row r="54" spans="2:23" outlineLevel="1" x14ac:dyDescent="0.2"/>
    <row r="55" spans="2:23" outlineLevel="1" x14ac:dyDescent="0.2">
      <c r="C55" s="8" t="s">
        <v>79</v>
      </c>
      <c r="D55" s="11" t="s">
        <v>138</v>
      </c>
      <c r="E55" s="12">
        <v>13.8</v>
      </c>
      <c r="F55" s="12">
        <v>19.8</v>
      </c>
      <c r="G55" s="12">
        <v>19.170000000000002</v>
      </c>
      <c r="H55" s="12">
        <v>8.1999999999999993</v>
      </c>
      <c r="I55" s="12">
        <v>11.72</v>
      </c>
      <c r="J55" s="12">
        <v>7.4</v>
      </c>
      <c r="K55" s="12">
        <v>8.73</v>
      </c>
      <c r="L55" s="12"/>
      <c r="M55" s="21"/>
      <c r="N55" s="177" t="s">
        <v>264</v>
      </c>
    </row>
    <row r="56" spans="2:23" outlineLevel="1" x14ac:dyDescent="0.2">
      <c r="C56" s="8" t="s">
        <v>81</v>
      </c>
      <c r="D56" s="11" t="s">
        <v>138</v>
      </c>
      <c r="E56" s="12">
        <v>53</v>
      </c>
      <c r="F56" s="12">
        <v>50.6</v>
      </c>
      <c r="G56" s="12">
        <v>23</v>
      </c>
      <c r="H56" s="12">
        <v>21.7</v>
      </c>
      <c r="I56" s="12">
        <v>12.15</v>
      </c>
      <c r="J56" s="12">
        <v>43.3</v>
      </c>
      <c r="K56" s="12">
        <v>16</v>
      </c>
      <c r="L56" s="12"/>
      <c r="M56" s="21"/>
      <c r="N56" s="6" t="s">
        <v>265</v>
      </c>
      <c r="O56" s="6"/>
      <c r="P56" s="6"/>
    </row>
    <row r="57" spans="2:23" outlineLevel="1" x14ac:dyDescent="0.2">
      <c r="C57" s="8" t="s">
        <v>84</v>
      </c>
      <c r="D57" s="11" t="s">
        <v>138</v>
      </c>
      <c r="E57" s="12">
        <v>15.600000000000001</v>
      </c>
      <c r="F57" s="12">
        <v>9</v>
      </c>
      <c r="G57" s="12">
        <v>10.199999999999999</v>
      </c>
      <c r="H57" s="12">
        <v>5.2166666666666668</v>
      </c>
      <c r="I57" s="12">
        <v>21</v>
      </c>
      <c r="J57" s="12">
        <v>4.1666667000000004</v>
      </c>
      <c r="K57" s="12">
        <v>29.166666666666668</v>
      </c>
      <c r="L57" s="12"/>
      <c r="M57" s="21"/>
      <c r="N57" s="6" t="s">
        <v>266</v>
      </c>
      <c r="O57" s="6"/>
      <c r="P57" s="6"/>
    </row>
    <row r="58" spans="2:23" outlineLevel="1" x14ac:dyDescent="0.2">
      <c r="C58" s="8" t="s">
        <v>86</v>
      </c>
      <c r="D58" s="11" t="s">
        <v>138</v>
      </c>
      <c r="E58" s="12">
        <v>6.95</v>
      </c>
      <c r="F58" s="12">
        <v>4.93</v>
      </c>
      <c r="G58" s="12">
        <v>3.9333333333333336</v>
      </c>
      <c r="H58" s="12">
        <v>3.3330000000000002</v>
      </c>
      <c r="I58" s="12">
        <v>2.4333</v>
      </c>
      <c r="J58" s="12">
        <v>5.38</v>
      </c>
      <c r="K58" s="12">
        <v>9.1999999999999993</v>
      </c>
      <c r="L58" s="12"/>
      <c r="M58" s="21"/>
      <c r="N58" s="6" t="s">
        <v>267</v>
      </c>
      <c r="O58" s="6"/>
      <c r="P58" s="6"/>
    </row>
    <row r="59" spans="2:23" outlineLevel="1" x14ac:dyDescent="0.2">
      <c r="C59" s="8" t="s">
        <v>88</v>
      </c>
      <c r="D59" s="11" t="s">
        <v>138</v>
      </c>
      <c r="E59" s="12">
        <v>28.799999999999997</v>
      </c>
      <c r="F59" s="12">
        <v>15.600000000000001</v>
      </c>
      <c r="G59" s="12">
        <v>10</v>
      </c>
      <c r="H59" s="12">
        <v>11.166666666666666</v>
      </c>
      <c r="I59" s="12">
        <v>10.133333333333333</v>
      </c>
      <c r="J59" s="12">
        <v>34.283333333333331</v>
      </c>
      <c r="K59" s="12">
        <v>18.883333333333333</v>
      </c>
      <c r="L59" s="12"/>
      <c r="M59" s="21"/>
      <c r="N59" s="6" t="s">
        <v>268</v>
      </c>
      <c r="O59" s="6"/>
      <c r="P59" s="6"/>
    </row>
    <row r="60" spans="2:23" outlineLevel="1" x14ac:dyDescent="0.2">
      <c r="C60" s="8" t="s">
        <v>90</v>
      </c>
      <c r="D60" s="11" t="s">
        <v>138</v>
      </c>
      <c r="E60" s="12">
        <v>13.775960619585723</v>
      </c>
      <c r="F60" s="12">
        <v>12.316693754029476</v>
      </c>
      <c r="G60" s="12">
        <v>18.663164303696963</v>
      </c>
      <c r="H60" s="12">
        <v>20.579533772547329</v>
      </c>
      <c r="I60" s="12">
        <v>10.998082859149507</v>
      </c>
      <c r="J60" s="12">
        <v>26.272618654349042</v>
      </c>
      <c r="K60" s="12">
        <v>7.8795756149407836</v>
      </c>
      <c r="L60" s="12"/>
      <c r="M60" s="21"/>
      <c r="N60" s="6" t="s">
        <v>269</v>
      </c>
      <c r="O60" s="6"/>
      <c r="P60" s="6"/>
      <c r="R60" s="6"/>
      <c r="S60" s="6"/>
      <c r="T60" s="6"/>
      <c r="U60" s="6"/>
      <c r="V60" s="6"/>
    </row>
    <row r="61" spans="2:23" outlineLevel="1" x14ac:dyDescent="0.2">
      <c r="C61" s="8" t="s">
        <v>93</v>
      </c>
      <c r="D61" s="11" t="s">
        <v>138</v>
      </c>
      <c r="E61" s="12">
        <v>18</v>
      </c>
      <c r="F61" s="12">
        <v>10.799999999999999</v>
      </c>
      <c r="G61" s="12">
        <v>6</v>
      </c>
      <c r="H61" s="12">
        <v>12</v>
      </c>
      <c r="I61" s="12">
        <v>7</v>
      </c>
      <c r="J61" s="12">
        <v>16.77</v>
      </c>
      <c r="K61" s="12">
        <v>7.38</v>
      </c>
      <c r="L61" s="12"/>
      <c r="M61" s="21"/>
      <c r="N61" s="6" t="s">
        <v>270</v>
      </c>
      <c r="O61" s="6"/>
      <c r="P61" s="6"/>
      <c r="R61" s="6"/>
      <c r="S61" s="6"/>
      <c r="T61" s="6"/>
      <c r="U61" s="6"/>
      <c r="V61" s="6"/>
    </row>
    <row r="62" spans="2:23" outlineLevel="1" x14ac:dyDescent="0.2">
      <c r="C62" s="8" t="s">
        <v>95</v>
      </c>
      <c r="D62" s="11" t="s">
        <v>138</v>
      </c>
      <c r="E62" s="12">
        <v>13.44</v>
      </c>
      <c r="F62" s="12">
        <v>11.76</v>
      </c>
      <c r="G62" s="12">
        <v>11.1</v>
      </c>
      <c r="H62" s="12">
        <v>15.54</v>
      </c>
      <c r="I62" s="12">
        <v>10.666666666666666</v>
      </c>
      <c r="J62" s="12">
        <v>28.9</v>
      </c>
      <c r="K62" s="12">
        <v>22.05</v>
      </c>
      <c r="L62" s="12"/>
      <c r="M62" s="21"/>
      <c r="N62" s="6" t="s">
        <v>271</v>
      </c>
      <c r="O62" s="6"/>
      <c r="P62" s="6"/>
      <c r="Q62" s="6"/>
      <c r="R62" s="6"/>
      <c r="S62" s="6"/>
      <c r="T62" s="6"/>
      <c r="U62" s="6"/>
      <c r="V62" s="6"/>
    </row>
    <row r="63" spans="2:23" outlineLevel="1" x14ac:dyDescent="0.2">
      <c r="C63" s="8" t="s">
        <v>97</v>
      </c>
      <c r="D63" s="11" t="s">
        <v>138</v>
      </c>
      <c r="E63" s="12">
        <v>17.916666666666668</v>
      </c>
      <c r="F63" s="12">
        <v>9.85</v>
      </c>
      <c r="G63" s="12">
        <v>13.416666666666666</v>
      </c>
      <c r="H63" s="12">
        <v>16.7</v>
      </c>
      <c r="I63" s="12">
        <v>13.55</v>
      </c>
      <c r="J63" s="12">
        <v>13.15</v>
      </c>
      <c r="K63" s="12">
        <v>9.1666666666666661</v>
      </c>
      <c r="L63" s="12"/>
      <c r="M63" s="21"/>
      <c r="N63" s="178" t="s">
        <v>272</v>
      </c>
      <c r="O63" s="6" t="s">
        <v>273</v>
      </c>
      <c r="P63" s="6"/>
      <c r="Q63" s="6"/>
      <c r="R63" s="6"/>
      <c r="S63" s="6"/>
      <c r="T63" s="6"/>
      <c r="U63" s="6"/>
      <c r="V63" s="6"/>
    </row>
    <row r="64" spans="2:23" outlineLevel="1" x14ac:dyDescent="0.2">
      <c r="C64" s="8" t="s">
        <v>99</v>
      </c>
      <c r="D64" s="11" t="s">
        <v>138</v>
      </c>
      <c r="E64" s="12">
        <v>24</v>
      </c>
      <c r="F64" s="12">
        <v>24</v>
      </c>
      <c r="G64" s="12">
        <v>20.100000000000001</v>
      </c>
      <c r="H64" s="12">
        <v>14.3</v>
      </c>
      <c r="I64" s="12">
        <v>12.8</v>
      </c>
      <c r="J64" s="12">
        <v>12.3</v>
      </c>
      <c r="K64" s="12">
        <v>5.85</v>
      </c>
      <c r="L64" s="12"/>
      <c r="M64" s="21"/>
      <c r="N64" s="6" t="s">
        <v>274</v>
      </c>
      <c r="O64" s="6"/>
      <c r="P64" s="6"/>
      <c r="Q64" s="6"/>
      <c r="R64" s="6"/>
      <c r="S64" s="6"/>
      <c r="T64" s="6"/>
      <c r="U64" s="6"/>
      <c r="V64" s="6"/>
    </row>
    <row r="65" spans="2:23" outlineLevel="1" x14ac:dyDescent="0.2">
      <c r="C65" s="8" t="s">
        <v>101</v>
      </c>
      <c r="D65" s="11" t="s">
        <v>138</v>
      </c>
      <c r="E65" s="12">
        <v>10.200000000000001</v>
      </c>
      <c r="F65" s="12">
        <v>10.200000000000001</v>
      </c>
      <c r="G65" s="12">
        <v>9.48</v>
      </c>
      <c r="H65" s="12">
        <v>12.89</v>
      </c>
      <c r="I65" s="12">
        <v>9.7799999999999994</v>
      </c>
      <c r="J65" s="12">
        <v>6.96</v>
      </c>
      <c r="K65" s="12">
        <v>10.46</v>
      </c>
      <c r="L65" s="12"/>
      <c r="M65" s="21"/>
      <c r="N65" s="6" t="s">
        <v>275</v>
      </c>
      <c r="O65" s="6"/>
      <c r="P65" s="6"/>
      <c r="Q65" s="6"/>
      <c r="R65" s="6"/>
      <c r="S65" s="6"/>
      <c r="T65" s="6"/>
      <c r="U65" s="6"/>
      <c r="V65" s="6"/>
    </row>
    <row r="66" spans="2:23" outlineLevel="1" x14ac:dyDescent="0.2">
      <c r="C66" s="8" t="s">
        <v>103</v>
      </c>
      <c r="D66" s="11" t="s">
        <v>138</v>
      </c>
      <c r="E66" s="12">
        <v>19.461009774389954</v>
      </c>
      <c r="F66" s="12">
        <v>22.71</v>
      </c>
      <c r="G66" s="12">
        <v>27.05</v>
      </c>
      <c r="H66" s="12">
        <v>17.916666666666668</v>
      </c>
      <c r="I66" s="12">
        <v>21.11</v>
      </c>
      <c r="J66" s="12">
        <v>32.9</v>
      </c>
      <c r="K66" s="12">
        <v>12.7</v>
      </c>
      <c r="L66" s="12"/>
      <c r="M66" s="21"/>
      <c r="N66" s="6" t="s">
        <v>276</v>
      </c>
      <c r="O66" s="6"/>
      <c r="P66" s="6"/>
      <c r="Q66" s="6"/>
      <c r="R66" s="6"/>
      <c r="S66" s="6"/>
      <c r="T66" s="6"/>
      <c r="U66" s="6"/>
      <c r="V66" s="6"/>
    </row>
    <row r="67" spans="2:23" outlineLevel="1" x14ac:dyDescent="0.2">
      <c r="C67" s="8" t="s">
        <v>105</v>
      </c>
      <c r="D67" s="11" t="s">
        <v>138</v>
      </c>
      <c r="E67" s="12">
        <v>23.580000000000002</v>
      </c>
      <c r="F67" s="12">
        <v>23.46</v>
      </c>
      <c r="G67" s="12">
        <v>156.54</v>
      </c>
      <c r="H67" s="12">
        <v>15.866666666666665</v>
      </c>
      <c r="I67" s="12">
        <v>12.566666666666666</v>
      </c>
      <c r="J67" s="12">
        <v>75.983333333333334</v>
      </c>
      <c r="K67" s="12">
        <v>15.016666666666667</v>
      </c>
      <c r="L67" s="12"/>
      <c r="M67" s="21"/>
      <c r="N67" s="6" t="s">
        <v>276</v>
      </c>
      <c r="O67" s="6"/>
      <c r="P67" s="6"/>
      <c r="Q67" s="6"/>
      <c r="R67" s="6"/>
      <c r="S67" s="6"/>
      <c r="T67" s="6"/>
      <c r="U67" s="6"/>
      <c r="V67" s="6"/>
    </row>
    <row r="68" spans="2:23" outlineLevel="1" x14ac:dyDescent="0.2">
      <c r="C68" s="8" t="s">
        <v>107</v>
      </c>
      <c r="D68" s="11" t="s">
        <v>138</v>
      </c>
      <c r="E68" s="12">
        <v>4.0200000000000005</v>
      </c>
      <c r="F68" s="12">
        <v>5.1599999999999993</v>
      </c>
      <c r="G68" s="12">
        <v>8.7333333333333325</v>
      </c>
      <c r="H68" s="12">
        <v>3.5</v>
      </c>
      <c r="I68" s="12">
        <v>4.1500000000000004</v>
      </c>
      <c r="J68" s="12">
        <v>4.2833333333333332</v>
      </c>
      <c r="K68" s="12">
        <v>3.9</v>
      </c>
      <c r="L68" s="12"/>
      <c r="M68" s="21"/>
      <c r="N68" s="6" t="s">
        <v>277</v>
      </c>
      <c r="O68" s="6"/>
      <c r="P68" s="6"/>
      <c r="Q68" s="6"/>
      <c r="R68" s="6"/>
      <c r="S68" s="6"/>
      <c r="T68" s="6"/>
      <c r="U68" s="6"/>
      <c r="V68" s="6"/>
    </row>
    <row r="69" spans="2:23" outlineLevel="1" x14ac:dyDescent="0.2">
      <c r="C69" s="8" t="s">
        <v>111</v>
      </c>
      <c r="D69" s="11" t="s">
        <v>138</v>
      </c>
      <c r="E69" s="12">
        <v>13.2</v>
      </c>
      <c r="F69" s="12">
        <v>16.200000000000003</v>
      </c>
      <c r="G69" s="12">
        <v>8</v>
      </c>
      <c r="H69" s="12">
        <v>32.049999999999997</v>
      </c>
      <c r="I69" s="12">
        <v>12.9</v>
      </c>
      <c r="J69" s="12">
        <v>44.6</v>
      </c>
      <c r="K69" s="12">
        <v>14.2</v>
      </c>
      <c r="L69" s="12"/>
      <c r="M69" s="21"/>
      <c r="N69" s="6" t="s">
        <v>278</v>
      </c>
      <c r="O69" s="6"/>
      <c r="P69" s="6"/>
      <c r="Q69" s="6"/>
      <c r="R69" s="6"/>
      <c r="S69" s="6"/>
      <c r="T69" s="6"/>
      <c r="U69" s="6"/>
      <c r="V69" s="6"/>
    </row>
    <row r="70" spans="2:23" outlineLevel="1" x14ac:dyDescent="0.2">
      <c r="C70" s="8" t="s">
        <v>113</v>
      </c>
      <c r="D70" s="11" t="s">
        <v>138</v>
      </c>
      <c r="E70" s="12">
        <v>9.8436305366024133</v>
      </c>
      <c r="F70" s="12">
        <v>9</v>
      </c>
      <c r="G70" s="12">
        <v>8.2467621734578476</v>
      </c>
      <c r="H70" s="12">
        <v>4.2300000000000004</v>
      </c>
      <c r="I70" s="12">
        <v>5.18</v>
      </c>
      <c r="J70" s="12">
        <v>8.5299999999999994</v>
      </c>
      <c r="K70" s="12">
        <v>7.15</v>
      </c>
      <c r="L70" s="12"/>
      <c r="M70" s="21"/>
      <c r="N70" s="6" t="s">
        <v>279</v>
      </c>
      <c r="O70" s="6"/>
      <c r="P70" s="6"/>
      <c r="Q70" s="6"/>
      <c r="R70" s="6"/>
      <c r="S70" s="6"/>
      <c r="T70" s="6"/>
      <c r="U70" s="6"/>
      <c r="V70" s="6"/>
    </row>
    <row r="71" spans="2:23" outlineLevel="1" x14ac:dyDescent="0.2">
      <c r="C71" s="8" t="s">
        <v>109</v>
      </c>
      <c r="D71" s="11" t="s">
        <v>138</v>
      </c>
      <c r="E71" s="12">
        <v>15</v>
      </c>
      <c r="F71" s="12">
        <v>13.44</v>
      </c>
      <c r="G71" s="12">
        <v>28.799999999999997</v>
      </c>
      <c r="H71" s="12">
        <v>6</v>
      </c>
      <c r="I71" s="12">
        <v>4.38</v>
      </c>
      <c r="J71" s="12">
        <v>3</v>
      </c>
      <c r="K71" s="12">
        <v>16.200000000000003</v>
      </c>
      <c r="L71" s="12"/>
      <c r="M71" s="21"/>
      <c r="N71" s="177" t="s">
        <v>280</v>
      </c>
      <c r="O71" s="6"/>
      <c r="P71" s="6"/>
      <c r="Q71" s="6"/>
      <c r="R71" s="6"/>
      <c r="S71" s="6"/>
      <c r="T71" s="6"/>
      <c r="U71" s="6"/>
      <c r="V71" s="6"/>
    </row>
    <row r="72" spans="2:23" outlineLevel="1" x14ac:dyDescent="0.2"/>
    <row r="73" spans="2:23" outlineLevel="1" x14ac:dyDescent="0.2">
      <c r="C73" s="13" t="s">
        <v>281</v>
      </c>
      <c r="D73" s="14" t="s">
        <v>138</v>
      </c>
      <c r="E73" s="15">
        <f xml:space="preserve"> IFERROR( SUMPRODUCT( E55:E71, E77:E93 ) / E95, 0 )</f>
        <v>18.404090369608994</v>
      </c>
      <c r="F73" s="15">
        <f t="shared" ref="F73:L73" si="2" xml:space="preserve"> IFERROR( SUMPRODUCT( F55:F71, F77:F93 ) / F95, 0 )</f>
        <v>15.368371895824525</v>
      </c>
      <c r="G73" s="15">
        <f t="shared" si="2"/>
        <v>16.056692571299681</v>
      </c>
      <c r="H73" s="15">
        <f t="shared" si="2"/>
        <v>13.792617030190128</v>
      </c>
      <c r="I73" s="15">
        <f t="shared" si="2"/>
        <v>10.79018059948328</v>
      </c>
      <c r="J73" s="15">
        <f t="shared" si="2"/>
        <v>22.341757728893008</v>
      </c>
      <c r="K73" s="15">
        <f t="shared" si="2"/>
        <v>13.230771266050109</v>
      </c>
      <c r="L73" s="15">
        <f t="shared" si="2"/>
        <v>0</v>
      </c>
    </row>
    <row r="74" spans="2:23" outlineLevel="1" x14ac:dyDescent="0.2"/>
    <row r="75" spans="2:23" s="34" customFormat="1" ht="13.5" outlineLevel="1" x14ac:dyDescent="0.25">
      <c r="B75" s="35" t="s">
        <v>282</v>
      </c>
      <c r="C75" s="35"/>
      <c r="D75" s="32"/>
      <c r="E75" s="33"/>
      <c r="F75" s="33"/>
      <c r="G75" s="33"/>
      <c r="H75" s="33"/>
      <c r="I75" s="33"/>
      <c r="J75" s="33"/>
      <c r="K75" s="33"/>
      <c r="L75" s="33"/>
      <c r="M75" s="33"/>
      <c r="N75" s="170" t="s">
        <v>283</v>
      </c>
      <c r="O75" s="170"/>
      <c r="P75" s="170"/>
      <c r="Q75" s="170"/>
      <c r="R75" s="170"/>
      <c r="S75" s="170"/>
      <c r="T75" s="170"/>
      <c r="U75" s="170"/>
      <c r="V75" s="170"/>
      <c r="W75" s="173"/>
    </row>
    <row r="76" spans="2:23" outlineLevel="1" x14ac:dyDescent="0.2"/>
    <row r="77" spans="2:23" outlineLevel="1" x14ac:dyDescent="0.2">
      <c r="C77" s="8" t="s">
        <v>79</v>
      </c>
      <c r="D77" s="18" t="s">
        <v>128</v>
      </c>
      <c r="E77" s="16">
        <v>2104.6219999999998</v>
      </c>
      <c r="F77" s="16">
        <v>2120</v>
      </c>
      <c r="G77" s="16">
        <v>2137.9169999999999</v>
      </c>
      <c r="H77" s="16">
        <v>2154.5810000000001</v>
      </c>
      <c r="I77" s="16">
        <v>2160.277</v>
      </c>
      <c r="J77" s="16">
        <v>2195.7190000000001</v>
      </c>
      <c r="K77" s="16">
        <v>2218.665</v>
      </c>
      <c r="L77" s="16"/>
      <c r="M77" s="21"/>
      <c r="N77" s="6"/>
    </row>
    <row r="78" spans="2:23" outlineLevel="1" x14ac:dyDescent="0.2">
      <c r="C78" s="8" t="s">
        <v>81</v>
      </c>
      <c r="D78" s="18" t="s">
        <v>128</v>
      </c>
      <c r="E78" s="16">
        <v>1398.7239999999999</v>
      </c>
      <c r="F78" s="16">
        <v>1403.8109999999999</v>
      </c>
      <c r="G78" s="16">
        <v>1408.011</v>
      </c>
      <c r="H78" s="16">
        <v>1417.0030000000002</v>
      </c>
      <c r="I78" s="16">
        <v>1424.962</v>
      </c>
      <c r="J78" s="16">
        <v>1433.501</v>
      </c>
      <c r="K78" s="16">
        <v>1441.768</v>
      </c>
      <c r="L78" s="16"/>
      <c r="M78" s="21"/>
      <c r="N78" s="6"/>
    </row>
    <row r="79" spans="2:23" outlineLevel="1" x14ac:dyDescent="0.2">
      <c r="C79" s="8" t="s">
        <v>84</v>
      </c>
      <c r="D79" s="18" t="s">
        <v>128</v>
      </c>
      <c r="E79" s="16">
        <v>124.08499999999999</v>
      </c>
      <c r="F79" s="16">
        <v>124.748</v>
      </c>
      <c r="G79" s="16">
        <v>125.63799999999999</v>
      </c>
      <c r="H79" s="16">
        <v>126.64100000000001</v>
      </c>
      <c r="I79" s="16">
        <v>127.423</v>
      </c>
      <c r="J79" s="16">
        <v>127.92999999999999</v>
      </c>
      <c r="K79" s="16">
        <v>104.97399999999999</v>
      </c>
      <c r="L79" s="16"/>
      <c r="M79" s="21"/>
      <c r="N79" s="6" t="s">
        <v>284</v>
      </c>
    </row>
    <row r="80" spans="2:23" outlineLevel="1" x14ac:dyDescent="0.2">
      <c r="C80" s="8" t="s">
        <v>86</v>
      </c>
      <c r="D80" s="18" t="s">
        <v>128</v>
      </c>
      <c r="E80" s="16">
        <v>1965.19</v>
      </c>
      <c r="F80" s="16">
        <v>1972.577</v>
      </c>
      <c r="G80" s="16">
        <v>1984.55</v>
      </c>
      <c r="H80" s="16">
        <v>2005.971</v>
      </c>
      <c r="I80" s="16">
        <v>2021.4859999999999</v>
      </c>
      <c r="J80" s="16">
        <v>2018.673</v>
      </c>
      <c r="K80" s="16">
        <v>2029.5919999999999</v>
      </c>
      <c r="L80" s="16"/>
      <c r="M80" s="21"/>
      <c r="N80" s="6"/>
    </row>
    <row r="81" spans="3:14" outlineLevel="1" x14ac:dyDescent="0.2">
      <c r="C81" s="8" t="s">
        <v>88</v>
      </c>
      <c r="D81" s="18" t="s">
        <v>128</v>
      </c>
      <c r="E81" s="16">
        <v>3462.8650000000002</v>
      </c>
      <c r="F81" s="16">
        <v>3482.3990000000003</v>
      </c>
      <c r="G81" s="16">
        <v>3500.0930000000003</v>
      </c>
      <c r="H81" s="16">
        <v>3529.0120000000002</v>
      </c>
      <c r="I81" s="16">
        <v>3532.127</v>
      </c>
      <c r="J81" s="16">
        <v>3588.7160000000003</v>
      </c>
      <c r="K81" s="16">
        <v>3636.96</v>
      </c>
      <c r="L81" s="16"/>
      <c r="M81" s="21"/>
      <c r="N81" s="6" t="s">
        <v>285</v>
      </c>
    </row>
    <row r="82" spans="3:14" outlineLevel="1" x14ac:dyDescent="0.2">
      <c r="C82" s="8" t="s">
        <v>90</v>
      </c>
      <c r="D82" s="18" t="s">
        <v>128</v>
      </c>
      <c r="E82" s="16">
        <v>997.24699999999996</v>
      </c>
      <c r="F82" s="16">
        <v>1003.543</v>
      </c>
      <c r="G82" s="16">
        <v>1010.0990000000002</v>
      </c>
      <c r="H82" s="16">
        <v>1019.245</v>
      </c>
      <c r="I82" s="16">
        <v>1033.7059999999999</v>
      </c>
      <c r="J82" s="16">
        <v>1044.357</v>
      </c>
      <c r="K82" s="16">
        <v>1053.76</v>
      </c>
      <c r="L82" s="16"/>
      <c r="M82" s="21"/>
      <c r="N82" s="6"/>
    </row>
    <row r="83" spans="3:14" outlineLevel="1" x14ac:dyDescent="0.2">
      <c r="C83" s="8" t="s">
        <v>93</v>
      </c>
      <c r="D83" s="18" t="s">
        <v>128</v>
      </c>
      <c r="E83" s="16">
        <v>1078.4090000000001</v>
      </c>
      <c r="F83" s="16">
        <v>1084.184</v>
      </c>
      <c r="G83" s="16">
        <v>1087.2090000000001</v>
      </c>
      <c r="H83" s="16">
        <v>1093.904</v>
      </c>
      <c r="I83" s="16">
        <v>1104.087</v>
      </c>
      <c r="J83" s="16">
        <v>1114.1600000000001</v>
      </c>
      <c r="K83" s="16">
        <v>1123.4169999999999</v>
      </c>
      <c r="L83" s="16"/>
      <c r="M83" s="21"/>
      <c r="N83" s="6"/>
    </row>
    <row r="84" spans="3:14" outlineLevel="1" x14ac:dyDescent="0.2">
      <c r="C84" s="8" t="s">
        <v>95</v>
      </c>
      <c r="D84" s="18" t="s">
        <v>128</v>
      </c>
      <c r="E84" s="16">
        <v>3677.741</v>
      </c>
      <c r="F84" s="16">
        <v>3697.82</v>
      </c>
      <c r="G84" s="16">
        <v>3724.4589999999998</v>
      </c>
      <c r="H84" s="16">
        <v>3758.3599999999997</v>
      </c>
      <c r="I84" s="16">
        <v>3789.6219999999998</v>
      </c>
      <c r="J84" s="16">
        <v>3826.422</v>
      </c>
      <c r="K84" s="16">
        <v>3879.9940000000001</v>
      </c>
      <c r="L84" s="16"/>
      <c r="M84" s="21"/>
      <c r="N84" s="6"/>
    </row>
    <row r="85" spans="3:14" outlineLevel="1" x14ac:dyDescent="0.2">
      <c r="C85" s="8" t="s">
        <v>97</v>
      </c>
      <c r="D85" s="18" t="s">
        <v>128</v>
      </c>
      <c r="E85" s="16">
        <v>3224.9839999999999</v>
      </c>
      <c r="F85" s="16">
        <v>3236.3</v>
      </c>
      <c r="G85" s="16">
        <v>3250.509</v>
      </c>
      <c r="H85" s="16">
        <v>3275.078</v>
      </c>
      <c r="I85" s="16">
        <v>3293.08</v>
      </c>
      <c r="J85" s="16">
        <v>3313.1870000000004</v>
      </c>
      <c r="K85" s="16">
        <v>3344.2290000000003</v>
      </c>
      <c r="L85" s="16"/>
      <c r="M85" s="21"/>
      <c r="N85" s="6"/>
    </row>
    <row r="86" spans="3:14" outlineLevel="1" x14ac:dyDescent="0.2">
      <c r="C86" s="8" t="s">
        <v>99</v>
      </c>
      <c r="D86" s="18" t="s">
        <v>128</v>
      </c>
      <c r="E86" s="16">
        <v>593.13900000000001</v>
      </c>
      <c r="F86" s="16">
        <v>597.49199999999996</v>
      </c>
      <c r="G86" s="16">
        <v>602.25699999999995</v>
      </c>
      <c r="H86" s="16">
        <v>607.30600000000004</v>
      </c>
      <c r="I86" s="16">
        <v>612.12299999999993</v>
      </c>
      <c r="J86" s="16">
        <v>615.40800000000002</v>
      </c>
      <c r="K86" s="16">
        <v>621.10599999999999</v>
      </c>
      <c r="L86" s="16"/>
      <c r="M86" s="21"/>
      <c r="N86" s="6"/>
    </row>
    <row r="87" spans="3:14" outlineLevel="1" x14ac:dyDescent="0.2">
      <c r="C87" s="8" t="s">
        <v>101</v>
      </c>
      <c r="D87" s="18" t="s">
        <v>128</v>
      </c>
      <c r="E87" s="16">
        <v>2244.2739999999999</v>
      </c>
      <c r="F87" s="16">
        <v>2252.6019999999999</v>
      </c>
      <c r="G87" s="16">
        <v>2264.9899999999998</v>
      </c>
      <c r="H87" s="16">
        <v>2276.9300000000003</v>
      </c>
      <c r="I87" s="16">
        <v>2289.7529999999997</v>
      </c>
      <c r="J87" s="16">
        <v>2305.3179999999998</v>
      </c>
      <c r="K87" s="16">
        <v>2319.165</v>
      </c>
      <c r="L87" s="16"/>
      <c r="M87" s="21"/>
      <c r="N87" s="6"/>
    </row>
    <row r="88" spans="3:14" outlineLevel="1" x14ac:dyDescent="0.2">
      <c r="C88" s="8" t="s">
        <v>103</v>
      </c>
      <c r="D88" s="18" t="s">
        <v>128</v>
      </c>
      <c r="E88" s="16">
        <v>1450.4230000000002</v>
      </c>
      <c r="F88" s="16">
        <v>1458.376</v>
      </c>
      <c r="G88" s="16">
        <v>1465.366</v>
      </c>
      <c r="H88" s="16">
        <v>1474.943</v>
      </c>
      <c r="I88" s="16">
        <v>1490.86</v>
      </c>
      <c r="J88" s="16">
        <v>1500.1960000000001</v>
      </c>
      <c r="K88" s="16">
        <v>1513.2749999999999</v>
      </c>
      <c r="L88" s="16"/>
      <c r="M88" s="21"/>
      <c r="N88" s="6"/>
    </row>
    <row r="89" spans="3:14" outlineLevel="1" x14ac:dyDescent="0.2">
      <c r="C89" s="8" t="s">
        <v>105</v>
      </c>
      <c r="D89" s="18" t="s">
        <v>128</v>
      </c>
      <c r="E89" s="16">
        <v>516.62099999999998</v>
      </c>
      <c r="F89" s="16">
        <v>520.15499999999997</v>
      </c>
      <c r="G89" s="16">
        <v>523.18299999999999</v>
      </c>
      <c r="H89" s="16">
        <v>527.50900000000001</v>
      </c>
      <c r="I89" s="16">
        <v>530.76800000000003</v>
      </c>
      <c r="J89" s="16">
        <v>536.13800000000003</v>
      </c>
      <c r="K89" s="16">
        <v>540.93100000000004</v>
      </c>
      <c r="L89" s="16"/>
      <c r="M89" s="21"/>
      <c r="N89" s="6"/>
    </row>
    <row r="90" spans="3:14" outlineLevel="1" x14ac:dyDescent="0.2">
      <c r="C90" s="8" t="s">
        <v>107</v>
      </c>
      <c r="D90" s="18" t="s">
        <v>128</v>
      </c>
      <c r="E90" s="16">
        <v>307.43700000000001</v>
      </c>
      <c r="F90" s="16">
        <v>310.358</v>
      </c>
      <c r="G90" s="16">
        <v>312.83800000000002</v>
      </c>
      <c r="H90" s="16">
        <v>315.32</v>
      </c>
      <c r="I90" s="16">
        <v>317.77499999999998</v>
      </c>
      <c r="J90" s="16">
        <v>319.80600000000004</v>
      </c>
      <c r="K90" s="16">
        <v>321.59200000000004</v>
      </c>
      <c r="L90" s="16"/>
      <c r="M90" s="21"/>
      <c r="N90" s="6"/>
    </row>
    <row r="91" spans="3:14" outlineLevel="1" x14ac:dyDescent="0.2">
      <c r="C91" s="8" t="s">
        <v>111</v>
      </c>
      <c r="D91" s="18" t="s">
        <v>128</v>
      </c>
      <c r="E91" s="16">
        <v>897.077</v>
      </c>
      <c r="F91" s="16">
        <v>902.14800000000002</v>
      </c>
      <c r="G91" s="16">
        <v>987.05700000000002</v>
      </c>
      <c r="H91" s="16">
        <v>992.423</v>
      </c>
      <c r="I91" s="16">
        <v>1004.6220000000001</v>
      </c>
      <c r="J91" s="16">
        <v>1013.178</v>
      </c>
      <c r="K91" s="16">
        <v>1020.985</v>
      </c>
      <c r="L91" s="16"/>
      <c r="M91" s="21"/>
      <c r="N91" s="6"/>
    </row>
    <row r="92" spans="3:14" outlineLevel="1" x14ac:dyDescent="0.2">
      <c r="C92" s="8" t="s">
        <v>113</v>
      </c>
      <c r="D92" s="18" t="s">
        <v>128</v>
      </c>
      <c r="E92" s="16">
        <v>703.92899999999997</v>
      </c>
      <c r="F92" s="16">
        <v>710.26099999999997</v>
      </c>
      <c r="G92" s="16">
        <v>721.84300000000007</v>
      </c>
      <c r="H92" s="16">
        <v>724.928</v>
      </c>
      <c r="I92" s="16">
        <v>728.84800000000007</v>
      </c>
      <c r="J92" s="16">
        <v>735.85799999999995</v>
      </c>
      <c r="K92" s="16">
        <v>737.11399999999992</v>
      </c>
      <c r="L92" s="16"/>
      <c r="M92" s="21"/>
      <c r="N92" s="6"/>
    </row>
    <row r="93" spans="3:14" outlineLevel="1" x14ac:dyDescent="0.2">
      <c r="C93" s="8" t="s">
        <v>109</v>
      </c>
      <c r="D93" s="18" t="s">
        <v>128</v>
      </c>
      <c r="E93" s="16">
        <v>282.01600000000002</v>
      </c>
      <c r="F93" s="16">
        <v>283.77199999999999</v>
      </c>
      <c r="G93" s="16">
        <v>285.613</v>
      </c>
      <c r="H93" s="16">
        <v>287.08999999999997</v>
      </c>
      <c r="I93" s="16">
        <v>288.66800000000001</v>
      </c>
      <c r="J93" s="16">
        <v>291.35199999999998</v>
      </c>
      <c r="K93" s="16">
        <v>292.34700000000004</v>
      </c>
      <c r="L93" s="16"/>
      <c r="M93" s="21"/>
      <c r="N93" s="6"/>
    </row>
    <row r="94" spans="3:14" outlineLevel="1" x14ac:dyDescent="0.2"/>
    <row r="95" spans="3:14" outlineLevel="1" x14ac:dyDescent="0.2">
      <c r="C95" s="13" t="s">
        <v>257</v>
      </c>
      <c r="D95" s="14" t="s">
        <v>128</v>
      </c>
      <c r="E95" s="17">
        <f>SUM(E77:E93)</f>
        <v>25028.782999999999</v>
      </c>
      <c r="F95" s="17">
        <f t="shared" ref="F95:L95" si="3">SUM(F77:F93)</f>
        <v>25160.545999999995</v>
      </c>
      <c r="G95" s="17">
        <f t="shared" si="3"/>
        <v>25391.632000000009</v>
      </c>
      <c r="H95" s="17">
        <f t="shared" si="3"/>
        <v>25586.243999999999</v>
      </c>
      <c r="I95" s="17">
        <f t="shared" si="3"/>
        <v>25750.187000000002</v>
      </c>
      <c r="J95" s="17">
        <f t="shared" si="3"/>
        <v>25979.918999999998</v>
      </c>
      <c r="K95" s="17">
        <f>SUM(K77:K93)</f>
        <v>26199.874000000007</v>
      </c>
      <c r="L95" s="17">
        <f t="shared" si="3"/>
        <v>0</v>
      </c>
    </row>
    <row r="97" spans="2:23" ht="13.5" x14ac:dyDescent="0.25">
      <c r="B97" s="9" t="s">
        <v>162</v>
      </c>
      <c r="C97" s="9"/>
      <c r="D97" s="10"/>
      <c r="E97" s="9"/>
      <c r="F97" s="9"/>
      <c r="G97" s="9"/>
      <c r="H97" s="9"/>
      <c r="I97" s="9"/>
      <c r="J97" s="9"/>
      <c r="K97" s="9"/>
      <c r="L97" s="9"/>
      <c r="M97" s="9"/>
      <c r="N97" s="171"/>
      <c r="O97" s="171"/>
      <c r="P97" s="171"/>
      <c r="Q97" s="171"/>
      <c r="R97" s="171"/>
      <c r="S97" s="171"/>
      <c r="T97" s="171"/>
      <c r="U97" s="171"/>
      <c r="V97" s="171"/>
      <c r="W97" s="172"/>
    </row>
    <row r="98" spans="2:23" outlineLevel="1" x14ac:dyDescent="0.2"/>
    <row r="99" spans="2:23" s="34" customFormat="1" ht="13.5" outlineLevel="1" x14ac:dyDescent="0.25">
      <c r="B99" s="35" t="s">
        <v>286</v>
      </c>
      <c r="C99" s="35"/>
      <c r="D99" s="32"/>
      <c r="E99" s="33"/>
      <c r="F99" s="33"/>
      <c r="G99" s="33"/>
      <c r="H99" s="33"/>
      <c r="I99" s="33"/>
      <c r="J99" s="33"/>
      <c r="K99" s="33"/>
      <c r="L99" s="33"/>
      <c r="M99" s="33"/>
      <c r="N99" s="170" t="s">
        <v>287</v>
      </c>
      <c r="O99" s="170"/>
      <c r="P99" s="170"/>
      <c r="Q99" s="170"/>
      <c r="R99" s="170"/>
      <c r="S99" s="267" t="s">
        <v>288</v>
      </c>
      <c r="T99" s="267" t="s">
        <v>289</v>
      </c>
      <c r="U99" s="170"/>
      <c r="V99" s="170"/>
      <c r="W99" s="173"/>
    </row>
    <row r="100" spans="2:23" outlineLevel="1" x14ac:dyDescent="0.2"/>
    <row r="101" spans="2:23" outlineLevel="1" x14ac:dyDescent="0.2">
      <c r="C101" s="8" t="s">
        <v>79</v>
      </c>
      <c r="D101" s="18" t="s">
        <v>140</v>
      </c>
      <c r="E101" s="12">
        <v>1.59</v>
      </c>
      <c r="F101" s="12">
        <v>1.54</v>
      </c>
      <c r="G101" s="12">
        <v>1.48</v>
      </c>
      <c r="H101" s="12">
        <v>1.38</v>
      </c>
      <c r="I101" s="12">
        <v>1.38</v>
      </c>
      <c r="J101" s="12">
        <v>1.23</v>
      </c>
      <c r="K101" s="12">
        <v>1.18</v>
      </c>
      <c r="L101" s="12"/>
      <c r="M101" s="21"/>
      <c r="N101" s="179" t="s">
        <v>290</v>
      </c>
      <c r="P101" s="6" t="s">
        <v>291</v>
      </c>
    </row>
    <row r="102" spans="2:23" outlineLevel="1" x14ac:dyDescent="0.2">
      <c r="C102" s="8" t="s">
        <v>81</v>
      </c>
      <c r="D102" s="18" t="s">
        <v>140</v>
      </c>
      <c r="E102" s="12">
        <v>3.3</v>
      </c>
      <c r="F102" s="12">
        <v>3.92</v>
      </c>
      <c r="G102" s="12">
        <v>3.53</v>
      </c>
      <c r="H102" s="12">
        <v>3.29</v>
      </c>
      <c r="I102" s="12">
        <v>3.48</v>
      </c>
      <c r="J102" s="12">
        <v>3.27</v>
      </c>
      <c r="K102" s="12">
        <v>3.42</v>
      </c>
      <c r="L102" s="12"/>
      <c r="M102" s="21"/>
      <c r="N102" s="179" t="s">
        <v>290</v>
      </c>
    </row>
    <row r="103" spans="2:23" outlineLevel="1" x14ac:dyDescent="0.2">
      <c r="C103" s="8" t="s">
        <v>84</v>
      </c>
      <c r="D103" s="18" t="s">
        <v>140</v>
      </c>
      <c r="E103" s="12">
        <v>5.03</v>
      </c>
      <c r="F103" s="12">
        <v>6.37</v>
      </c>
      <c r="G103" s="12">
        <v>3.71</v>
      </c>
      <c r="H103" s="12">
        <v>2.72</v>
      </c>
      <c r="I103" s="12">
        <v>2.7</v>
      </c>
      <c r="J103" s="12">
        <v>2.1</v>
      </c>
      <c r="K103" s="12">
        <v>2.87</v>
      </c>
      <c r="L103" s="12"/>
      <c r="M103" s="21"/>
      <c r="N103" s="178" t="s">
        <v>292</v>
      </c>
      <c r="O103" s="179" t="s">
        <v>150</v>
      </c>
      <c r="P103" s="6" t="s">
        <v>293</v>
      </c>
    </row>
    <row r="104" spans="2:23" outlineLevel="1" x14ac:dyDescent="0.2">
      <c r="C104" s="8" t="s">
        <v>86</v>
      </c>
      <c r="D104" s="18" t="s">
        <v>140</v>
      </c>
      <c r="E104" s="12">
        <v>1.9649998034287273</v>
      </c>
      <c r="F104" s="12">
        <v>1.8737042690541028</v>
      </c>
      <c r="G104" s="12">
        <v>1.6451997175438333</v>
      </c>
      <c r="H104" s="12">
        <v>1.432199814112683</v>
      </c>
      <c r="I104" s="12">
        <v>1.4942303829234704</v>
      </c>
      <c r="J104" s="12">
        <v>1.3444443672008064</v>
      </c>
      <c r="K104" s="12">
        <v>1.3425628323507699</v>
      </c>
      <c r="L104" s="12"/>
      <c r="M104" s="21"/>
      <c r="N104" s="179" t="s">
        <v>294</v>
      </c>
      <c r="O104" s="178" t="s">
        <v>295</v>
      </c>
      <c r="P104" s="6" t="s">
        <v>296</v>
      </c>
    </row>
    <row r="105" spans="2:23" outlineLevel="1" x14ac:dyDescent="0.2">
      <c r="C105" s="8" t="s">
        <v>88</v>
      </c>
      <c r="D105" s="18" t="s">
        <v>140</v>
      </c>
      <c r="E105" s="12">
        <v>1.73</v>
      </c>
      <c r="F105" s="12">
        <v>1.86</v>
      </c>
      <c r="G105" s="12">
        <v>1.92</v>
      </c>
      <c r="H105" s="12">
        <v>1.95</v>
      </c>
      <c r="I105" s="12">
        <v>1.98</v>
      </c>
      <c r="J105" s="12">
        <v>1.74</v>
      </c>
      <c r="K105" s="12">
        <v>1.64</v>
      </c>
      <c r="L105" s="12"/>
      <c r="M105" s="21"/>
      <c r="N105" s="179" t="s">
        <v>290</v>
      </c>
      <c r="P105" s="6" t="s">
        <v>297</v>
      </c>
    </row>
    <row r="106" spans="2:23" outlineLevel="1" x14ac:dyDescent="0.2">
      <c r="C106" s="8" t="s">
        <v>90</v>
      </c>
      <c r="D106" s="18" t="s">
        <v>140</v>
      </c>
      <c r="E106" s="12">
        <v>4.71</v>
      </c>
      <c r="F106" s="12">
        <v>4.9901726705006526</v>
      </c>
      <c r="G106" s="12">
        <v>3.39</v>
      </c>
      <c r="H106" s="12">
        <v>3.0099217877094975</v>
      </c>
      <c r="I106" s="12">
        <v>2.79</v>
      </c>
      <c r="J106" s="12">
        <v>2.4300000000000002</v>
      </c>
      <c r="K106" s="12">
        <v>2.4178379147778002</v>
      </c>
      <c r="L106" s="12"/>
      <c r="M106" s="21"/>
      <c r="N106" s="179" t="s">
        <v>298</v>
      </c>
      <c r="O106" s="179" t="s">
        <v>299</v>
      </c>
      <c r="P106" s="6" t="s">
        <v>300</v>
      </c>
    </row>
    <row r="107" spans="2:23" outlineLevel="1" x14ac:dyDescent="0.2">
      <c r="C107" s="8" t="s">
        <v>93</v>
      </c>
      <c r="D107" s="18" t="s">
        <v>140</v>
      </c>
      <c r="E107" s="12">
        <v>1.57</v>
      </c>
      <c r="F107" s="12">
        <v>1.48</v>
      </c>
      <c r="G107" s="12">
        <v>1.42</v>
      </c>
      <c r="H107" s="12">
        <v>1.29</v>
      </c>
      <c r="I107" s="12">
        <v>1.45</v>
      </c>
      <c r="J107" s="12">
        <v>1.4</v>
      </c>
      <c r="K107" s="12">
        <v>1.26</v>
      </c>
      <c r="L107" s="12"/>
      <c r="M107" s="21"/>
      <c r="N107" s="179" t="s">
        <v>290</v>
      </c>
    </row>
    <row r="108" spans="2:23" outlineLevel="1" x14ac:dyDescent="0.2">
      <c r="C108" s="8" t="s">
        <v>95</v>
      </c>
      <c r="D108" s="18" t="s">
        <v>140</v>
      </c>
      <c r="E108" s="12">
        <v>0.69</v>
      </c>
      <c r="F108" s="12">
        <v>0.6</v>
      </c>
      <c r="G108" s="12">
        <v>0.56999999999999995</v>
      </c>
      <c r="H108" s="12">
        <v>0.64</v>
      </c>
      <c r="I108" s="12">
        <v>0.61</v>
      </c>
      <c r="J108" s="12">
        <v>0.57999999999999996</v>
      </c>
      <c r="K108" s="12">
        <v>0.61</v>
      </c>
      <c r="L108" s="12"/>
      <c r="M108" s="21"/>
      <c r="N108" s="179" t="s">
        <v>290</v>
      </c>
    </row>
    <row r="109" spans="2:23" outlineLevel="1" x14ac:dyDescent="0.2">
      <c r="C109" s="8" t="s">
        <v>97</v>
      </c>
      <c r="D109" s="18" t="s">
        <v>140</v>
      </c>
      <c r="E109" s="12">
        <v>2.29</v>
      </c>
      <c r="F109" s="12">
        <v>2.1</v>
      </c>
      <c r="G109" s="12">
        <v>1.99</v>
      </c>
      <c r="H109" s="12">
        <v>1.8</v>
      </c>
      <c r="I109" s="12">
        <v>1.84</v>
      </c>
      <c r="J109" s="12">
        <v>2.13</v>
      </c>
      <c r="K109" s="12">
        <v>2.06</v>
      </c>
      <c r="L109" s="12"/>
      <c r="M109" s="21"/>
      <c r="N109" s="179" t="s">
        <v>290</v>
      </c>
    </row>
    <row r="110" spans="2:23" outlineLevel="1" x14ac:dyDescent="0.2">
      <c r="C110" s="8" t="s">
        <v>99</v>
      </c>
      <c r="D110" s="18" t="s">
        <v>140</v>
      </c>
      <c r="E110" s="12">
        <v>2.4500000000000002</v>
      </c>
      <c r="F110" s="12">
        <v>2.33</v>
      </c>
      <c r="G110" s="12">
        <v>2.36</v>
      </c>
      <c r="H110" s="12">
        <v>1.9</v>
      </c>
      <c r="I110" s="12">
        <v>1.68</v>
      </c>
      <c r="J110" s="12">
        <v>1.56</v>
      </c>
      <c r="K110" s="12">
        <v>1.54</v>
      </c>
      <c r="L110" s="12"/>
      <c r="M110" s="21"/>
      <c r="N110" s="179" t="s">
        <v>290</v>
      </c>
    </row>
    <row r="111" spans="2:23" outlineLevel="1" x14ac:dyDescent="0.2">
      <c r="C111" s="8" t="s">
        <v>101</v>
      </c>
      <c r="D111" s="18" t="s">
        <v>140</v>
      </c>
      <c r="E111" s="12">
        <v>2.4500000000000002</v>
      </c>
      <c r="F111" s="12">
        <v>2.74</v>
      </c>
      <c r="G111" s="12">
        <v>2.2200000000000002</v>
      </c>
      <c r="H111" s="12">
        <v>2.15</v>
      </c>
      <c r="I111" s="12">
        <v>1.94</v>
      </c>
      <c r="J111" s="12">
        <v>1.51</v>
      </c>
      <c r="K111" s="12">
        <v>1.64</v>
      </c>
      <c r="L111" s="12"/>
      <c r="M111" s="21"/>
      <c r="N111" s="179" t="s">
        <v>290</v>
      </c>
    </row>
    <row r="112" spans="2:23" outlineLevel="1" x14ac:dyDescent="0.2">
      <c r="C112" s="8" t="s">
        <v>103</v>
      </c>
      <c r="D112" s="18" t="s">
        <v>140</v>
      </c>
      <c r="E112" s="12">
        <v>1.1000000000000001</v>
      </c>
      <c r="F112" s="12">
        <v>1.08</v>
      </c>
      <c r="G112" s="12">
        <v>1.07</v>
      </c>
      <c r="H112" s="12">
        <v>0.98</v>
      </c>
      <c r="I112" s="12">
        <v>0.96</v>
      </c>
      <c r="J112" s="12">
        <v>0.83</v>
      </c>
      <c r="K112" s="12">
        <v>0.82</v>
      </c>
      <c r="L112" s="12"/>
      <c r="M112" s="21"/>
      <c r="N112" s="180" t="s">
        <v>290</v>
      </c>
    </row>
    <row r="113" spans="2:23" outlineLevel="1" x14ac:dyDescent="0.2">
      <c r="C113" s="8" t="s">
        <v>105</v>
      </c>
      <c r="D113" s="18" t="s">
        <v>140</v>
      </c>
      <c r="E113" s="12">
        <v>2.15</v>
      </c>
      <c r="F113" s="12">
        <v>1.87</v>
      </c>
      <c r="G113" s="12">
        <v>2.13</v>
      </c>
      <c r="H113" s="12">
        <v>1.93</v>
      </c>
      <c r="I113" s="12">
        <v>1.8</v>
      </c>
      <c r="J113" s="12">
        <v>1.53</v>
      </c>
      <c r="K113" s="12">
        <v>1.69</v>
      </c>
      <c r="L113" s="12"/>
      <c r="M113" s="21"/>
      <c r="N113" s="179" t="s">
        <v>290</v>
      </c>
    </row>
    <row r="114" spans="2:23" outlineLevel="1" x14ac:dyDescent="0.2">
      <c r="C114" s="8" t="s">
        <v>107</v>
      </c>
      <c r="D114" s="18" t="s">
        <v>140</v>
      </c>
      <c r="E114" s="12">
        <v>0.55000000000000004</v>
      </c>
      <c r="F114" s="12">
        <v>0.43</v>
      </c>
      <c r="G114" s="12">
        <v>0.84</v>
      </c>
      <c r="H114" s="12">
        <v>0.56999999999999995</v>
      </c>
      <c r="I114" s="12">
        <v>0.67</v>
      </c>
      <c r="J114" s="12">
        <v>0.55000000000000004</v>
      </c>
      <c r="K114" s="12">
        <v>0.44</v>
      </c>
      <c r="L114" s="12"/>
      <c r="M114" s="21"/>
      <c r="N114" s="179" t="s">
        <v>290</v>
      </c>
    </row>
    <row r="115" spans="2:23" outlineLevel="1" x14ac:dyDescent="0.2">
      <c r="C115" s="8" t="s">
        <v>111</v>
      </c>
      <c r="D115" s="18" t="s">
        <v>140</v>
      </c>
      <c r="E115" s="12">
        <v>2.4500000000000002</v>
      </c>
      <c r="F115" s="12">
        <v>2.4700000000000002</v>
      </c>
      <c r="G115" s="12">
        <v>2.37</v>
      </c>
      <c r="H115" s="12">
        <v>2.1800000000000002</v>
      </c>
      <c r="I115" s="12">
        <v>1.98</v>
      </c>
      <c r="J115" s="12">
        <v>1.89</v>
      </c>
      <c r="K115" s="12">
        <v>1.52</v>
      </c>
      <c r="L115" s="12"/>
      <c r="M115" s="21"/>
      <c r="N115" s="179" t="s">
        <v>290</v>
      </c>
    </row>
    <row r="116" spans="2:23" outlineLevel="1" x14ac:dyDescent="0.2">
      <c r="C116" s="8" t="s">
        <v>113</v>
      </c>
      <c r="D116" s="18" t="s">
        <v>140</v>
      </c>
      <c r="E116" s="12">
        <v>1.8080192685007819</v>
      </c>
      <c r="F116" s="12">
        <v>1.8319879749787897</v>
      </c>
      <c r="G116" s="12">
        <v>1.5530483236640704</v>
      </c>
      <c r="H116" s="12">
        <v>1.9566133047707273</v>
      </c>
      <c r="I116" s="12">
        <v>1.662817804602037</v>
      </c>
      <c r="J116" s="12">
        <v>1.417778366914104</v>
      </c>
      <c r="K116" s="12">
        <v>1.5069135802469136</v>
      </c>
      <c r="L116" s="12"/>
      <c r="M116" s="21"/>
      <c r="N116" s="179" t="s">
        <v>301</v>
      </c>
      <c r="O116" s="179" t="s">
        <v>302</v>
      </c>
      <c r="P116" s="6" t="s">
        <v>303</v>
      </c>
    </row>
    <row r="117" spans="2:23" outlineLevel="1" x14ac:dyDescent="0.2">
      <c r="C117" s="8" t="s">
        <v>109</v>
      </c>
      <c r="D117" s="18" t="s">
        <v>140</v>
      </c>
      <c r="E117" s="12">
        <v>0.59</v>
      </c>
      <c r="F117" s="12">
        <v>0.53</v>
      </c>
      <c r="G117" s="12">
        <v>0.85</v>
      </c>
      <c r="H117" s="12">
        <v>0.65</v>
      </c>
      <c r="I117" s="12">
        <v>0.56999999999999995</v>
      </c>
      <c r="J117" s="12">
        <v>0.56000000000000005</v>
      </c>
      <c r="K117" s="12">
        <v>0.59</v>
      </c>
      <c r="L117" s="12"/>
      <c r="M117" s="21"/>
      <c r="N117" s="179" t="s">
        <v>290</v>
      </c>
    </row>
    <row r="118" spans="2:23" outlineLevel="1" x14ac:dyDescent="0.2"/>
    <row r="119" spans="2:23" outlineLevel="1" x14ac:dyDescent="0.2">
      <c r="C119" s="13" t="s">
        <v>281</v>
      </c>
      <c r="D119" s="3" t="s">
        <v>140</v>
      </c>
      <c r="E119" s="15">
        <f xml:space="preserve"> IFERROR( E141 / SUMPRODUCT( E123:E139, 1 / E101:E117 ), 0 )</f>
        <v>1.8982542478409563</v>
      </c>
      <c r="F119" s="15">
        <f t="shared" ref="F119:L119" si="4" xml:space="preserve"> IFERROR( F141 / SUMPRODUCT( F123:F139, 1 / F101:F117 ), 0 )</f>
        <v>1.9150693772813581</v>
      </c>
      <c r="G119" s="15">
        <f t="shared" si="4"/>
        <v>1.7468939141353119</v>
      </c>
      <c r="H119" s="15">
        <f t="shared" si="4"/>
        <v>1.6441807970507882</v>
      </c>
      <c r="I119" s="15">
        <f t="shared" si="4"/>
        <v>1.6191119500356572</v>
      </c>
      <c r="J119" s="15">
        <f t="shared" si="4"/>
        <v>1.4972436931475064</v>
      </c>
      <c r="K119" s="15">
        <f t="shared" si="4"/>
        <v>1.4790035017671681</v>
      </c>
      <c r="L119" s="15">
        <f t="shared" si="4"/>
        <v>0</v>
      </c>
    </row>
    <row r="120" spans="2:23" outlineLevel="1" x14ac:dyDescent="0.2"/>
    <row r="121" spans="2:23" s="34" customFormat="1" ht="13.5" outlineLevel="1" x14ac:dyDescent="0.25">
      <c r="B121" s="35" t="s">
        <v>304</v>
      </c>
      <c r="C121" s="35"/>
      <c r="D121" s="32"/>
      <c r="E121" s="33"/>
      <c r="F121" s="33"/>
      <c r="G121" s="33"/>
      <c r="H121" s="33"/>
      <c r="I121" s="33"/>
      <c r="J121" s="33"/>
      <c r="K121" s="33"/>
      <c r="L121" s="33"/>
      <c r="M121" s="33"/>
      <c r="N121" s="170" t="s">
        <v>305</v>
      </c>
      <c r="O121" s="170"/>
      <c r="P121" s="170"/>
      <c r="Q121" s="170"/>
      <c r="R121" s="267" t="s">
        <v>288</v>
      </c>
      <c r="S121" s="267" t="s">
        <v>289</v>
      </c>
      <c r="T121" s="170"/>
      <c r="U121" s="170"/>
      <c r="V121" s="170"/>
      <c r="W121" s="173"/>
    </row>
    <row r="122" spans="2:23" outlineLevel="1" x14ac:dyDescent="0.2"/>
    <row r="123" spans="2:23" outlineLevel="1" x14ac:dyDescent="0.2">
      <c r="C123" s="8" t="s">
        <v>79</v>
      </c>
      <c r="D123" s="18" t="s">
        <v>140</v>
      </c>
      <c r="E123" s="16">
        <v>6975</v>
      </c>
      <c r="F123" s="16">
        <v>6756</v>
      </c>
      <c r="G123" s="16">
        <v>6566</v>
      </c>
      <c r="H123" s="16">
        <v>6273</v>
      </c>
      <c r="I123" s="16">
        <v>6308</v>
      </c>
      <c r="J123" s="16">
        <v>5618</v>
      </c>
      <c r="K123" s="16">
        <v>5418</v>
      </c>
      <c r="L123" s="16"/>
      <c r="M123" s="21"/>
      <c r="N123" s="179" t="s">
        <v>290</v>
      </c>
      <c r="P123" s="6" t="s">
        <v>291</v>
      </c>
    </row>
    <row r="124" spans="2:23" outlineLevel="1" x14ac:dyDescent="0.2">
      <c r="C124" s="8" t="s">
        <v>81</v>
      </c>
      <c r="D124" s="18" t="s">
        <v>140</v>
      </c>
      <c r="E124" s="16">
        <v>9745</v>
      </c>
      <c r="F124" s="16">
        <v>11553</v>
      </c>
      <c r="G124" s="16">
        <v>10843</v>
      </c>
      <c r="H124" s="16">
        <v>9964</v>
      </c>
      <c r="I124" s="16">
        <v>10483</v>
      </c>
      <c r="J124" s="16">
        <v>10210</v>
      </c>
      <c r="K124" s="16">
        <v>10574</v>
      </c>
      <c r="L124" s="16"/>
      <c r="M124" s="21"/>
      <c r="N124" s="179" t="s">
        <v>290</v>
      </c>
    </row>
    <row r="125" spans="2:23" outlineLevel="1" x14ac:dyDescent="0.2">
      <c r="C125" s="8" t="s">
        <v>84</v>
      </c>
      <c r="D125" s="18" t="s">
        <v>140</v>
      </c>
      <c r="E125" s="16">
        <v>1312</v>
      </c>
      <c r="F125" s="16">
        <v>1671</v>
      </c>
      <c r="G125" s="16">
        <v>975</v>
      </c>
      <c r="H125" s="16">
        <v>713</v>
      </c>
      <c r="I125" s="16">
        <v>707</v>
      </c>
      <c r="J125" s="16">
        <v>551</v>
      </c>
      <c r="K125" s="16">
        <v>601</v>
      </c>
      <c r="L125" s="16"/>
      <c r="M125" s="21"/>
      <c r="N125" s="178" t="s">
        <v>292</v>
      </c>
      <c r="O125" s="179" t="s">
        <v>150</v>
      </c>
      <c r="P125" s="6" t="s">
        <v>293</v>
      </c>
    </row>
    <row r="126" spans="2:23" outlineLevel="1" x14ac:dyDescent="0.2">
      <c r="C126" s="8" t="s">
        <v>86</v>
      </c>
      <c r="D126" s="18" t="s">
        <v>140</v>
      </c>
      <c r="E126" s="16">
        <v>8509</v>
      </c>
      <c r="F126" s="16">
        <v>8109</v>
      </c>
      <c r="G126" s="16">
        <v>7189</v>
      </c>
      <c r="H126" s="16">
        <v>6223</v>
      </c>
      <c r="I126" s="16">
        <v>6515</v>
      </c>
      <c r="J126" s="16">
        <v>5840</v>
      </c>
      <c r="K126" s="16">
        <v>5898</v>
      </c>
      <c r="L126" s="16"/>
      <c r="M126" s="21"/>
      <c r="N126" s="179" t="s">
        <v>294</v>
      </c>
      <c r="O126" s="178" t="s">
        <v>295</v>
      </c>
      <c r="P126" s="6" t="s">
        <v>296</v>
      </c>
    </row>
    <row r="127" spans="2:23" outlineLevel="1" x14ac:dyDescent="0.2">
      <c r="C127" s="8" t="s">
        <v>88</v>
      </c>
      <c r="D127" s="18" t="s">
        <v>140</v>
      </c>
      <c r="E127" s="16">
        <v>13057</v>
      </c>
      <c r="F127" s="16">
        <v>14052</v>
      </c>
      <c r="G127" s="16">
        <v>14936</v>
      </c>
      <c r="H127" s="16">
        <v>14680</v>
      </c>
      <c r="I127" s="16">
        <v>15336</v>
      </c>
      <c r="J127" s="16">
        <v>13359</v>
      </c>
      <c r="K127" s="16">
        <v>12736</v>
      </c>
      <c r="L127" s="16"/>
      <c r="M127" s="21"/>
      <c r="N127" s="179" t="s">
        <v>290</v>
      </c>
      <c r="P127" s="6" t="s">
        <v>297</v>
      </c>
    </row>
    <row r="128" spans="2:23" outlineLevel="1" x14ac:dyDescent="0.2">
      <c r="C128" s="8" t="s">
        <v>90</v>
      </c>
      <c r="D128" s="18" t="s">
        <v>140</v>
      </c>
      <c r="E128" s="16">
        <v>9910</v>
      </c>
      <c r="F128" s="16">
        <v>10348</v>
      </c>
      <c r="G128" s="16">
        <v>7183</v>
      </c>
      <c r="H128" s="16">
        <v>6414</v>
      </c>
      <c r="I128" s="16">
        <v>6000</v>
      </c>
      <c r="J128" s="16">
        <v>5258</v>
      </c>
      <c r="K128" s="16">
        <v>5231</v>
      </c>
      <c r="L128" s="16"/>
      <c r="M128" s="21"/>
      <c r="N128" s="179" t="s">
        <v>298</v>
      </c>
      <c r="O128" s="179" t="s">
        <v>299</v>
      </c>
      <c r="P128" s="6" t="s">
        <v>300</v>
      </c>
    </row>
    <row r="129" spans="2:23" outlineLevel="1" x14ac:dyDescent="0.2">
      <c r="C129" s="8" t="s">
        <v>93</v>
      </c>
      <c r="D129" s="18" t="s">
        <v>140</v>
      </c>
      <c r="E129" s="16">
        <v>3768</v>
      </c>
      <c r="F129" s="16">
        <v>3576</v>
      </c>
      <c r="G129" s="16">
        <v>3527</v>
      </c>
      <c r="H129" s="16">
        <v>3193</v>
      </c>
      <c r="I129" s="16">
        <v>3626</v>
      </c>
      <c r="J129" s="16">
        <v>3491</v>
      </c>
      <c r="K129" s="16">
        <v>3172</v>
      </c>
      <c r="L129" s="16"/>
      <c r="M129" s="21"/>
      <c r="N129" s="179" t="s">
        <v>290</v>
      </c>
    </row>
    <row r="130" spans="2:23" outlineLevel="1" x14ac:dyDescent="0.2">
      <c r="C130" s="8" t="s">
        <v>95</v>
      </c>
      <c r="D130" s="18" t="s">
        <v>140</v>
      </c>
      <c r="E130" s="16">
        <v>6022</v>
      </c>
      <c r="F130" s="16">
        <v>5422</v>
      </c>
      <c r="G130" s="16">
        <v>5318</v>
      </c>
      <c r="H130" s="16">
        <v>6021</v>
      </c>
      <c r="I130" s="16">
        <v>5831</v>
      </c>
      <c r="J130" s="16">
        <v>5774</v>
      </c>
      <c r="K130" s="16">
        <v>6105</v>
      </c>
      <c r="L130" s="16"/>
      <c r="M130" s="21"/>
      <c r="N130" s="179" t="s">
        <v>290</v>
      </c>
    </row>
    <row r="131" spans="2:23" outlineLevel="1" x14ac:dyDescent="0.2">
      <c r="C131" s="8" t="s">
        <v>97</v>
      </c>
      <c r="D131" s="18" t="s">
        <v>140</v>
      </c>
      <c r="E131" s="16">
        <v>15740</v>
      </c>
      <c r="F131" s="16">
        <v>14566</v>
      </c>
      <c r="G131" s="16">
        <v>13980</v>
      </c>
      <c r="H131" s="16">
        <v>12635</v>
      </c>
      <c r="I131" s="16">
        <v>12913</v>
      </c>
      <c r="J131" s="16">
        <v>15341</v>
      </c>
      <c r="K131" s="16">
        <v>14871</v>
      </c>
      <c r="L131" s="16"/>
      <c r="M131" s="21"/>
      <c r="N131" s="179" t="s">
        <v>290</v>
      </c>
    </row>
    <row r="132" spans="2:23" outlineLevel="1" x14ac:dyDescent="0.2">
      <c r="C132" s="8" t="s">
        <v>99</v>
      </c>
      <c r="D132" s="18" t="s">
        <v>140</v>
      </c>
      <c r="E132" s="16">
        <v>3050</v>
      </c>
      <c r="F132" s="16">
        <v>2893</v>
      </c>
      <c r="G132" s="16">
        <v>3006</v>
      </c>
      <c r="H132" s="16">
        <v>2431</v>
      </c>
      <c r="I132" s="16">
        <v>2172</v>
      </c>
      <c r="J132" s="16">
        <v>2031</v>
      </c>
      <c r="K132" s="16">
        <v>2010</v>
      </c>
      <c r="L132" s="16"/>
      <c r="M132" s="21"/>
      <c r="N132" s="179" t="s">
        <v>290</v>
      </c>
    </row>
    <row r="133" spans="2:23" outlineLevel="1" x14ac:dyDescent="0.2">
      <c r="C133" s="8" t="s">
        <v>101</v>
      </c>
      <c r="D133" s="18" t="s">
        <v>140</v>
      </c>
      <c r="E133" s="16">
        <v>11506</v>
      </c>
      <c r="F133" s="16">
        <v>12879</v>
      </c>
      <c r="G133" s="16">
        <v>10406</v>
      </c>
      <c r="H133" s="16">
        <v>10082</v>
      </c>
      <c r="I133" s="16">
        <v>9673</v>
      </c>
      <c r="J133" s="16">
        <v>7913</v>
      </c>
      <c r="K133" s="16">
        <v>8298</v>
      </c>
      <c r="L133" s="16"/>
      <c r="M133" s="21"/>
      <c r="N133" s="179" t="s">
        <v>290</v>
      </c>
    </row>
    <row r="134" spans="2:23" outlineLevel="1" x14ac:dyDescent="0.2">
      <c r="C134" s="8" t="s">
        <v>103</v>
      </c>
      <c r="D134" s="18" t="s">
        <v>140</v>
      </c>
      <c r="E134" s="16">
        <v>3730</v>
      </c>
      <c r="F134" s="16">
        <v>3783</v>
      </c>
      <c r="G134" s="16">
        <v>3743</v>
      </c>
      <c r="H134" s="16">
        <v>3552</v>
      </c>
      <c r="I134" s="16">
        <v>3526</v>
      </c>
      <c r="J134" s="16">
        <v>3070</v>
      </c>
      <c r="K134" s="16">
        <v>3093</v>
      </c>
      <c r="L134" s="16"/>
      <c r="M134" s="21"/>
      <c r="N134" s="180" t="s">
        <v>290</v>
      </c>
    </row>
    <row r="135" spans="2:23" outlineLevel="1" x14ac:dyDescent="0.2">
      <c r="C135" s="8" t="s">
        <v>105</v>
      </c>
      <c r="D135" s="18" t="s">
        <v>140</v>
      </c>
      <c r="E135" s="16">
        <v>2588</v>
      </c>
      <c r="F135" s="16">
        <v>2320</v>
      </c>
      <c r="G135" s="16">
        <v>2660</v>
      </c>
      <c r="H135" s="16">
        <v>2427</v>
      </c>
      <c r="I135" s="16">
        <v>2275</v>
      </c>
      <c r="J135" s="16">
        <v>1800</v>
      </c>
      <c r="K135" s="16">
        <v>2019</v>
      </c>
      <c r="L135" s="16"/>
      <c r="M135" s="21"/>
      <c r="N135" s="179" t="s">
        <v>290</v>
      </c>
    </row>
    <row r="136" spans="2:23" outlineLevel="1" x14ac:dyDescent="0.2">
      <c r="C136" s="8" t="s">
        <v>107</v>
      </c>
      <c r="D136" s="18" t="s">
        <v>140</v>
      </c>
      <c r="E136" s="16">
        <v>365</v>
      </c>
      <c r="F136" s="16">
        <v>307</v>
      </c>
      <c r="G136" s="16">
        <v>583</v>
      </c>
      <c r="H136" s="16">
        <v>398</v>
      </c>
      <c r="I136" s="16">
        <v>468</v>
      </c>
      <c r="J136" s="16">
        <v>389</v>
      </c>
      <c r="K136" s="16">
        <v>312</v>
      </c>
      <c r="L136" s="16"/>
      <c r="M136" s="21"/>
      <c r="N136" s="179" t="s">
        <v>290</v>
      </c>
    </row>
    <row r="137" spans="2:23" outlineLevel="1" x14ac:dyDescent="0.2">
      <c r="C137" s="8" t="s">
        <v>111</v>
      </c>
      <c r="D137" s="18" t="s">
        <v>140</v>
      </c>
      <c r="E137" s="16">
        <v>4983</v>
      </c>
      <c r="F137" s="16">
        <v>5023</v>
      </c>
      <c r="G137" s="16">
        <v>5012</v>
      </c>
      <c r="H137" s="16">
        <v>4609</v>
      </c>
      <c r="I137" s="16">
        <v>4255</v>
      </c>
      <c r="J137" s="16">
        <v>4087</v>
      </c>
      <c r="K137" s="16">
        <v>3320</v>
      </c>
      <c r="L137" s="16"/>
      <c r="M137" s="21"/>
      <c r="N137" s="179" t="s">
        <v>290</v>
      </c>
    </row>
    <row r="138" spans="2:23" outlineLevel="1" x14ac:dyDescent="0.2">
      <c r="C138" s="8" t="s">
        <v>113</v>
      </c>
      <c r="D138" s="18" t="s">
        <v>140</v>
      </c>
      <c r="E138" s="16">
        <v>2899</v>
      </c>
      <c r="F138" s="16">
        <v>3025</v>
      </c>
      <c r="G138" s="16">
        <v>2532</v>
      </c>
      <c r="H138" s="16">
        <v>3176</v>
      </c>
      <c r="I138" s="16">
        <v>2712</v>
      </c>
      <c r="J138" s="16">
        <v>2354</v>
      </c>
      <c r="K138" s="16">
        <v>2513</v>
      </c>
      <c r="L138" s="16"/>
      <c r="M138" s="21"/>
      <c r="N138" s="179" t="s">
        <v>301</v>
      </c>
      <c r="O138" s="179" t="s">
        <v>302</v>
      </c>
      <c r="P138" s="6" t="s">
        <v>303</v>
      </c>
    </row>
    <row r="139" spans="2:23" outlineLevel="1" x14ac:dyDescent="0.2">
      <c r="C139" s="8" t="s">
        <v>109</v>
      </c>
      <c r="D139" s="18" t="s">
        <v>140</v>
      </c>
      <c r="E139" s="16">
        <v>386</v>
      </c>
      <c r="F139" s="16">
        <v>346</v>
      </c>
      <c r="G139" s="16">
        <v>559</v>
      </c>
      <c r="H139" s="16">
        <v>437</v>
      </c>
      <c r="I139" s="16">
        <v>389</v>
      </c>
      <c r="J139" s="16">
        <v>383</v>
      </c>
      <c r="K139" s="16">
        <v>403</v>
      </c>
      <c r="L139" s="16"/>
      <c r="M139" s="21"/>
      <c r="N139" s="179" t="s">
        <v>290</v>
      </c>
    </row>
    <row r="140" spans="2:23" outlineLevel="1" x14ac:dyDescent="0.2"/>
    <row r="141" spans="2:23" outlineLevel="1" x14ac:dyDescent="0.2">
      <c r="C141" s="13" t="s">
        <v>257</v>
      </c>
      <c r="D141" s="3" t="s">
        <v>140</v>
      </c>
      <c r="E141" s="17">
        <f>SUM(E123:E139)</f>
        <v>104545</v>
      </c>
      <c r="F141" s="17">
        <f t="shared" ref="F141:L141" si="5">SUM(F123:F139)</f>
        <v>106629</v>
      </c>
      <c r="G141" s="17">
        <f t="shared" si="5"/>
        <v>99018</v>
      </c>
      <c r="H141" s="17">
        <f t="shared" si="5"/>
        <v>93228</v>
      </c>
      <c r="I141" s="17">
        <f t="shared" si="5"/>
        <v>93189</v>
      </c>
      <c r="J141" s="17">
        <f t="shared" si="5"/>
        <v>87469</v>
      </c>
      <c r="K141" s="17">
        <f t="shared" si="5"/>
        <v>86574</v>
      </c>
      <c r="L141" s="17">
        <f t="shared" si="5"/>
        <v>0</v>
      </c>
    </row>
    <row r="143" spans="2:23" ht="13.5" x14ac:dyDescent="0.25">
      <c r="B143" s="9" t="s">
        <v>163</v>
      </c>
      <c r="C143" s="9"/>
      <c r="D143" s="10"/>
      <c r="E143" s="9"/>
      <c r="F143" s="9"/>
      <c r="G143" s="9"/>
      <c r="H143" s="9"/>
      <c r="I143" s="9"/>
      <c r="J143" s="9"/>
      <c r="K143" s="9"/>
      <c r="L143" s="9"/>
      <c r="M143" s="9"/>
      <c r="N143" s="171"/>
      <c r="O143" s="171"/>
      <c r="P143" s="171"/>
      <c r="Q143" s="171"/>
      <c r="R143" s="171"/>
      <c r="S143" s="171"/>
      <c r="T143" s="171"/>
      <c r="U143" s="171"/>
      <c r="V143" s="171"/>
      <c r="W143" s="172"/>
    </row>
    <row r="144" spans="2:23" outlineLevel="1" x14ac:dyDescent="0.2"/>
    <row r="145" spans="2:23" s="34" customFormat="1" ht="13.5" outlineLevel="1" x14ac:dyDescent="0.25">
      <c r="B145" s="35" t="s">
        <v>306</v>
      </c>
      <c r="C145" s="35"/>
      <c r="D145" s="32"/>
      <c r="E145" s="33"/>
      <c r="F145" s="33"/>
      <c r="G145" s="33"/>
      <c r="H145" s="33"/>
      <c r="I145" s="33"/>
      <c r="J145" s="33"/>
      <c r="K145" s="33"/>
      <c r="L145" s="33"/>
      <c r="M145" s="33"/>
      <c r="N145" s="170"/>
      <c r="O145" s="170"/>
      <c r="P145" s="170"/>
      <c r="Q145" s="170"/>
      <c r="R145" s="170"/>
      <c r="S145" s="170"/>
      <c r="T145" s="170"/>
      <c r="U145" s="170"/>
      <c r="V145" s="170"/>
      <c r="W145" s="173"/>
    </row>
    <row r="146" spans="2:23" outlineLevel="1" x14ac:dyDescent="0.2"/>
    <row r="147" spans="2:23" outlineLevel="1" x14ac:dyDescent="0.2">
      <c r="C147" s="8" t="s">
        <v>79</v>
      </c>
      <c r="D147" s="18" t="s">
        <v>140</v>
      </c>
      <c r="E147" s="19"/>
      <c r="F147" s="19"/>
      <c r="G147" s="16">
        <v>475</v>
      </c>
      <c r="H147" s="16">
        <v>411</v>
      </c>
      <c r="I147" s="16">
        <v>430</v>
      </c>
      <c r="J147" s="16">
        <v>396</v>
      </c>
      <c r="K147" s="16">
        <v>342</v>
      </c>
      <c r="L147" s="16"/>
      <c r="M147" s="21"/>
      <c r="N147" s="6" t="s">
        <v>307</v>
      </c>
    </row>
    <row r="148" spans="2:23" outlineLevel="1" x14ac:dyDescent="0.2">
      <c r="C148" s="8" t="s">
        <v>81</v>
      </c>
      <c r="D148" s="18" t="s">
        <v>140</v>
      </c>
      <c r="E148" s="19"/>
      <c r="F148" s="19"/>
      <c r="G148" s="16">
        <v>265</v>
      </c>
      <c r="H148" s="16">
        <v>223</v>
      </c>
      <c r="I148" s="16">
        <v>242</v>
      </c>
      <c r="J148" s="16">
        <v>221</v>
      </c>
      <c r="K148" s="16">
        <v>221</v>
      </c>
      <c r="L148" s="16"/>
      <c r="M148" s="21"/>
      <c r="N148" s="6" t="s">
        <v>308</v>
      </c>
    </row>
    <row r="149" spans="2:23" outlineLevel="1" x14ac:dyDescent="0.2">
      <c r="C149" s="8" t="s">
        <v>84</v>
      </c>
      <c r="D149" s="18" t="s">
        <v>140</v>
      </c>
      <c r="E149" s="19"/>
      <c r="F149" s="19"/>
      <c r="G149" s="19"/>
      <c r="H149" s="19"/>
      <c r="I149" s="19"/>
      <c r="J149" s="19"/>
      <c r="K149" s="16">
        <v>4</v>
      </c>
      <c r="L149" s="16"/>
      <c r="M149" s="21"/>
      <c r="N149" s="6" t="s">
        <v>309</v>
      </c>
    </row>
    <row r="150" spans="2:23" outlineLevel="1" x14ac:dyDescent="0.2">
      <c r="C150" s="8" t="s">
        <v>86</v>
      </c>
      <c r="D150" s="18" t="s">
        <v>140</v>
      </c>
      <c r="E150" s="19"/>
      <c r="F150" s="19"/>
      <c r="G150" s="16">
        <v>416</v>
      </c>
      <c r="H150" s="16">
        <v>362</v>
      </c>
      <c r="I150" s="16">
        <v>334</v>
      </c>
      <c r="J150" s="16">
        <v>295</v>
      </c>
      <c r="K150" s="16">
        <v>370</v>
      </c>
      <c r="L150" s="16"/>
      <c r="M150" s="21"/>
      <c r="N150" s="6" t="s">
        <v>310</v>
      </c>
    </row>
    <row r="151" spans="2:23" outlineLevel="1" x14ac:dyDescent="0.2">
      <c r="C151" s="8" t="s">
        <v>88</v>
      </c>
      <c r="D151" s="18" t="s">
        <v>140</v>
      </c>
      <c r="E151" s="19"/>
      <c r="F151" s="19"/>
      <c r="G151" s="16">
        <v>1168</v>
      </c>
      <c r="H151" s="16">
        <v>809</v>
      </c>
      <c r="I151" s="16">
        <v>901</v>
      </c>
      <c r="J151" s="16">
        <v>662</v>
      </c>
      <c r="K151" s="16">
        <v>725</v>
      </c>
      <c r="L151" s="16"/>
      <c r="M151" s="21"/>
      <c r="N151" s="177" t="s">
        <v>309</v>
      </c>
    </row>
    <row r="152" spans="2:23" outlineLevel="1" x14ac:dyDescent="0.2">
      <c r="C152" s="8" t="s">
        <v>90</v>
      </c>
      <c r="D152" s="18" t="s">
        <v>140</v>
      </c>
      <c r="E152" s="19"/>
      <c r="F152" s="19"/>
      <c r="G152" s="16">
        <v>182</v>
      </c>
      <c r="H152" s="16">
        <v>189</v>
      </c>
      <c r="I152" s="16">
        <v>165</v>
      </c>
      <c r="J152" s="16">
        <v>141</v>
      </c>
      <c r="K152" s="16">
        <v>93</v>
      </c>
      <c r="L152" s="16"/>
      <c r="M152" s="21"/>
      <c r="N152" s="6" t="s">
        <v>311</v>
      </c>
    </row>
    <row r="153" spans="2:23" outlineLevel="1" x14ac:dyDescent="0.2">
      <c r="C153" s="8" t="s">
        <v>93</v>
      </c>
      <c r="D153" s="18" t="s">
        <v>140</v>
      </c>
      <c r="E153" s="19"/>
      <c r="F153" s="19"/>
      <c r="G153" s="16">
        <v>487</v>
      </c>
      <c r="H153" s="16">
        <v>492</v>
      </c>
      <c r="I153" s="16">
        <v>448</v>
      </c>
      <c r="J153" s="16">
        <v>401</v>
      </c>
      <c r="K153" s="16">
        <v>389</v>
      </c>
      <c r="L153" s="16"/>
      <c r="M153" s="21"/>
      <c r="N153" s="6" t="s">
        <v>312</v>
      </c>
    </row>
    <row r="154" spans="2:23" outlineLevel="1" x14ac:dyDescent="0.2">
      <c r="C154" s="8" t="s">
        <v>95</v>
      </c>
      <c r="D154" s="18" t="s">
        <v>140</v>
      </c>
      <c r="E154" s="19"/>
      <c r="F154" s="19"/>
      <c r="G154" s="16">
        <v>1655</v>
      </c>
      <c r="H154" s="16">
        <v>1403</v>
      </c>
      <c r="I154" s="16">
        <v>1214</v>
      </c>
      <c r="J154" s="16">
        <v>1062</v>
      </c>
      <c r="K154" s="16">
        <v>1032</v>
      </c>
      <c r="L154" s="16"/>
      <c r="M154" s="21"/>
      <c r="N154" s="6" t="s">
        <v>313</v>
      </c>
    </row>
    <row r="155" spans="2:23" outlineLevel="1" x14ac:dyDescent="0.2">
      <c r="C155" s="8" t="s">
        <v>97</v>
      </c>
      <c r="D155" s="18" t="s">
        <v>140</v>
      </c>
      <c r="E155" s="19"/>
      <c r="F155" s="19"/>
      <c r="G155" s="16">
        <v>808</v>
      </c>
      <c r="H155" s="16">
        <v>986</v>
      </c>
      <c r="I155" s="16">
        <v>941</v>
      </c>
      <c r="J155" s="16">
        <v>650</v>
      </c>
      <c r="K155" s="16">
        <v>566</v>
      </c>
      <c r="L155" s="16"/>
      <c r="M155" s="21"/>
      <c r="N155" s="6" t="s">
        <v>314</v>
      </c>
    </row>
    <row r="156" spans="2:23" outlineLevel="1" x14ac:dyDescent="0.2">
      <c r="C156" s="8" t="s">
        <v>99</v>
      </c>
      <c r="D156" s="18" t="s">
        <v>140</v>
      </c>
      <c r="E156" s="19"/>
      <c r="F156" s="19"/>
      <c r="G156" s="16">
        <v>140</v>
      </c>
      <c r="H156" s="16">
        <v>167</v>
      </c>
      <c r="I156" s="16">
        <v>148</v>
      </c>
      <c r="J156" s="16">
        <v>151</v>
      </c>
      <c r="K156" s="16">
        <v>179</v>
      </c>
      <c r="L156" s="16"/>
      <c r="M156" s="21"/>
      <c r="N156" s="6" t="s">
        <v>315</v>
      </c>
    </row>
    <row r="157" spans="2:23" outlineLevel="1" x14ac:dyDescent="0.2">
      <c r="C157" s="8" t="s">
        <v>101</v>
      </c>
      <c r="D157" s="18" t="s">
        <v>140</v>
      </c>
      <c r="E157" s="19"/>
      <c r="F157" s="19"/>
      <c r="G157" s="16">
        <v>1947</v>
      </c>
      <c r="H157" s="16">
        <v>1842</v>
      </c>
      <c r="I157" s="16">
        <v>1769</v>
      </c>
      <c r="J157" s="16">
        <v>1682</v>
      </c>
      <c r="K157" s="16">
        <v>1692</v>
      </c>
      <c r="L157" s="16"/>
      <c r="M157" s="21"/>
      <c r="N157" s="6" t="s">
        <v>316</v>
      </c>
    </row>
    <row r="158" spans="2:23" outlineLevel="1" x14ac:dyDescent="0.2"/>
    <row r="159" spans="2:23" outlineLevel="1" x14ac:dyDescent="0.2">
      <c r="C159" s="2" t="s">
        <v>257</v>
      </c>
      <c r="D159" s="3" t="s">
        <v>140</v>
      </c>
      <c r="E159" s="17">
        <f t="shared" ref="E159:L159" si="6">SUM(E147:E157)</f>
        <v>0</v>
      </c>
      <c r="F159" s="17">
        <f t="shared" si="6"/>
        <v>0</v>
      </c>
      <c r="G159" s="17">
        <f t="shared" si="6"/>
        <v>7543</v>
      </c>
      <c r="H159" s="17">
        <f t="shared" si="6"/>
        <v>6884</v>
      </c>
      <c r="I159" s="17">
        <f t="shared" si="6"/>
        <v>6592</v>
      </c>
      <c r="J159" s="17">
        <f t="shared" si="6"/>
        <v>5661</v>
      </c>
      <c r="K159" s="17">
        <f t="shared" si="6"/>
        <v>5613</v>
      </c>
      <c r="L159" s="17">
        <f t="shared" si="6"/>
        <v>0</v>
      </c>
    </row>
    <row r="160" spans="2:23" outlineLevel="1" x14ac:dyDescent="0.2"/>
    <row r="161" spans="2:23" s="34" customFormat="1" ht="13.5" outlineLevel="1" x14ac:dyDescent="0.25">
      <c r="B161" s="35" t="s">
        <v>317</v>
      </c>
      <c r="C161" s="35"/>
      <c r="D161" s="32"/>
      <c r="E161" s="33"/>
      <c r="F161" s="33"/>
      <c r="G161" s="33"/>
      <c r="H161" s="33"/>
      <c r="I161" s="33"/>
      <c r="J161" s="33"/>
      <c r="K161" s="33"/>
      <c r="L161" s="33"/>
      <c r="M161" s="33"/>
      <c r="N161" s="170" t="s">
        <v>318</v>
      </c>
      <c r="O161" s="170"/>
      <c r="P161" s="170"/>
      <c r="Q161" s="170"/>
      <c r="R161" s="170"/>
      <c r="S161" s="170"/>
      <c r="T161" s="170"/>
      <c r="U161" s="170"/>
      <c r="V161" s="170"/>
      <c r="W161" s="173"/>
    </row>
    <row r="162" spans="2:23" outlineLevel="1" x14ac:dyDescent="0.2"/>
    <row r="163" spans="2:23" outlineLevel="1" x14ac:dyDescent="0.2">
      <c r="C163" s="8" t="s">
        <v>79</v>
      </c>
      <c r="D163" s="18" t="s">
        <v>128</v>
      </c>
      <c r="E163" s="19"/>
      <c r="F163" s="19"/>
      <c r="G163" s="16">
        <v>2712.1959999999995</v>
      </c>
      <c r="H163" s="16">
        <v>2711.4470000000001</v>
      </c>
      <c r="I163" s="16">
        <v>2743.415</v>
      </c>
      <c r="J163" s="16">
        <v>2756.2719999999999</v>
      </c>
      <c r="K163" s="16">
        <v>2791.4789999999998</v>
      </c>
      <c r="L163" s="16"/>
      <c r="M163" s="21"/>
      <c r="N163" s="6"/>
    </row>
    <row r="164" spans="2:23" outlineLevel="1" x14ac:dyDescent="0.2">
      <c r="C164" s="8" t="s">
        <v>81</v>
      </c>
      <c r="D164" s="18" t="s">
        <v>128</v>
      </c>
      <c r="E164" s="19"/>
      <c r="F164" s="19"/>
      <c r="G164" s="16">
        <v>1414.8869999999999</v>
      </c>
      <c r="H164" s="16">
        <v>1433.2999999999997</v>
      </c>
      <c r="I164" s="16">
        <v>1438.2340000000002</v>
      </c>
      <c r="J164" s="16">
        <v>1449.9090000000001</v>
      </c>
      <c r="K164" s="16">
        <v>1458.152</v>
      </c>
      <c r="L164" s="16"/>
      <c r="M164" s="21"/>
      <c r="N164" s="6"/>
    </row>
    <row r="165" spans="2:23" outlineLevel="1" x14ac:dyDescent="0.2">
      <c r="C165" s="8" t="s">
        <v>84</v>
      </c>
      <c r="D165" s="18" t="s">
        <v>128</v>
      </c>
      <c r="E165" s="19"/>
      <c r="F165" s="19"/>
      <c r="G165" s="19"/>
      <c r="H165" s="19"/>
      <c r="I165" s="19"/>
      <c r="J165" s="19"/>
      <c r="K165" s="16">
        <v>21.070999999999998</v>
      </c>
      <c r="L165" s="16"/>
      <c r="M165" s="21"/>
      <c r="N165" s="6"/>
    </row>
    <row r="166" spans="2:23" outlineLevel="1" x14ac:dyDescent="0.2">
      <c r="C166" s="8" t="s">
        <v>86</v>
      </c>
      <c r="D166" s="18" t="s">
        <v>128</v>
      </c>
      <c r="E166" s="19"/>
      <c r="F166" s="19"/>
      <c r="G166" s="16">
        <v>1242.576</v>
      </c>
      <c r="H166" s="16">
        <v>1248.567</v>
      </c>
      <c r="I166" s="16">
        <v>1255.797</v>
      </c>
      <c r="J166" s="16">
        <v>1264.011</v>
      </c>
      <c r="K166" s="16">
        <v>1269.944</v>
      </c>
      <c r="L166" s="16"/>
      <c r="M166" s="21"/>
      <c r="N166" s="6"/>
    </row>
    <row r="167" spans="2:23" outlineLevel="1" x14ac:dyDescent="0.2">
      <c r="C167" s="8" t="s">
        <v>88</v>
      </c>
      <c r="D167" s="18" t="s">
        <v>128</v>
      </c>
      <c r="E167" s="19"/>
      <c r="F167" s="19"/>
      <c r="G167" s="16">
        <v>3998.0690000000004</v>
      </c>
      <c r="H167" s="16">
        <v>4029.3120000000004</v>
      </c>
      <c r="I167" s="16">
        <v>4078.6640000000002</v>
      </c>
      <c r="J167" s="16">
        <v>4130.8130000000001</v>
      </c>
      <c r="K167" s="16">
        <v>4149.9850000000006</v>
      </c>
      <c r="L167" s="16"/>
      <c r="M167" s="21"/>
      <c r="N167" s="6" t="s">
        <v>285</v>
      </c>
    </row>
    <row r="168" spans="2:23" outlineLevel="1" x14ac:dyDescent="0.2">
      <c r="C168" s="8" t="s">
        <v>90</v>
      </c>
      <c r="D168" s="18" t="s">
        <v>128</v>
      </c>
      <c r="E168" s="19"/>
      <c r="F168" s="19"/>
      <c r="G168" s="16">
        <v>720.61466666666729</v>
      </c>
      <c r="H168" s="16">
        <v>724.31825000000026</v>
      </c>
      <c r="I168" s="16">
        <v>733.50299242424319</v>
      </c>
      <c r="J168" s="16">
        <v>746.38099999999997</v>
      </c>
      <c r="K168" s="16">
        <v>758.08733333333305</v>
      </c>
      <c r="L168" s="16"/>
      <c r="M168" s="21"/>
      <c r="N168" s="6"/>
    </row>
    <row r="169" spans="2:23" outlineLevel="1" x14ac:dyDescent="0.2">
      <c r="C169" s="8" t="s">
        <v>93</v>
      </c>
      <c r="D169" s="18" t="s">
        <v>128</v>
      </c>
      <c r="E169" s="19"/>
      <c r="F169" s="19"/>
      <c r="G169" s="16">
        <v>1937.2839999999999</v>
      </c>
      <c r="H169" s="16">
        <v>1948.0515000000003</v>
      </c>
      <c r="I169" s="16">
        <v>1962.9179999999999</v>
      </c>
      <c r="J169" s="16">
        <v>1978.1320000000001</v>
      </c>
      <c r="K169" s="16">
        <v>1986.644</v>
      </c>
      <c r="L169" s="16"/>
      <c r="M169" s="21"/>
      <c r="N169" s="6"/>
    </row>
    <row r="170" spans="2:23" outlineLevel="1" x14ac:dyDescent="0.2">
      <c r="C170" s="8" t="s">
        <v>95</v>
      </c>
      <c r="D170" s="18" t="s">
        <v>128</v>
      </c>
      <c r="E170" s="19"/>
      <c r="F170" s="19"/>
      <c r="G170" s="16">
        <v>5689.3329999999996</v>
      </c>
      <c r="H170" s="16">
        <v>5744.2039999999997</v>
      </c>
      <c r="I170" s="16">
        <v>5795.3780000000006</v>
      </c>
      <c r="J170" s="16">
        <v>5838.3990000000003</v>
      </c>
      <c r="K170" s="16">
        <v>5899.9390000000003</v>
      </c>
      <c r="L170" s="16"/>
      <c r="M170" s="21"/>
      <c r="N170" s="6"/>
    </row>
    <row r="171" spans="2:23" outlineLevel="1" x14ac:dyDescent="0.2">
      <c r="C171" s="8" t="s">
        <v>97</v>
      </c>
      <c r="D171" s="18" t="s">
        <v>128</v>
      </c>
      <c r="E171" s="19"/>
      <c r="F171" s="19"/>
      <c r="G171" s="16">
        <v>3246.4740000000006</v>
      </c>
      <c r="H171" s="16">
        <v>3268.3395</v>
      </c>
      <c r="I171" s="16">
        <v>3289.6909999999998</v>
      </c>
      <c r="J171" s="16">
        <v>3315.6660000000002</v>
      </c>
      <c r="K171" s="16">
        <v>3342.0329999999999</v>
      </c>
      <c r="L171" s="16"/>
      <c r="M171" s="21"/>
      <c r="N171" s="6"/>
    </row>
    <row r="172" spans="2:23" outlineLevel="1" x14ac:dyDescent="0.2">
      <c r="C172" s="8" t="s">
        <v>99</v>
      </c>
      <c r="D172" s="18" t="s">
        <v>128</v>
      </c>
      <c r="E172" s="19"/>
      <c r="F172" s="19"/>
      <c r="G172" s="16">
        <v>1210.396</v>
      </c>
      <c r="H172" s="16">
        <v>1220.2959999999998</v>
      </c>
      <c r="I172" s="16">
        <v>1230.3919999999998</v>
      </c>
      <c r="J172" s="16">
        <v>1238.193</v>
      </c>
      <c r="K172" s="16">
        <v>1249.4469999999999</v>
      </c>
      <c r="L172" s="16"/>
      <c r="M172" s="21"/>
      <c r="N172" s="6"/>
    </row>
    <row r="173" spans="2:23" outlineLevel="1" x14ac:dyDescent="0.2">
      <c r="C173" s="8" t="s">
        <v>101</v>
      </c>
      <c r="D173" s="18" t="s">
        <v>128</v>
      </c>
      <c r="E173" s="19"/>
      <c r="F173" s="19"/>
      <c r="G173" s="16">
        <v>2244.73</v>
      </c>
      <c r="H173" s="16">
        <v>2258.3679999999999</v>
      </c>
      <c r="I173" s="16">
        <v>2271.9151739726062</v>
      </c>
      <c r="J173" s="16">
        <v>2283.1219493150702</v>
      </c>
      <c r="K173" s="16">
        <v>2299.1619999999998</v>
      </c>
      <c r="L173" s="16"/>
      <c r="M173" s="21"/>
      <c r="N173" s="6"/>
    </row>
    <row r="174" spans="2:23" outlineLevel="1" x14ac:dyDescent="0.2"/>
    <row r="175" spans="2:23" outlineLevel="1" x14ac:dyDescent="0.2">
      <c r="C175" s="2" t="s">
        <v>257</v>
      </c>
      <c r="D175" s="3" t="s">
        <v>128</v>
      </c>
      <c r="E175" s="17">
        <f t="shared" ref="E175:L175" si="7">SUM(E163:E173)</f>
        <v>0</v>
      </c>
      <c r="F175" s="17">
        <f t="shared" si="7"/>
        <v>0</v>
      </c>
      <c r="G175" s="17">
        <f t="shared" si="7"/>
        <v>24416.559666666668</v>
      </c>
      <c r="H175" s="17">
        <f t="shared" si="7"/>
        <v>24586.203249999999</v>
      </c>
      <c r="I175" s="17">
        <f t="shared" si="7"/>
        <v>24799.90716639685</v>
      </c>
      <c r="J175" s="17">
        <f t="shared" si="7"/>
        <v>25000.897949315073</v>
      </c>
      <c r="K175" s="17">
        <f t="shared" si="7"/>
        <v>25225.943333333333</v>
      </c>
      <c r="L175" s="17">
        <f t="shared" si="7"/>
        <v>0</v>
      </c>
    </row>
    <row r="177" spans="2:23" ht="13.5" x14ac:dyDescent="0.25">
      <c r="B177" s="9" t="s">
        <v>164</v>
      </c>
      <c r="C177" s="9"/>
      <c r="D177" s="10"/>
      <c r="E177" s="9"/>
      <c r="F177" s="9"/>
      <c r="G177" s="9"/>
      <c r="H177" s="9"/>
      <c r="I177" s="9"/>
      <c r="J177" s="9"/>
      <c r="K177" s="9"/>
      <c r="L177" s="9"/>
      <c r="M177" s="9"/>
      <c r="N177" s="171"/>
      <c r="O177" s="171"/>
      <c r="P177" s="171"/>
      <c r="Q177" s="171"/>
      <c r="R177" s="171"/>
      <c r="S177" s="171"/>
      <c r="T177" s="171"/>
      <c r="U177" s="171"/>
      <c r="V177" s="171"/>
      <c r="W177" s="172"/>
    </row>
    <row r="178" spans="2:23" outlineLevel="1" x14ac:dyDescent="0.2"/>
    <row r="179" spans="2:23" s="34" customFormat="1" ht="13.5" outlineLevel="1" x14ac:dyDescent="0.25">
      <c r="B179" s="35" t="s">
        <v>319</v>
      </c>
      <c r="C179" s="35"/>
      <c r="D179" s="32"/>
      <c r="E179" s="33"/>
      <c r="F179" s="33"/>
      <c r="G179" s="33"/>
      <c r="H179" s="33"/>
      <c r="I179" s="33"/>
      <c r="J179" s="33"/>
      <c r="K179" s="33"/>
      <c r="L179" s="33"/>
      <c r="M179" s="33"/>
      <c r="N179" s="342" t="s">
        <v>320</v>
      </c>
      <c r="O179" s="342"/>
      <c r="P179" s="342"/>
      <c r="Q179" s="342"/>
      <c r="R179" s="342"/>
      <c r="S179" s="170"/>
      <c r="T179" s="170"/>
      <c r="U179" s="170"/>
      <c r="V179" s="170"/>
      <c r="W179" s="173"/>
    </row>
    <row r="180" spans="2:23" outlineLevel="1" x14ac:dyDescent="0.2"/>
    <row r="181" spans="2:23" outlineLevel="1" x14ac:dyDescent="0.2">
      <c r="C181" s="8" t="s">
        <v>79</v>
      </c>
      <c r="D181" s="18" t="s">
        <v>140</v>
      </c>
      <c r="E181" s="16">
        <v>101</v>
      </c>
      <c r="F181" s="16">
        <v>89</v>
      </c>
      <c r="G181" s="16">
        <v>90</v>
      </c>
      <c r="H181" s="16">
        <v>35</v>
      </c>
      <c r="I181" s="16">
        <v>32</v>
      </c>
      <c r="J181" s="16">
        <v>30</v>
      </c>
      <c r="K181" s="16">
        <v>25</v>
      </c>
      <c r="L181" s="16"/>
      <c r="M181" s="21"/>
      <c r="S181" s="179"/>
      <c r="T181" s="179"/>
      <c r="U181" s="179"/>
      <c r="V181" s="179"/>
    </row>
    <row r="182" spans="2:23" outlineLevel="1" x14ac:dyDescent="0.2">
      <c r="C182" s="8" t="s">
        <v>81</v>
      </c>
      <c r="D182" s="18" t="s">
        <v>140</v>
      </c>
      <c r="E182" s="16">
        <v>110</v>
      </c>
      <c r="F182" s="16">
        <v>66</v>
      </c>
      <c r="G182" s="16">
        <v>59</v>
      </c>
      <c r="H182" s="16">
        <v>59</v>
      </c>
      <c r="I182" s="16">
        <v>29.8</v>
      </c>
      <c r="J182" s="16">
        <v>28.2</v>
      </c>
      <c r="K182" s="16">
        <v>28</v>
      </c>
      <c r="L182" s="16"/>
      <c r="M182" s="21"/>
      <c r="N182" s="6" t="s">
        <v>321</v>
      </c>
      <c r="V182" s="254" t="s">
        <v>20</v>
      </c>
      <c r="W182" s="254" t="s">
        <v>21</v>
      </c>
    </row>
    <row r="183" spans="2:23" outlineLevel="1" x14ac:dyDescent="0.2">
      <c r="C183" s="8" t="s">
        <v>84</v>
      </c>
      <c r="D183" s="18" t="s">
        <v>140</v>
      </c>
      <c r="E183" s="263" t="s">
        <v>322</v>
      </c>
      <c r="F183" s="263" t="s">
        <v>322</v>
      </c>
      <c r="G183" s="263" t="s">
        <v>322</v>
      </c>
      <c r="H183" s="263" t="s">
        <v>322</v>
      </c>
      <c r="I183" s="263" t="s">
        <v>322</v>
      </c>
      <c r="J183" s="263" t="s">
        <v>322</v>
      </c>
      <c r="K183" s="263" t="s">
        <v>322</v>
      </c>
      <c r="L183" s="16"/>
      <c r="M183" s="21"/>
    </row>
    <row r="184" spans="2:23" outlineLevel="1" x14ac:dyDescent="0.2">
      <c r="C184" s="8" t="s">
        <v>86</v>
      </c>
      <c r="D184" s="18" t="s">
        <v>140</v>
      </c>
      <c r="E184" s="16">
        <v>120</v>
      </c>
      <c r="F184" s="16">
        <v>79</v>
      </c>
      <c r="G184" s="16">
        <v>54</v>
      </c>
      <c r="H184" s="16">
        <v>97</v>
      </c>
      <c r="I184" s="16">
        <v>38</v>
      </c>
      <c r="J184" s="16">
        <v>17</v>
      </c>
      <c r="K184" s="16">
        <v>12</v>
      </c>
      <c r="L184" s="16"/>
      <c r="M184" s="21"/>
    </row>
    <row r="185" spans="2:23" outlineLevel="1" x14ac:dyDescent="0.2">
      <c r="C185" s="8" t="s">
        <v>88</v>
      </c>
      <c r="D185" s="18" t="s">
        <v>140</v>
      </c>
      <c r="E185" s="16">
        <v>67</v>
      </c>
      <c r="F185" s="16">
        <v>79</v>
      </c>
      <c r="G185" s="16">
        <v>65</v>
      </c>
      <c r="H185" s="16">
        <v>47</v>
      </c>
      <c r="I185" s="16">
        <v>30</v>
      </c>
      <c r="J185" s="16">
        <v>30</v>
      </c>
      <c r="K185" s="16">
        <v>31</v>
      </c>
      <c r="L185" s="16"/>
      <c r="M185" s="21"/>
      <c r="N185" s="6" t="s">
        <v>285</v>
      </c>
    </row>
    <row r="186" spans="2:23" outlineLevel="1" x14ac:dyDescent="0.2">
      <c r="C186" s="8" t="s">
        <v>90</v>
      </c>
      <c r="D186" s="18" t="s">
        <v>140</v>
      </c>
      <c r="E186" s="16">
        <v>223</v>
      </c>
      <c r="F186" s="16">
        <v>267</v>
      </c>
      <c r="G186" s="16">
        <v>169</v>
      </c>
      <c r="H186" s="16">
        <v>171</v>
      </c>
      <c r="I186" s="16">
        <v>115</v>
      </c>
      <c r="J186" s="16">
        <v>109</v>
      </c>
      <c r="K186" s="16">
        <v>98</v>
      </c>
      <c r="L186" s="16"/>
      <c r="M186" s="21"/>
    </row>
    <row r="187" spans="2:23" outlineLevel="1" x14ac:dyDescent="0.2">
      <c r="C187" s="8" t="s">
        <v>93</v>
      </c>
      <c r="D187" s="18" t="s">
        <v>140</v>
      </c>
      <c r="E187" s="16">
        <v>189</v>
      </c>
      <c r="F187" s="16">
        <v>148</v>
      </c>
      <c r="G187" s="16">
        <v>135</v>
      </c>
      <c r="H187" s="16">
        <v>75</v>
      </c>
      <c r="I187" s="16">
        <v>35</v>
      </c>
      <c r="J187" s="16">
        <v>31</v>
      </c>
      <c r="K187" s="16">
        <v>39</v>
      </c>
      <c r="L187" s="16"/>
      <c r="M187" s="21"/>
    </row>
    <row r="188" spans="2:23" outlineLevel="1" x14ac:dyDescent="0.2">
      <c r="C188" s="8" t="s">
        <v>95</v>
      </c>
      <c r="D188" s="18" t="s">
        <v>140</v>
      </c>
      <c r="E188" s="16">
        <v>68</v>
      </c>
      <c r="F188" s="16">
        <v>90</v>
      </c>
      <c r="G188" s="16">
        <v>76</v>
      </c>
      <c r="H188" s="16">
        <v>38</v>
      </c>
      <c r="I188" s="16">
        <v>33</v>
      </c>
      <c r="J188" s="16">
        <v>28</v>
      </c>
      <c r="K188" s="16">
        <v>27</v>
      </c>
      <c r="L188" s="16"/>
      <c r="M188" s="21"/>
    </row>
    <row r="189" spans="2:23" outlineLevel="1" x14ac:dyDescent="0.2">
      <c r="C189" s="8" t="s">
        <v>97</v>
      </c>
      <c r="D189" s="18" t="s">
        <v>140</v>
      </c>
      <c r="E189" s="16">
        <v>74</v>
      </c>
      <c r="F189" s="16">
        <v>48</v>
      </c>
      <c r="G189" s="16">
        <v>49</v>
      </c>
      <c r="H189" s="16">
        <v>40</v>
      </c>
      <c r="I189" s="16">
        <v>22</v>
      </c>
      <c r="J189" s="16">
        <v>23</v>
      </c>
      <c r="K189" s="16">
        <v>24</v>
      </c>
      <c r="L189" s="16"/>
      <c r="M189" s="21"/>
    </row>
    <row r="190" spans="2:23" outlineLevel="1" x14ac:dyDescent="0.2">
      <c r="C190" s="8" t="s">
        <v>99</v>
      </c>
      <c r="D190" s="18" t="s">
        <v>140</v>
      </c>
      <c r="E190" s="16">
        <v>35</v>
      </c>
      <c r="F190" s="16">
        <v>48</v>
      </c>
      <c r="G190" s="16">
        <v>44</v>
      </c>
      <c r="H190" s="16">
        <v>48</v>
      </c>
      <c r="I190" s="16">
        <v>22</v>
      </c>
      <c r="J190" s="16">
        <v>23</v>
      </c>
      <c r="K190" s="16">
        <v>24</v>
      </c>
      <c r="L190" s="16"/>
      <c r="M190" s="21"/>
    </row>
    <row r="191" spans="2:23" outlineLevel="1" x14ac:dyDescent="0.2">
      <c r="C191" s="8" t="s">
        <v>101</v>
      </c>
      <c r="D191" s="18" t="s">
        <v>140</v>
      </c>
      <c r="E191" s="16">
        <v>83</v>
      </c>
      <c r="F191" s="16">
        <v>78</v>
      </c>
      <c r="G191" s="16">
        <v>59</v>
      </c>
      <c r="H191" s="16">
        <v>72</v>
      </c>
      <c r="I191" s="16">
        <v>46</v>
      </c>
      <c r="J191" s="16">
        <v>43</v>
      </c>
      <c r="K191" s="16">
        <v>44</v>
      </c>
      <c r="L191" s="16"/>
      <c r="M191" s="21"/>
    </row>
    <row r="192" spans="2:23" outlineLevel="1" x14ac:dyDescent="0.2"/>
    <row r="193" spans="2:23" outlineLevel="1" x14ac:dyDescent="0.2">
      <c r="C193" s="13" t="s">
        <v>281</v>
      </c>
      <c r="D193" s="3" t="s">
        <v>140</v>
      </c>
      <c r="E193" s="17">
        <f t="shared" ref="E193:L193" si="8" xml:space="preserve"> IFERROR( SUMPRODUCT( E181:E191, E197:E207 ) / E209, 0 )</f>
        <v>108.31127871100446</v>
      </c>
      <c r="F193" s="17">
        <f t="shared" si="8"/>
        <v>103.53563714902808</v>
      </c>
      <c r="G193" s="17">
        <f t="shared" si="8"/>
        <v>83.715986394557817</v>
      </c>
      <c r="H193" s="17">
        <f t="shared" si="8"/>
        <v>66.292824074074076</v>
      </c>
      <c r="I193" s="17">
        <f t="shared" si="8"/>
        <v>40.816030123722435</v>
      </c>
      <c r="J193" s="17">
        <f t="shared" si="8"/>
        <v>37.711150029188559</v>
      </c>
      <c r="K193" s="17">
        <f t="shared" si="8"/>
        <v>36.914419695193438</v>
      </c>
      <c r="L193" s="17">
        <f t="shared" si="8"/>
        <v>0</v>
      </c>
    </row>
    <row r="194" spans="2:23" outlineLevel="1" x14ac:dyDescent="0.2"/>
    <row r="195" spans="2:23" s="34" customFormat="1" ht="13.5" outlineLevel="1" x14ac:dyDescent="0.25">
      <c r="B195" s="35" t="s">
        <v>323</v>
      </c>
      <c r="C195" s="35"/>
      <c r="D195" s="32"/>
      <c r="E195" s="33"/>
      <c r="F195" s="33"/>
      <c r="G195" s="33"/>
      <c r="H195" s="33"/>
      <c r="I195" s="33"/>
      <c r="J195" s="33"/>
      <c r="K195" s="33"/>
      <c r="L195" s="33"/>
      <c r="M195" s="33"/>
      <c r="N195" s="170"/>
      <c r="O195" s="170"/>
      <c r="P195" s="170"/>
      <c r="Q195" s="170"/>
      <c r="R195" s="170"/>
      <c r="S195" s="170"/>
      <c r="T195" s="170"/>
      <c r="U195" s="170"/>
      <c r="V195" s="170"/>
      <c r="W195" s="173"/>
    </row>
    <row r="196" spans="2:23" outlineLevel="1" x14ac:dyDescent="0.2"/>
    <row r="197" spans="2:23" outlineLevel="1" x14ac:dyDescent="0.2">
      <c r="C197" s="8" t="s">
        <v>79</v>
      </c>
      <c r="D197" s="11" t="s">
        <v>140</v>
      </c>
      <c r="E197" s="16">
        <v>446</v>
      </c>
      <c r="F197" s="16">
        <v>392</v>
      </c>
      <c r="G197" s="16">
        <v>392</v>
      </c>
      <c r="H197" s="16">
        <v>151</v>
      </c>
      <c r="I197" s="16">
        <v>220</v>
      </c>
      <c r="J197" s="16">
        <v>224</v>
      </c>
      <c r="K197" s="16">
        <v>189</v>
      </c>
      <c r="L197" s="16"/>
      <c r="M197" s="21"/>
      <c r="N197" s="6"/>
    </row>
    <row r="198" spans="2:23" outlineLevel="1" x14ac:dyDescent="0.2">
      <c r="C198" s="8" t="s">
        <v>81</v>
      </c>
      <c r="D198" s="11" t="s">
        <v>140</v>
      </c>
      <c r="E198" s="16">
        <v>193</v>
      </c>
      <c r="F198" s="16">
        <v>120</v>
      </c>
      <c r="G198" s="16">
        <v>104</v>
      </c>
      <c r="H198" s="16">
        <v>107</v>
      </c>
      <c r="I198" s="16">
        <v>105</v>
      </c>
      <c r="J198" s="16">
        <v>101</v>
      </c>
      <c r="K198" s="16">
        <v>98</v>
      </c>
      <c r="L198" s="16"/>
      <c r="M198" s="21"/>
      <c r="N198" s="6" t="s">
        <v>321</v>
      </c>
      <c r="V198" s="254" t="s">
        <v>20</v>
      </c>
      <c r="W198" s="254" t="s">
        <v>21</v>
      </c>
    </row>
    <row r="199" spans="2:23" outlineLevel="1" x14ac:dyDescent="0.2">
      <c r="C199" s="8" t="s">
        <v>84</v>
      </c>
      <c r="D199" s="11" t="s">
        <v>140</v>
      </c>
      <c r="E199" s="19"/>
      <c r="F199" s="19"/>
      <c r="G199" s="19"/>
      <c r="H199" s="19"/>
      <c r="I199" s="19"/>
      <c r="J199" s="19"/>
      <c r="K199" s="16">
        <v>4</v>
      </c>
      <c r="L199" s="16"/>
      <c r="M199" s="21"/>
      <c r="N199" s="6" t="s">
        <v>324</v>
      </c>
      <c r="V199" s="254" t="s">
        <v>20</v>
      </c>
      <c r="W199" s="254" t="s">
        <v>21</v>
      </c>
    </row>
    <row r="200" spans="2:23" outlineLevel="1" x14ac:dyDescent="0.2">
      <c r="C200" s="8" t="s">
        <v>86</v>
      </c>
      <c r="D200" s="11" t="s">
        <v>140</v>
      </c>
      <c r="E200" s="16">
        <v>192</v>
      </c>
      <c r="F200" s="16">
        <v>127</v>
      </c>
      <c r="G200" s="16">
        <v>87</v>
      </c>
      <c r="H200" s="16">
        <v>156</v>
      </c>
      <c r="I200" s="16">
        <v>110</v>
      </c>
      <c r="J200" s="16">
        <v>50</v>
      </c>
      <c r="K200" s="16">
        <v>37</v>
      </c>
      <c r="L200" s="16"/>
      <c r="M200" s="21"/>
      <c r="N200" s="6"/>
    </row>
    <row r="201" spans="2:23" outlineLevel="1" x14ac:dyDescent="0.2">
      <c r="C201" s="8" t="s">
        <v>88</v>
      </c>
      <c r="D201" s="11" t="s">
        <v>140</v>
      </c>
      <c r="E201" s="16">
        <v>365</v>
      </c>
      <c r="F201" s="16">
        <v>431</v>
      </c>
      <c r="G201" s="16">
        <v>351</v>
      </c>
      <c r="H201" s="16">
        <v>255</v>
      </c>
      <c r="I201" s="16">
        <v>268</v>
      </c>
      <c r="J201" s="16">
        <v>277</v>
      </c>
      <c r="K201" s="16">
        <v>279</v>
      </c>
      <c r="L201" s="16"/>
      <c r="M201" s="21"/>
      <c r="N201" s="6" t="s">
        <v>285</v>
      </c>
    </row>
    <row r="202" spans="2:23" outlineLevel="1" x14ac:dyDescent="0.2">
      <c r="C202" s="8" t="s">
        <v>90</v>
      </c>
      <c r="D202" s="11" t="s">
        <v>140</v>
      </c>
      <c r="E202" s="16">
        <v>206</v>
      </c>
      <c r="F202" s="16">
        <v>246</v>
      </c>
      <c r="G202" s="16">
        <v>156</v>
      </c>
      <c r="H202" s="16">
        <v>158</v>
      </c>
      <c r="I202" s="16">
        <v>179</v>
      </c>
      <c r="J202" s="16">
        <v>169</v>
      </c>
      <c r="K202" s="16">
        <v>168</v>
      </c>
      <c r="L202" s="16"/>
      <c r="M202" s="21"/>
      <c r="N202" s="6"/>
    </row>
    <row r="203" spans="2:23" outlineLevel="1" x14ac:dyDescent="0.2">
      <c r="C203" s="8" t="s">
        <v>93</v>
      </c>
      <c r="D203" s="11" t="s">
        <v>140</v>
      </c>
      <c r="E203" s="16">
        <v>409</v>
      </c>
      <c r="F203" s="16">
        <v>320</v>
      </c>
      <c r="G203" s="16">
        <v>287</v>
      </c>
      <c r="H203" s="16">
        <v>161</v>
      </c>
      <c r="I203" s="16">
        <v>138</v>
      </c>
      <c r="J203" s="16">
        <v>123</v>
      </c>
      <c r="K203" s="16">
        <v>149</v>
      </c>
      <c r="L203" s="16"/>
      <c r="M203" s="21"/>
      <c r="N203" s="6"/>
    </row>
    <row r="204" spans="2:23" outlineLevel="1" x14ac:dyDescent="0.2">
      <c r="C204" s="8" t="s">
        <v>95</v>
      </c>
      <c r="D204" s="11" t="s">
        <v>140</v>
      </c>
      <c r="E204" s="16">
        <v>468</v>
      </c>
      <c r="F204" s="16">
        <v>612</v>
      </c>
      <c r="G204" s="16">
        <v>506</v>
      </c>
      <c r="H204" s="16">
        <v>263</v>
      </c>
      <c r="I204" s="16">
        <v>357</v>
      </c>
      <c r="J204" s="16">
        <v>302</v>
      </c>
      <c r="K204" s="16">
        <v>297</v>
      </c>
      <c r="L204" s="16"/>
      <c r="M204" s="21"/>
      <c r="N204" s="6"/>
    </row>
    <row r="205" spans="2:23" outlineLevel="1" x14ac:dyDescent="0.2">
      <c r="C205" s="8" t="s">
        <v>97</v>
      </c>
      <c r="D205" s="11" t="s">
        <v>140</v>
      </c>
      <c r="E205" s="16">
        <v>324</v>
      </c>
      <c r="F205" s="16">
        <v>208</v>
      </c>
      <c r="G205" s="16">
        <v>214</v>
      </c>
      <c r="H205" s="16">
        <v>175</v>
      </c>
      <c r="I205" s="16">
        <v>171</v>
      </c>
      <c r="J205" s="16">
        <v>166</v>
      </c>
      <c r="K205" s="16">
        <v>179</v>
      </c>
      <c r="L205" s="16"/>
      <c r="M205" s="21"/>
      <c r="N205" s="6"/>
    </row>
    <row r="206" spans="2:23" outlineLevel="1" x14ac:dyDescent="0.2">
      <c r="C206" s="8" t="s">
        <v>99</v>
      </c>
      <c r="D206" s="11" t="s">
        <v>140</v>
      </c>
      <c r="E206" s="16">
        <v>61</v>
      </c>
      <c r="F206" s="16">
        <v>83</v>
      </c>
      <c r="G206" s="16">
        <v>75</v>
      </c>
      <c r="H206" s="16">
        <v>83</v>
      </c>
      <c r="I206" s="16">
        <v>74</v>
      </c>
      <c r="J206" s="16">
        <v>79</v>
      </c>
      <c r="K206" s="16">
        <v>82</v>
      </c>
      <c r="L206" s="16"/>
      <c r="M206" s="21"/>
      <c r="N206" s="6"/>
    </row>
    <row r="207" spans="2:23" outlineLevel="1" x14ac:dyDescent="0.2">
      <c r="C207" s="8" t="s">
        <v>101</v>
      </c>
      <c r="D207" s="11" t="s">
        <v>140</v>
      </c>
      <c r="E207" s="16">
        <v>253</v>
      </c>
      <c r="F207" s="16">
        <v>239</v>
      </c>
      <c r="G207" s="16">
        <v>180</v>
      </c>
      <c r="H207" s="16">
        <v>219</v>
      </c>
      <c r="I207" s="16">
        <v>237</v>
      </c>
      <c r="J207" s="16">
        <v>222</v>
      </c>
      <c r="K207" s="16">
        <v>224</v>
      </c>
      <c r="L207" s="16"/>
      <c r="M207" s="21"/>
      <c r="N207" s="6"/>
    </row>
    <row r="208" spans="2:23" outlineLevel="1" x14ac:dyDescent="0.2"/>
    <row r="209" spans="2:23" outlineLevel="1" x14ac:dyDescent="0.2">
      <c r="C209" s="2" t="s">
        <v>257</v>
      </c>
      <c r="D209" s="3" t="s">
        <v>140</v>
      </c>
      <c r="E209" s="17">
        <f t="shared" ref="E209:L209" si="9">SUM(E197:E207)</f>
        <v>2917</v>
      </c>
      <c r="F209" s="17">
        <f t="shared" si="9"/>
        <v>2778</v>
      </c>
      <c r="G209" s="17">
        <f t="shared" si="9"/>
        <v>2352</v>
      </c>
      <c r="H209" s="17">
        <f t="shared" si="9"/>
        <v>1728</v>
      </c>
      <c r="I209" s="17">
        <f t="shared" si="9"/>
        <v>1859</v>
      </c>
      <c r="J209" s="17">
        <f t="shared" si="9"/>
        <v>1713</v>
      </c>
      <c r="K209" s="17">
        <f t="shared" si="9"/>
        <v>1706</v>
      </c>
      <c r="L209" s="17">
        <f t="shared" si="9"/>
        <v>0</v>
      </c>
    </row>
    <row r="211" spans="2:23" ht="13.5" x14ac:dyDescent="0.25">
      <c r="B211" s="9" t="s">
        <v>325</v>
      </c>
      <c r="C211" s="9"/>
      <c r="D211" s="10"/>
      <c r="E211" s="9"/>
      <c r="F211" s="9"/>
      <c r="G211" s="9"/>
      <c r="H211" s="9"/>
      <c r="I211" s="9"/>
      <c r="J211" s="9"/>
      <c r="K211" s="9"/>
      <c r="L211" s="9"/>
      <c r="M211" s="9"/>
      <c r="N211" s="204" t="s">
        <v>326</v>
      </c>
      <c r="O211" s="181"/>
      <c r="P211" s="181"/>
      <c r="Q211" s="181"/>
      <c r="R211" s="181"/>
      <c r="S211" s="181"/>
      <c r="T211" s="181"/>
      <c r="U211" s="181"/>
      <c r="V211" s="181"/>
      <c r="W211" s="172"/>
    </row>
    <row r="212" spans="2:23" outlineLevel="1" x14ac:dyDescent="0.2"/>
    <row r="213" spans="2:23" outlineLevel="1" x14ac:dyDescent="0.2">
      <c r="C213" s="88" t="s">
        <v>79</v>
      </c>
      <c r="D213" s="129" t="s">
        <v>142</v>
      </c>
      <c r="E213" s="130"/>
      <c r="F213" s="130"/>
      <c r="G213" s="130"/>
      <c r="H213" s="12">
        <v>85.12</v>
      </c>
      <c r="I213" s="12">
        <v>85.64</v>
      </c>
      <c r="J213" s="12">
        <v>88.37</v>
      </c>
      <c r="K213" s="12">
        <v>90.036500000000004</v>
      </c>
      <c r="L213" s="12"/>
      <c r="M213" s="21"/>
      <c r="N213" s="6"/>
    </row>
    <row r="214" spans="2:23" outlineLevel="1" x14ac:dyDescent="0.2">
      <c r="C214" s="88" t="s">
        <v>81</v>
      </c>
      <c r="D214" s="129" t="s">
        <v>142</v>
      </c>
      <c r="E214" s="130"/>
      <c r="F214" s="130"/>
      <c r="G214" s="130"/>
      <c r="H214" s="12">
        <v>83</v>
      </c>
      <c r="I214" s="12">
        <v>82.86</v>
      </c>
      <c r="J214" s="12">
        <v>84.64</v>
      </c>
      <c r="K214" s="12">
        <v>86.884</v>
      </c>
      <c r="L214" s="12"/>
      <c r="M214" s="21"/>
      <c r="N214" s="6"/>
    </row>
    <row r="215" spans="2:23" outlineLevel="1" x14ac:dyDescent="0.2">
      <c r="C215" s="88" t="s">
        <v>84</v>
      </c>
      <c r="D215" s="129" t="s">
        <v>142</v>
      </c>
      <c r="E215" s="130"/>
      <c r="F215" s="130"/>
      <c r="G215" s="130"/>
      <c r="H215" s="130"/>
      <c r="I215" s="130"/>
      <c r="J215" s="130"/>
      <c r="K215" s="12">
        <v>78.414339197459626</v>
      </c>
      <c r="L215" s="12"/>
      <c r="M215" s="21"/>
      <c r="N215" s="6"/>
    </row>
    <row r="216" spans="2:23" outlineLevel="1" x14ac:dyDescent="0.2">
      <c r="C216" s="88" t="s">
        <v>86</v>
      </c>
      <c r="D216" s="129" t="s">
        <v>142</v>
      </c>
      <c r="E216" s="130"/>
      <c r="F216" s="130"/>
      <c r="G216" s="130"/>
      <c r="H216" s="12">
        <v>83.64</v>
      </c>
      <c r="I216" s="12">
        <v>87.53</v>
      </c>
      <c r="J216" s="12">
        <v>86.39</v>
      </c>
      <c r="K216" s="12">
        <v>85.868625000000009</v>
      </c>
      <c r="L216" s="12"/>
      <c r="M216" s="21"/>
      <c r="N216" s="6"/>
    </row>
    <row r="217" spans="2:23" outlineLevel="1" x14ac:dyDescent="0.2">
      <c r="C217" s="88" t="s">
        <v>88</v>
      </c>
      <c r="D217" s="129" t="s">
        <v>142</v>
      </c>
      <c r="E217" s="130"/>
      <c r="F217" s="130"/>
      <c r="G217" s="130"/>
      <c r="H217" s="130"/>
      <c r="I217" s="130"/>
      <c r="J217" s="130"/>
      <c r="K217" s="12">
        <v>81.447664175787068</v>
      </c>
      <c r="L217" s="12"/>
      <c r="M217" s="21"/>
      <c r="N217" s="6"/>
    </row>
    <row r="218" spans="2:23" outlineLevel="1" x14ac:dyDescent="0.2">
      <c r="C218" s="88" t="s">
        <v>119</v>
      </c>
      <c r="D218" s="129" t="s">
        <v>142</v>
      </c>
      <c r="E218" s="130"/>
      <c r="F218" s="130"/>
      <c r="G218" s="130"/>
      <c r="H218" s="12">
        <v>83.7</v>
      </c>
      <c r="I218" s="12">
        <v>83.61</v>
      </c>
      <c r="J218" s="12">
        <v>83.2</v>
      </c>
      <c r="K218" s="130"/>
      <c r="L218" s="130"/>
      <c r="M218" s="21"/>
      <c r="N218" s="6"/>
    </row>
    <row r="219" spans="2:23" outlineLevel="1" x14ac:dyDescent="0.2">
      <c r="C219" s="88" t="s">
        <v>117</v>
      </c>
      <c r="D219" s="129" t="s">
        <v>142</v>
      </c>
      <c r="E219" s="130"/>
      <c r="F219" s="130"/>
      <c r="G219" s="130"/>
      <c r="H219" s="12">
        <v>78.599999999999994</v>
      </c>
      <c r="I219" s="12">
        <v>81.64</v>
      </c>
      <c r="J219" s="12">
        <v>84.54849999999999</v>
      </c>
      <c r="K219" s="12">
        <v>87.617000000000004</v>
      </c>
      <c r="L219" s="12"/>
      <c r="M219" s="21"/>
      <c r="N219" s="6"/>
    </row>
    <row r="220" spans="2:23" outlineLevel="1" x14ac:dyDescent="0.2">
      <c r="C220" s="88" t="s">
        <v>115</v>
      </c>
      <c r="D220" s="129" t="s">
        <v>142</v>
      </c>
      <c r="E220" s="130"/>
      <c r="F220" s="130"/>
      <c r="G220" s="130"/>
      <c r="H220" s="12">
        <v>86.2</v>
      </c>
      <c r="I220" s="12">
        <v>86.314999999999998</v>
      </c>
      <c r="J220" s="12">
        <v>87.608999999999995</v>
      </c>
      <c r="K220" s="12">
        <v>87.57</v>
      </c>
      <c r="L220" s="12"/>
      <c r="M220" s="21"/>
      <c r="N220" s="6"/>
    </row>
    <row r="221" spans="2:23" outlineLevel="1" x14ac:dyDescent="0.2">
      <c r="C221" s="88" t="s">
        <v>93</v>
      </c>
      <c r="D221" s="129" t="s">
        <v>142</v>
      </c>
      <c r="E221" s="130"/>
      <c r="F221" s="130"/>
      <c r="G221" s="130"/>
      <c r="H221" s="12">
        <v>73</v>
      </c>
      <c r="I221" s="12">
        <v>78.13</v>
      </c>
      <c r="J221" s="12">
        <v>79.33</v>
      </c>
      <c r="K221" s="12">
        <v>80.137</v>
      </c>
      <c r="L221" s="12"/>
      <c r="M221" s="21"/>
      <c r="N221" s="6"/>
    </row>
    <row r="222" spans="2:23" outlineLevel="1" x14ac:dyDescent="0.2">
      <c r="C222" s="88" t="s">
        <v>95</v>
      </c>
      <c r="D222" s="129" t="s">
        <v>142</v>
      </c>
      <c r="E222" s="130"/>
      <c r="F222" s="130"/>
      <c r="G222" s="130"/>
      <c r="H222" s="12">
        <v>76.739999999999995</v>
      </c>
      <c r="I222" s="12">
        <v>77.264009835474994</v>
      </c>
      <c r="J222" s="12">
        <v>78.428740527351835</v>
      </c>
      <c r="K222" s="12">
        <v>75.026663774526256</v>
      </c>
      <c r="L222" s="12"/>
      <c r="M222" s="21"/>
      <c r="N222" s="6"/>
    </row>
    <row r="223" spans="2:23" outlineLevel="1" x14ac:dyDescent="0.2">
      <c r="C223" s="88" t="s">
        <v>97</v>
      </c>
      <c r="D223" s="129" t="s">
        <v>142</v>
      </c>
      <c r="E223" s="130"/>
      <c r="F223" s="130"/>
      <c r="G223" s="130"/>
      <c r="H223" s="12">
        <v>81.55</v>
      </c>
      <c r="I223" s="12">
        <v>85.44</v>
      </c>
      <c r="J223" s="12">
        <v>86.873881667676727</v>
      </c>
      <c r="K223" s="12">
        <v>87.639669640685241</v>
      </c>
      <c r="L223" s="12"/>
      <c r="M223" s="21"/>
      <c r="N223" s="6"/>
    </row>
    <row r="224" spans="2:23" outlineLevel="1" x14ac:dyDescent="0.2">
      <c r="C224" s="88" t="s">
        <v>99</v>
      </c>
      <c r="D224" s="129" t="s">
        <v>142</v>
      </c>
      <c r="E224" s="130"/>
      <c r="F224" s="130"/>
      <c r="G224" s="130"/>
      <c r="H224" s="12">
        <v>87.1</v>
      </c>
      <c r="I224" s="12">
        <v>87.55</v>
      </c>
      <c r="J224" s="12">
        <v>86.89</v>
      </c>
      <c r="K224" s="12">
        <v>87.202624999999998</v>
      </c>
      <c r="L224" s="12"/>
      <c r="M224" s="21"/>
      <c r="N224" s="6"/>
    </row>
    <row r="225" spans="2:23" outlineLevel="1" x14ac:dyDescent="0.2">
      <c r="C225" s="88" t="s">
        <v>101</v>
      </c>
      <c r="D225" s="129" t="s">
        <v>142</v>
      </c>
      <c r="E225" s="130"/>
      <c r="F225" s="130"/>
      <c r="G225" s="130"/>
      <c r="H225" s="12">
        <v>82.6</v>
      </c>
      <c r="I225" s="12">
        <v>83.4</v>
      </c>
      <c r="J225" s="12">
        <v>84.27</v>
      </c>
      <c r="K225" s="12">
        <v>84.000500000000002</v>
      </c>
      <c r="L225" s="12"/>
      <c r="M225" s="21"/>
      <c r="N225" s="6"/>
    </row>
    <row r="226" spans="2:23" outlineLevel="1" x14ac:dyDescent="0.2">
      <c r="C226" s="88" t="s">
        <v>103</v>
      </c>
      <c r="D226" s="129" t="s">
        <v>142</v>
      </c>
      <c r="E226" s="130"/>
      <c r="F226" s="130"/>
      <c r="G226" s="130"/>
      <c r="H226" s="12">
        <v>76.73</v>
      </c>
      <c r="I226" s="12">
        <v>78.510000000000005</v>
      </c>
      <c r="J226" s="12">
        <v>80.909102903993897</v>
      </c>
      <c r="K226" s="12">
        <v>81.200500000000005</v>
      </c>
      <c r="L226" s="12"/>
      <c r="M226" s="21"/>
      <c r="N226" s="6"/>
    </row>
    <row r="227" spans="2:23" outlineLevel="1" x14ac:dyDescent="0.2">
      <c r="C227" s="88" t="s">
        <v>105</v>
      </c>
      <c r="D227" s="129" t="s">
        <v>142</v>
      </c>
      <c r="E227" s="130"/>
      <c r="F227" s="130"/>
      <c r="G227" s="130"/>
      <c r="H227" s="12">
        <v>85.1</v>
      </c>
      <c r="I227" s="12">
        <v>85.9</v>
      </c>
      <c r="J227" s="12">
        <v>83.38</v>
      </c>
      <c r="K227" s="12">
        <v>84.711500000000001</v>
      </c>
      <c r="L227" s="12"/>
      <c r="M227" s="21"/>
      <c r="N227" s="6"/>
    </row>
    <row r="228" spans="2:23" outlineLevel="1" x14ac:dyDescent="0.2">
      <c r="C228" s="88" t="s">
        <v>121</v>
      </c>
      <c r="D228" s="129" t="s">
        <v>142</v>
      </c>
      <c r="E228" s="130"/>
      <c r="F228" s="130"/>
      <c r="G228" s="130"/>
      <c r="H228" s="12">
        <v>83.42</v>
      </c>
      <c r="I228" s="12">
        <v>85.98</v>
      </c>
      <c r="J228" s="12">
        <v>86.5</v>
      </c>
      <c r="K228" s="130"/>
      <c r="L228" s="130"/>
      <c r="M228" s="21"/>
      <c r="N228" s="6"/>
    </row>
    <row r="229" spans="2:23" outlineLevel="1" x14ac:dyDescent="0.2">
      <c r="C229" s="88" t="s">
        <v>107</v>
      </c>
      <c r="D229" s="129" t="s">
        <v>142</v>
      </c>
      <c r="E229" s="130"/>
      <c r="F229" s="130"/>
      <c r="G229" s="130"/>
      <c r="H229" s="12">
        <v>89.5</v>
      </c>
      <c r="I229" s="12">
        <v>87.68</v>
      </c>
      <c r="J229" s="12">
        <v>87.9</v>
      </c>
      <c r="K229" s="12">
        <v>89.069000000000003</v>
      </c>
      <c r="L229" s="12"/>
      <c r="M229" s="21"/>
      <c r="N229" s="6"/>
    </row>
    <row r="230" spans="2:23" outlineLevel="1" x14ac:dyDescent="0.2">
      <c r="C230" s="88" t="s">
        <v>111</v>
      </c>
      <c r="D230" s="129" t="s">
        <v>142</v>
      </c>
      <c r="E230" s="130"/>
      <c r="F230" s="130"/>
      <c r="G230" s="130"/>
      <c r="H230" s="12">
        <v>81.95</v>
      </c>
      <c r="I230" s="12">
        <v>84.6</v>
      </c>
      <c r="J230" s="12">
        <v>85.6</v>
      </c>
      <c r="K230" s="12">
        <v>85.358499999999992</v>
      </c>
      <c r="L230" s="12"/>
      <c r="M230" s="21"/>
      <c r="N230" s="6"/>
    </row>
    <row r="231" spans="2:23" outlineLevel="1" x14ac:dyDescent="0.2">
      <c r="C231" s="88" t="s">
        <v>113</v>
      </c>
      <c r="D231" s="129" t="s">
        <v>142</v>
      </c>
      <c r="E231" s="130"/>
      <c r="F231" s="130"/>
      <c r="G231" s="130"/>
      <c r="H231" s="12">
        <v>86.3</v>
      </c>
      <c r="I231" s="12">
        <v>84.4</v>
      </c>
      <c r="J231" s="12">
        <v>87.03</v>
      </c>
      <c r="K231" s="12">
        <v>86.404774303995708</v>
      </c>
      <c r="L231" s="12"/>
      <c r="M231" s="21"/>
      <c r="N231" s="6"/>
    </row>
    <row r="232" spans="2:23" outlineLevel="1" x14ac:dyDescent="0.2">
      <c r="C232" s="8" t="s">
        <v>109</v>
      </c>
      <c r="D232" s="11" t="s">
        <v>142</v>
      </c>
      <c r="E232" s="19"/>
      <c r="F232" s="19"/>
      <c r="G232" s="19"/>
      <c r="H232" s="12">
        <v>80.8</v>
      </c>
      <c r="I232" s="12">
        <v>79.599999999999994</v>
      </c>
      <c r="J232" s="12">
        <v>78.7</v>
      </c>
      <c r="K232" s="12">
        <v>80.503999999999991</v>
      </c>
      <c r="L232" s="12"/>
      <c r="M232" s="21"/>
      <c r="N232" s="6"/>
    </row>
    <row r="233" spans="2:23" outlineLevel="1" x14ac:dyDescent="0.2"/>
    <row r="234" spans="2:23" outlineLevel="1" x14ac:dyDescent="0.2">
      <c r="C234" s="2" t="s">
        <v>327</v>
      </c>
      <c r="D234" s="14" t="s">
        <v>142</v>
      </c>
      <c r="E234" s="15">
        <f xml:space="preserve"> IFERROR( AVERAGE( E213:E232 ), 0 )</f>
        <v>0</v>
      </c>
      <c r="F234" s="15">
        <f t="shared" ref="F234:L234" si="10" xml:space="preserve"> IFERROR( AVERAGE( F213:F232 ), 0 )</f>
        <v>0</v>
      </c>
      <c r="G234" s="15">
        <f t="shared" si="10"/>
        <v>0</v>
      </c>
      <c r="H234" s="15">
        <f t="shared" si="10"/>
        <v>82.50277777777778</v>
      </c>
      <c r="I234" s="15">
        <f t="shared" si="10"/>
        <v>83.669389435304154</v>
      </c>
      <c r="J234" s="15">
        <f t="shared" si="10"/>
        <v>84.476068061056793</v>
      </c>
      <c r="K234" s="15">
        <f t="shared" si="10"/>
        <v>84.39404783846966</v>
      </c>
      <c r="L234" s="15">
        <f t="shared" si="10"/>
        <v>0</v>
      </c>
    </row>
    <row r="236" spans="2:23" ht="13.5" x14ac:dyDescent="0.25">
      <c r="B236" s="9" t="s">
        <v>328</v>
      </c>
      <c r="C236" s="9"/>
      <c r="D236" s="10"/>
      <c r="E236" s="9"/>
      <c r="F236" s="9"/>
      <c r="G236" s="9"/>
      <c r="H236" s="9"/>
      <c r="I236" s="9"/>
      <c r="J236" s="9"/>
      <c r="K236" s="9"/>
      <c r="L236" s="9"/>
      <c r="M236" s="9"/>
      <c r="N236" s="181"/>
      <c r="O236" s="181"/>
      <c r="P236" s="181"/>
      <c r="Q236" s="181"/>
      <c r="R236" s="181"/>
      <c r="S236" s="181"/>
      <c r="T236" s="181"/>
      <c r="U236" s="181"/>
      <c r="V236" s="181"/>
      <c r="W236" s="172"/>
    </row>
    <row r="237" spans="2:23" outlineLevel="1" x14ac:dyDescent="0.2"/>
    <row r="238" spans="2:23" s="34" customFormat="1" ht="13.5" outlineLevel="1" x14ac:dyDescent="0.25">
      <c r="B238" s="35" t="s">
        <v>329</v>
      </c>
      <c r="C238" s="35"/>
      <c r="D238" s="32"/>
      <c r="E238" s="33"/>
      <c r="F238" s="33"/>
      <c r="G238" s="33"/>
      <c r="H238" s="33"/>
      <c r="I238" s="33"/>
      <c r="J238" s="33"/>
      <c r="K238" s="33"/>
      <c r="L238" s="33"/>
      <c r="M238" s="33"/>
      <c r="N238" s="170" t="s">
        <v>330</v>
      </c>
      <c r="O238" s="170"/>
      <c r="P238" s="170"/>
      <c r="Q238" s="170"/>
      <c r="R238" s="170"/>
      <c r="S238" s="170"/>
      <c r="T238" s="170"/>
      <c r="U238" s="170"/>
      <c r="V238" s="170"/>
      <c r="W238" s="173"/>
    </row>
    <row r="239" spans="2:23" outlineLevel="1" x14ac:dyDescent="0.2"/>
    <row r="240" spans="2:23" outlineLevel="1" x14ac:dyDescent="0.2">
      <c r="C240" s="8" t="s">
        <v>79</v>
      </c>
      <c r="D240" s="11" t="s">
        <v>140</v>
      </c>
      <c r="E240" s="19"/>
      <c r="F240" s="19"/>
      <c r="G240" s="19"/>
      <c r="H240" s="16">
        <v>14</v>
      </c>
      <c r="I240" s="16">
        <v>14</v>
      </c>
      <c r="J240" s="16">
        <v>15</v>
      </c>
      <c r="K240" s="16">
        <v>14</v>
      </c>
      <c r="L240" s="16"/>
      <c r="M240" s="21"/>
      <c r="N240" s="6"/>
    </row>
    <row r="241" spans="3:14" outlineLevel="1" x14ac:dyDescent="0.2">
      <c r="C241" s="8" t="s">
        <v>81</v>
      </c>
      <c r="D241" s="11" t="s">
        <v>140</v>
      </c>
      <c r="E241" s="19"/>
      <c r="F241" s="19"/>
      <c r="G241" s="19"/>
      <c r="H241" s="16">
        <v>31</v>
      </c>
      <c r="I241" s="16">
        <v>31</v>
      </c>
      <c r="J241" s="16">
        <v>27</v>
      </c>
      <c r="K241" s="16">
        <v>27</v>
      </c>
      <c r="L241" s="16"/>
      <c r="M241" s="21"/>
      <c r="N241" s="6"/>
    </row>
    <row r="242" spans="3:14" outlineLevel="1" x14ac:dyDescent="0.2">
      <c r="C242" s="8" t="s">
        <v>84</v>
      </c>
      <c r="D242" s="11" t="s">
        <v>140</v>
      </c>
      <c r="E242" s="19"/>
      <c r="F242" s="19"/>
      <c r="G242" s="19"/>
      <c r="H242" s="19"/>
      <c r="I242" s="19"/>
      <c r="J242" s="19"/>
      <c r="K242" s="16">
        <v>39</v>
      </c>
      <c r="L242" s="16"/>
      <c r="M242" s="21"/>
      <c r="N242" s="6"/>
    </row>
    <row r="243" spans="3:14" outlineLevel="1" x14ac:dyDescent="0.2">
      <c r="C243" s="8" t="s">
        <v>86</v>
      </c>
      <c r="D243" s="11" t="s">
        <v>140</v>
      </c>
      <c r="E243" s="19"/>
      <c r="F243" s="19"/>
      <c r="G243" s="19"/>
      <c r="H243" s="16">
        <v>29</v>
      </c>
      <c r="I243" s="16">
        <v>29</v>
      </c>
      <c r="J243" s="16">
        <v>41</v>
      </c>
      <c r="K243" s="16">
        <v>41</v>
      </c>
      <c r="L243" s="16"/>
      <c r="M243" s="21"/>
      <c r="N243" s="6"/>
    </row>
    <row r="244" spans="3:14" outlineLevel="1" x14ac:dyDescent="0.2">
      <c r="C244" s="8" t="s">
        <v>88</v>
      </c>
      <c r="D244" s="11" t="s">
        <v>140</v>
      </c>
      <c r="E244" s="19"/>
      <c r="F244" s="19"/>
      <c r="G244" s="19"/>
      <c r="H244" s="19"/>
      <c r="I244" s="19"/>
      <c r="J244" s="19"/>
      <c r="K244" s="16">
        <v>45</v>
      </c>
      <c r="L244" s="16"/>
      <c r="M244" s="21"/>
      <c r="N244" s="6"/>
    </row>
    <row r="245" spans="3:14" outlineLevel="1" x14ac:dyDescent="0.2">
      <c r="C245" s="8" t="s">
        <v>119</v>
      </c>
      <c r="D245" s="11" t="s">
        <v>140</v>
      </c>
      <c r="E245" s="19"/>
      <c r="F245" s="19"/>
      <c r="G245" s="19"/>
      <c r="H245" s="16">
        <v>28</v>
      </c>
      <c r="I245" s="16">
        <v>31</v>
      </c>
      <c r="J245" s="16">
        <v>34</v>
      </c>
      <c r="K245" s="19"/>
      <c r="L245" s="19"/>
      <c r="M245" s="21"/>
      <c r="N245" s="6"/>
    </row>
    <row r="246" spans="3:14" outlineLevel="1" x14ac:dyDescent="0.2">
      <c r="C246" s="8" t="s">
        <v>90</v>
      </c>
      <c r="D246" s="11" t="s">
        <v>140</v>
      </c>
      <c r="E246" s="19"/>
      <c r="F246" s="19"/>
      <c r="G246" s="19"/>
      <c r="H246" s="16">
        <v>29</v>
      </c>
      <c r="I246" s="16">
        <v>27</v>
      </c>
      <c r="J246" s="16">
        <v>28</v>
      </c>
      <c r="K246" s="16">
        <v>28</v>
      </c>
      <c r="L246" s="16"/>
      <c r="M246" s="21"/>
      <c r="N246" s="6"/>
    </row>
    <row r="247" spans="3:14" outlineLevel="1" x14ac:dyDescent="0.2">
      <c r="C247" s="8" t="s">
        <v>93</v>
      </c>
      <c r="D247" s="11" t="s">
        <v>140</v>
      </c>
      <c r="E247" s="19"/>
      <c r="F247" s="19"/>
      <c r="G247" s="19"/>
      <c r="H247" s="16">
        <v>19</v>
      </c>
      <c r="I247" s="16">
        <v>24</v>
      </c>
      <c r="J247" s="16">
        <v>25</v>
      </c>
      <c r="K247" s="16">
        <v>25</v>
      </c>
      <c r="L247" s="16"/>
      <c r="M247" s="21"/>
      <c r="N247" s="6"/>
    </row>
    <row r="248" spans="3:14" outlineLevel="1" x14ac:dyDescent="0.2">
      <c r="C248" s="8" t="s">
        <v>95</v>
      </c>
      <c r="D248" s="11" t="s">
        <v>140</v>
      </c>
      <c r="E248" s="19"/>
      <c r="F248" s="19"/>
      <c r="G248" s="19"/>
      <c r="H248" s="16">
        <v>39</v>
      </c>
      <c r="I248" s="16">
        <v>41</v>
      </c>
      <c r="J248" s="16">
        <v>43</v>
      </c>
      <c r="K248" s="16">
        <v>40</v>
      </c>
      <c r="L248" s="16"/>
      <c r="M248" s="21"/>
      <c r="N248" s="6"/>
    </row>
    <row r="249" spans="3:14" outlineLevel="1" x14ac:dyDescent="0.2">
      <c r="C249" s="8" t="s">
        <v>97</v>
      </c>
      <c r="D249" s="11" t="s">
        <v>140</v>
      </c>
      <c r="E249" s="19"/>
      <c r="F249" s="19"/>
      <c r="G249" s="19"/>
      <c r="H249" s="16">
        <v>27</v>
      </c>
      <c r="I249" s="16">
        <v>27</v>
      </c>
      <c r="J249" s="16">
        <v>26</v>
      </c>
      <c r="K249" s="16">
        <v>27</v>
      </c>
      <c r="L249" s="16"/>
      <c r="M249" s="21"/>
      <c r="N249" s="6"/>
    </row>
    <row r="250" spans="3:14" outlineLevel="1" x14ac:dyDescent="0.2">
      <c r="C250" s="8" t="s">
        <v>99</v>
      </c>
      <c r="D250" s="11" t="s">
        <v>140</v>
      </c>
      <c r="E250" s="19"/>
      <c r="F250" s="19"/>
      <c r="G250" s="19"/>
      <c r="H250" s="16">
        <v>32</v>
      </c>
      <c r="I250" s="16">
        <v>30</v>
      </c>
      <c r="J250" s="16">
        <v>31</v>
      </c>
      <c r="K250" s="16">
        <v>31</v>
      </c>
      <c r="L250" s="16"/>
      <c r="M250" s="21"/>
      <c r="N250" s="6"/>
    </row>
    <row r="251" spans="3:14" outlineLevel="1" x14ac:dyDescent="0.2">
      <c r="C251" s="8" t="s">
        <v>101</v>
      </c>
      <c r="D251" s="11" t="s">
        <v>140</v>
      </c>
      <c r="E251" s="19"/>
      <c r="F251" s="19"/>
      <c r="G251" s="19"/>
      <c r="H251" s="16">
        <v>22</v>
      </c>
      <c r="I251" s="16">
        <v>22</v>
      </c>
      <c r="J251" s="16">
        <v>22</v>
      </c>
      <c r="K251" s="16">
        <v>30</v>
      </c>
      <c r="L251" s="16"/>
      <c r="M251" s="21"/>
      <c r="N251" s="6"/>
    </row>
    <row r="252" spans="3:14" outlineLevel="1" x14ac:dyDescent="0.2">
      <c r="C252" s="8" t="s">
        <v>103</v>
      </c>
      <c r="D252" s="11" t="s">
        <v>140</v>
      </c>
      <c r="E252" s="19"/>
      <c r="F252" s="19"/>
      <c r="G252" s="19"/>
      <c r="H252" s="16">
        <v>10</v>
      </c>
      <c r="I252" s="16">
        <v>10</v>
      </c>
      <c r="J252" s="16">
        <v>10</v>
      </c>
      <c r="K252" s="16">
        <v>10</v>
      </c>
      <c r="L252" s="16"/>
      <c r="M252" s="21"/>
      <c r="N252" s="6"/>
    </row>
    <row r="253" spans="3:14" outlineLevel="1" x14ac:dyDescent="0.2">
      <c r="C253" s="8" t="s">
        <v>105</v>
      </c>
      <c r="D253" s="11" t="s">
        <v>140</v>
      </c>
      <c r="E253" s="19"/>
      <c r="F253" s="19"/>
      <c r="G253" s="19"/>
      <c r="H253" s="16">
        <v>21</v>
      </c>
      <c r="I253" s="16">
        <v>21</v>
      </c>
      <c r="J253" s="16">
        <v>21</v>
      </c>
      <c r="K253" s="16">
        <v>21</v>
      </c>
      <c r="L253" s="16"/>
      <c r="M253" s="21"/>
      <c r="N253" s="6"/>
    </row>
    <row r="254" spans="3:14" outlineLevel="1" x14ac:dyDescent="0.2">
      <c r="C254" s="8" t="s">
        <v>121</v>
      </c>
      <c r="D254" s="11" t="s">
        <v>140</v>
      </c>
      <c r="E254" s="19"/>
      <c r="F254" s="19"/>
      <c r="G254" s="19"/>
      <c r="H254" s="16">
        <v>11</v>
      </c>
      <c r="I254" s="16">
        <v>12</v>
      </c>
      <c r="J254" s="16">
        <v>12</v>
      </c>
      <c r="K254" s="19"/>
      <c r="L254" s="19"/>
      <c r="M254" s="21"/>
      <c r="N254" s="6"/>
    </row>
    <row r="255" spans="3:14" outlineLevel="1" x14ac:dyDescent="0.2">
      <c r="C255" s="8" t="s">
        <v>107</v>
      </c>
      <c r="D255" s="11" t="s">
        <v>140</v>
      </c>
      <c r="E255" s="19"/>
      <c r="F255" s="19"/>
      <c r="G255" s="19"/>
      <c r="H255" s="16">
        <v>13</v>
      </c>
      <c r="I255" s="16">
        <v>13</v>
      </c>
      <c r="J255" s="16">
        <v>10</v>
      </c>
      <c r="K255" s="16">
        <v>10</v>
      </c>
      <c r="L255" s="16"/>
      <c r="M255" s="21"/>
      <c r="N255" s="6"/>
    </row>
    <row r="256" spans="3:14" outlineLevel="1" x14ac:dyDescent="0.2">
      <c r="C256" s="8" t="s">
        <v>111</v>
      </c>
      <c r="D256" s="11" t="s">
        <v>140</v>
      </c>
      <c r="E256" s="19"/>
      <c r="F256" s="19"/>
      <c r="G256" s="19"/>
      <c r="H256" s="16">
        <v>27</v>
      </c>
      <c r="I256" s="16">
        <v>28</v>
      </c>
      <c r="J256" s="16">
        <v>28</v>
      </c>
      <c r="K256" s="16">
        <v>28</v>
      </c>
      <c r="L256" s="16"/>
      <c r="M256" s="21"/>
      <c r="N256" s="6"/>
    </row>
    <row r="257" spans="2:23" outlineLevel="1" x14ac:dyDescent="0.2">
      <c r="C257" s="8" t="s">
        <v>113</v>
      </c>
      <c r="D257" s="11" t="s">
        <v>140</v>
      </c>
      <c r="E257" s="19"/>
      <c r="F257" s="19"/>
      <c r="G257" s="19"/>
      <c r="H257" s="16">
        <v>15</v>
      </c>
      <c r="I257" s="16">
        <v>15</v>
      </c>
      <c r="J257" s="16">
        <v>15</v>
      </c>
      <c r="K257" s="16">
        <v>15</v>
      </c>
      <c r="L257" s="16"/>
      <c r="M257" s="21"/>
      <c r="N257" s="6"/>
    </row>
    <row r="258" spans="2:23" outlineLevel="1" x14ac:dyDescent="0.2">
      <c r="C258" s="8" t="s">
        <v>109</v>
      </c>
      <c r="D258" s="11" t="s">
        <v>140</v>
      </c>
      <c r="E258" s="19"/>
      <c r="F258" s="19"/>
      <c r="G258" s="19"/>
      <c r="H258" s="16">
        <v>21</v>
      </c>
      <c r="I258" s="16">
        <v>21</v>
      </c>
      <c r="J258" s="16">
        <v>21</v>
      </c>
      <c r="K258" s="16">
        <v>21</v>
      </c>
      <c r="L258" s="16"/>
      <c r="M258" s="21"/>
      <c r="N258" s="6"/>
    </row>
    <row r="259" spans="2:23" outlineLevel="1" x14ac:dyDescent="0.2"/>
    <row r="260" spans="2:23" outlineLevel="1" x14ac:dyDescent="0.2">
      <c r="C260" s="2" t="s">
        <v>257</v>
      </c>
      <c r="D260" s="14" t="s">
        <v>140</v>
      </c>
      <c r="E260" s="272">
        <f t="shared" ref="E260:L260" si="11">SUM(E240:E258)</f>
        <v>0</v>
      </c>
      <c r="F260" s="272">
        <f t="shared" si="11"/>
        <v>0</v>
      </c>
      <c r="G260" s="272">
        <f t="shared" si="11"/>
        <v>0</v>
      </c>
      <c r="H260" s="272">
        <f t="shared" si="11"/>
        <v>388</v>
      </c>
      <c r="I260" s="272">
        <f t="shared" si="11"/>
        <v>396</v>
      </c>
      <c r="J260" s="272">
        <f t="shared" si="11"/>
        <v>409</v>
      </c>
      <c r="K260" s="272">
        <f t="shared" si="11"/>
        <v>452</v>
      </c>
      <c r="L260" s="272">
        <f t="shared" si="11"/>
        <v>0</v>
      </c>
    </row>
    <row r="261" spans="2:23" outlineLevel="1" x14ac:dyDescent="0.2"/>
    <row r="262" spans="2:23" s="34" customFormat="1" ht="13.5" outlineLevel="1" x14ac:dyDescent="0.25">
      <c r="B262" s="35" t="s">
        <v>331</v>
      </c>
      <c r="C262" s="35"/>
      <c r="D262" s="32"/>
      <c r="E262" s="33"/>
      <c r="F262" s="33"/>
      <c r="G262" s="33"/>
      <c r="H262" s="33"/>
      <c r="I262" s="33"/>
      <c r="J262" s="33"/>
      <c r="K262" s="33"/>
      <c r="L262" s="33"/>
      <c r="M262" s="33"/>
      <c r="N262" s="170" t="s">
        <v>332</v>
      </c>
      <c r="O262" s="170"/>
      <c r="P262" s="170"/>
      <c r="Q262" s="170"/>
      <c r="R262" s="170"/>
      <c r="S262" s="170"/>
      <c r="T262" s="170"/>
      <c r="U262" s="170"/>
      <c r="V262" s="170"/>
      <c r="W262" s="173"/>
    </row>
    <row r="263" spans="2:23" outlineLevel="1" x14ac:dyDescent="0.2"/>
    <row r="264" spans="2:23" outlineLevel="1" x14ac:dyDescent="0.2">
      <c r="C264" s="8" t="s">
        <v>79</v>
      </c>
      <c r="D264" s="11" t="s">
        <v>140</v>
      </c>
      <c r="E264" s="19"/>
      <c r="F264" s="19"/>
      <c r="G264" s="19"/>
      <c r="H264" s="16">
        <v>14</v>
      </c>
      <c r="I264" s="16">
        <v>11</v>
      </c>
      <c r="J264" s="16">
        <v>14</v>
      </c>
      <c r="K264" s="16">
        <v>13</v>
      </c>
      <c r="L264" s="16"/>
      <c r="M264" s="21"/>
      <c r="N264" s="6"/>
    </row>
    <row r="265" spans="2:23" outlineLevel="1" x14ac:dyDescent="0.2">
      <c r="C265" s="8" t="s">
        <v>81</v>
      </c>
      <c r="D265" s="11" t="s">
        <v>140</v>
      </c>
      <c r="E265" s="19"/>
      <c r="F265" s="19"/>
      <c r="G265" s="19"/>
      <c r="H265" s="16">
        <v>24</v>
      </c>
      <c r="I265" s="16">
        <v>24</v>
      </c>
      <c r="J265" s="16">
        <v>21</v>
      </c>
      <c r="K265" s="16">
        <v>17</v>
      </c>
      <c r="L265" s="16"/>
      <c r="M265" s="21"/>
    </row>
    <row r="266" spans="2:23" outlineLevel="1" x14ac:dyDescent="0.2">
      <c r="C266" s="8" t="s">
        <v>84</v>
      </c>
      <c r="D266" s="11" t="s">
        <v>140</v>
      </c>
      <c r="E266" s="19"/>
      <c r="F266" s="19"/>
      <c r="G266" s="19"/>
      <c r="H266" s="19"/>
      <c r="I266" s="19"/>
      <c r="J266" s="19"/>
      <c r="K266" s="16">
        <v>20</v>
      </c>
      <c r="L266" s="16"/>
      <c r="M266" s="21"/>
      <c r="N266" s="6"/>
    </row>
    <row r="267" spans="2:23" outlineLevel="1" x14ac:dyDescent="0.2">
      <c r="C267" s="8" t="s">
        <v>86</v>
      </c>
      <c r="D267" s="11" t="s">
        <v>140</v>
      </c>
      <c r="E267" s="19"/>
      <c r="F267" s="19"/>
      <c r="G267" s="19"/>
      <c r="H267" s="16">
        <v>20</v>
      </c>
      <c r="I267" s="16">
        <v>20</v>
      </c>
      <c r="J267" s="16">
        <v>31</v>
      </c>
      <c r="K267" s="16">
        <v>24</v>
      </c>
      <c r="L267" s="16"/>
      <c r="M267" s="21"/>
      <c r="N267" s="6"/>
    </row>
    <row r="268" spans="2:23" outlineLevel="1" x14ac:dyDescent="0.2">
      <c r="C268" s="8" t="s">
        <v>88</v>
      </c>
      <c r="D268" s="11" t="s">
        <v>140</v>
      </c>
      <c r="E268" s="19"/>
      <c r="F268" s="19"/>
      <c r="G268" s="19"/>
      <c r="H268" s="19"/>
      <c r="I268" s="19"/>
      <c r="J268" s="19"/>
      <c r="K268" s="16">
        <v>28</v>
      </c>
      <c r="L268" s="16"/>
      <c r="M268" s="21"/>
      <c r="N268" s="6"/>
    </row>
    <row r="269" spans="2:23" outlineLevel="1" x14ac:dyDescent="0.2">
      <c r="C269" s="8" t="s">
        <v>119</v>
      </c>
      <c r="E269" s="19"/>
      <c r="F269" s="19"/>
      <c r="G269" s="19"/>
      <c r="H269" s="16">
        <v>17</v>
      </c>
      <c r="I269" s="16">
        <v>21</v>
      </c>
      <c r="J269" s="16">
        <v>23</v>
      </c>
      <c r="K269" s="19"/>
      <c r="L269" s="19"/>
      <c r="M269" s="21"/>
      <c r="N269" s="6"/>
    </row>
    <row r="270" spans="2:23" outlineLevel="1" x14ac:dyDescent="0.2">
      <c r="C270" s="8" t="s">
        <v>90</v>
      </c>
      <c r="D270" s="11" t="s">
        <v>140</v>
      </c>
      <c r="E270" s="19"/>
      <c r="F270" s="19"/>
      <c r="G270" s="19"/>
      <c r="H270" s="16">
        <v>18</v>
      </c>
      <c r="I270" s="16">
        <v>18</v>
      </c>
      <c r="J270" s="16">
        <v>20</v>
      </c>
      <c r="K270" s="16">
        <v>20</v>
      </c>
      <c r="L270" s="16"/>
      <c r="M270" s="21"/>
    </row>
    <row r="271" spans="2:23" outlineLevel="1" x14ac:dyDescent="0.2">
      <c r="C271" s="8" t="s">
        <v>93</v>
      </c>
      <c r="D271" s="11" t="s">
        <v>140</v>
      </c>
      <c r="E271" s="19"/>
      <c r="F271" s="19"/>
      <c r="G271" s="19"/>
      <c r="H271" s="16">
        <v>12</v>
      </c>
      <c r="I271" s="16">
        <v>15</v>
      </c>
      <c r="J271" s="16">
        <v>14</v>
      </c>
      <c r="K271" s="16">
        <v>16</v>
      </c>
      <c r="L271" s="16"/>
      <c r="M271" s="21"/>
    </row>
    <row r="272" spans="2:23" outlineLevel="1" x14ac:dyDescent="0.2">
      <c r="C272" s="8" t="s">
        <v>95</v>
      </c>
      <c r="D272" s="11" t="s">
        <v>140</v>
      </c>
      <c r="E272" s="19"/>
      <c r="F272" s="19"/>
      <c r="G272" s="19"/>
      <c r="H272" s="16">
        <v>25</v>
      </c>
      <c r="I272" s="16">
        <v>27</v>
      </c>
      <c r="J272" s="16">
        <v>28</v>
      </c>
      <c r="K272" s="16">
        <v>22</v>
      </c>
      <c r="L272" s="16"/>
      <c r="M272" s="21"/>
    </row>
    <row r="273" spans="2:23" outlineLevel="1" x14ac:dyDescent="0.2">
      <c r="C273" s="8" t="s">
        <v>97</v>
      </c>
      <c r="D273" s="11" t="s">
        <v>140</v>
      </c>
      <c r="E273" s="19"/>
      <c r="F273" s="19"/>
      <c r="G273" s="19"/>
      <c r="H273" s="16">
        <v>18</v>
      </c>
      <c r="I273" s="16">
        <v>19</v>
      </c>
      <c r="J273" s="16">
        <v>18</v>
      </c>
      <c r="K273" s="16">
        <v>20</v>
      </c>
      <c r="L273" s="16"/>
      <c r="M273" s="21"/>
    </row>
    <row r="274" spans="2:23" outlineLevel="1" x14ac:dyDescent="0.2">
      <c r="C274" s="8" t="s">
        <v>99</v>
      </c>
      <c r="D274" s="11" t="s">
        <v>140</v>
      </c>
      <c r="E274" s="19"/>
      <c r="F274" s="19"/>
      <c r="G274" s="19"/>
      <c r="H274" s="16">
        <v>26</v>
      </c>
      <c r="I274" s="16">
        <v>23</v>
      </c>
      <c r="J274" s="16">
        <v>24</v>
      </c>
      <c r="K274" s="16">
        <v>24</v>
      </c>
      <c r="L274" s="16"/>
      <c r="M274" s="21"/>
    </row>
    <row r="275" spans="2:23" outlineLevel="1" x14ac:dyDescent="0.2">
      <c r="C275" s="8" t="s">
        <v>101</v>
      </c>
      <c r="D275" s="11" t="s">
        <v>140</v>
      </c>
      <c r="E275" s="19"/>
      <c r="F275" s="19"/>
      <c r="G275" s="19"/>
      <c r="H275" s="16">
        <v>18</v>
      </c>
      <c r="I275" s="16">
        <v>18</v>
      </c>
      <c r="J275" s="16">
        <v>16</v>
      </c>
      <c r="K275" s="16">
        <v>23</v>
      </c>
      <c r="L275" s="16"/>
      <c r="M275" s="21"/>
    </row>
    <row r="276" spans="2:23" outlineLevel="1" x14ac:dyDescent="0.2">
      <c r="C276" s="8" t="s">
        <v>103</v>
      </c>
      <c r="D276" s="11" t="s">
        <v>140</v>
      </c>
      <c r="E276" s="19"/>
      <c r="F276" s="19"/>
      <c r="G276" s="19"/>
      <c r="H276" s="16">
        <v>8</v>
      </c>
      <c r="I276" s="16">
        <v>7</v>
      </c>
      <c r="J276" s="16">
        <v>7</v>
      </c>
      <c r="K276" s="16">
        <v>9</v>
      </c>
      <c r="L276" s="16"/>
      <c r="M276" s="21"/>
    </row>
    <row r="277" spans="2:23" outlineLevel="1" x14ac:dyDescent="0.2">
      <c r="C277" s="8" t="s">
        <v>105</v>
      </c>
      <c r="D277" s="11" t="s">
        <v>140</v>
      </c>
      <c r="E277" s="19"/>
      <c r="F277" s="19"/>
      <c r="G277" s="19"/>
      <c r="H277" s="16">
        <v>12</v>
      </c>
      <c r="I277" s="16">
        <v>14</v>
      </c>
      <c r="J277" s="16">
        <v>9</v>
      </c>
      <c r="K277" s="16">
        <v>9</v>
      </c>
      <c r="L277" s="16"/>
      <c r="M277" s="21"/>
    </row>
    <row r="278" spans="2:23" outlineLevel="1" x14ac:dyDescent="0.2">
      <c r="C278" s="8" t="s">
        <v>84</v>
      </c>
      <c r="D278" s="11" t="s">
        <v>140</v>
      </c>
      <c r="E278" s="19"/>
      <c r="F278" s="19"/>
      <c r="G278" s="19"/>
      <c r="H278" s="16">
        <v>9</v>
      </c>
      <c r="I278" s="16">
        <v>7</v>
      </c>
      <c r="J278" s="16">
        <v>7</v>
      </c>
      <c r="K278" s="19"/>
      <c r="L278" s="19"/>
      <c r="M278" s="21"/>
    </row>
    <row r="279" spans="2:23" outlineLevel="1" x14ac:dyDescent="0.2">
      <c r="C279" s="8" t="s">
        <v>107</v>
      </c>
      <c r="D279" s="11" t="s">
        <v>140</v>
      </c>
      <c r="E279" s="19"/>
      <c r="F279" s="19"/>
      <c r="G279" s="19"/>
      <c r="H279" s="16">
        <v>11</v>
      </c>
      <c r="I279" s="16">
        <v>11</v>
      </c>
      <c r="J279" s="16">
        <v>7</v>
      </c>
      <c r="K279" s="16">
        <v>8</v>
      </c>
      <c r="L279" s="16"/>
      <c r="M279" s="21"/>
    </row>
    <row r="280" spans="2:23" outlineLevel="1" x14ac:dyDescent="0.2">
      <c r="C280" s="8" t="s">
        <v>111</v>
      </c>
      <c r="D280" s="11" t="s">
        <v>140</v>
      </c>
      <c r="E280" s="19"/>
      <c r="F280" s="19"/>
      <c r="G280" s="19"/>
      <c r="H280" s="16">
        <v>11</v>
      </c>
      <c r="I280" s="16">
        <v>9</v>
      </c>
      <c r="J280" s="16">
        <v>10</v>
      </c>
      <c r="K280" s="16">
        <v>9</v>
      </c>
      <c r="L280" s="16"/>
      <c r="M280" s="21"/>
    </row>
    <row r="281" spans="2:23" outlineLevel="1" x14ac:dyDescent="0.2">
      <c r="C281" s="8" t="s">
        <v>113</v>
      </c>
      <c r="D281" s="11" t="s">
        <v>140</v>
      </c>
      <c r="E281" s="19"/>
      <c r="F281" s="19"/>
      <c r="G281" s="19"/>
      <c r="H281" s="16">
        <v>10</v>
      </c>
      <c r="I281" s="16">
        <v>10</v>
      </c>
      <c r="J281" s="16">
        <v>7</v>
      </c>
      <c r="K281" s="16">
        <v>10</v>
      </c>
      <c r="L281" s="16"/>
      <c r="M281" s="21"/>
    </row>
    <row r="282" spans="2:23" outlineLevel="1" x14ac:dyDescent="0.2">
      <c r="C282" s="8" t="s">
        <v>109</v>
      </c>
      <c r="D282" s="11" t="s">
        <v>140</v>
      </c>
      <c r="E282" s="19"/>
      <c r="F282" s="19"/>
      <c r="G282" s="19"/>
      <c r="H282" s="16">
        <v>16</v>
      </c>
      <c r="I282" s="16">
        <v>15</v>
      </c>
      <c r="J282" s="16">
        <v>16</v>
      </c>
      <c r="K282" s="16">
        <v>15</v>
      </c>
      <c r="L282" s="16"/>
      <c r="M282" s="21"/>
    </row>
    <row r="283" spans="2:23" outlineLevel="1" x14ac:dyDescent="0.2"/>
    <row r="284" spans="2:23" outlineLevel="1" x14ac:dyDescent="0.2">
      <c r="C284" s="2" t="s">
        <v>257</v>
      </c>
      <c r="D284" s="14" t="s">
        <v>140</v>
      </c>
      <c r="E284" s="272">
        <f>SUM(E264:E282)</f>
        <v>0</v>
      </c>
      <c r="F284" s="272">
        <f t="shared" ref="F284:L284" si="12">SUM(F264:F282)</f>
        <v>0</v>
      </c>
      <c r="G284" s="272">
        <f t="shared" si="12"/>
        <v>0</v>
      </c>
      <c r="H284" s="272">
        <f t="shared" si="12"/>
        <v>269</v>
      </c>
      <c r="I284" s="272">
        <f t="shared" si="12"/>
        <v>269</v>
      </c>
      <c r="J284" s="272">
        <f t="shared" si="12"/>
        <v>272</v>
      </c>
      <c r="K284" s="272">
        <f t="shared" si="12"/>
        <v>287</v>
      </c>
      <c r="L284" s="272">
        <f t="shared" si="12"/>
        <v>0</v>
      </c>
    </row>
    <row r="285" spans="2:23" x14ac:dyDescent="0.2">
      <c r="H285" s="49"/>
      <c r="I285" s="49"/>
      <c r="J285" s="49"/>
      <c r="K285" s="49"/>
    </row>
    <row r="286" spans="2:23" ht="13.5" x14ac:dyDescent="0.25">
      <c r="B286" s="9" t="s">
        <v>333</v>
      </c>
      <c r="C286" s="9"/>
      <c r="D286" s="10"/>
      <c r="E286" s="9"/>
      <c r="F286" s="9"/>
      <c r="G286" s="9"/>
      <c r="H286" s="9"/>
      <c r="I286" s="9"/>
      <c r="J286" s="9"/>
      <c r="K286" s="9"/>
      <c r="L286" s="9"/>
      <c r="M286" s="9"/>
      <c r="N286" s="181"/>
      <c r="O286" s="181"/>
      <c r="P286" s="181"/>
      <c r="Q286" s="181"/>
      <c r="R286" s="181"/>
      <c r="S286" s="181"/>
      <c r="T286" s="181"/>
      <c r="U286" s="181"/>
      <c r="V286" s="181"/>
      <c r="W286" s="172"/>
    </row>
    <row r="287" spans="2:23" outlineLevel="1" x14ac:dyDescent="0.2"/>
    <row r="288" spans="2:23" ht="13.5" outlineLevel="1" x14ac:dyDescent="0.25">
      <c r="B288" s="35" t="s">
        <v>334</v>
      </c>
      <c r="C288" s="35"/>
      <c r="D288" s="32"/>
      <c r="E288" s="33"/>
      <c r="F288" s="33"/>
      <c r="G288" s="33"/>
      <c r="H288" s="33"/>
      <c r="I288" s="33"/>
      <c r="J288" s="33"/>
      <c r="K288" s="33"/>
      <c r="L288" s="33"/>
      <c r="M288" s="33"/>
      <c r="N288" s="170" t="s">
        <v>335</v>
      </c>
      <c r="O288" s="170"/>
      <c r="P288" s="170"/>
      <c r="Q288" s="170"/>
      <c r="R288" s="170"/>
      <c r="S288" s="170"/>
      <c r="T288" s="170"/>
      <c r="U288" s="170"/>
      <c r="V288" s="170"/>
      <c r="W288" s="173"/>
    </row>
    <row r="289" spans="3:14" outlineLevel="1" x14ac:dyDescent="0.2"/>
    <row r="290" spans="3:14" outlineLevel="1" x14ac:dyDescent="0.2">
      <c r="C290" s="8" t="s">
        <v>79</v>
      </c>
      <c r="D290" s="11" t="s">
        <v>126</v>
      </c>
      <c r="E290" s="150"/>
      <c r="F290" s="150"/>
      <c r="G290" s="150"/>
      <c r="H290" s="151">
        <v>0.51500000000000001</v>
      </c>
      <c r="I290" s="151">
        <v>2.5750000000000002</v>
      </c>
      <c r="J290" s="151">
        <v>4.6349999999999998</v>
      </c>
      <c r="K290" s="151">
        <v>3.09</v>
      </c>
      <c r="L290" s="151"/>
      <c r="M290" s="21"/>
      <c r="N290" s="6"/>
    </row>
    <row r="291" spans="3:14" outlineLevel="1" x14ac:dyDescent="0.2">
      <c r="C291" s="8" t="s">
        <v>81</v>
      </c>
      <c r="D291" s="11" t="s">
        <v>126</v>
      </c>
      <c r="E291" s="150"/>
      <c r="F291" s="150"/>
      <c r="G291" s="150"/>
      <c r="H291" s="151">
        <v>0</v>
      </c>
      <c r="I291" s="151">
        <v>0</v>
      </c>
      <c r="J291" s="151">
        <v>0</v>
      </c>
      <c r="K291" s="151">
        <v>0</v>
      </c>
      <c r="L291" s="151"/>
      <c r="M291" s="21"/>
    </row>
    <row r="292" spans="3:14" outlineLevel="1" x14ac:dyDescent="0.2">
      <c r="C292" s="8" t="s">
        <v>84</v>
      </c>
      <c r="D292" s="11" t="s">
        <v>126</v>
      </c>
      <c r="E292" s="150"/>
      <c r="F292" s="150"/>
      <c r="G292" s="150"/>
      <c r="H292" s="150"/>
      <c r="I292" s="150"/>
      <c r="J292" s="150"/>
      <c r="K292" s="151">
        <v>-3.9699999999999999E-2</v>
      </c>
      <c r="L292" s="151"/>
      <c r="M292" s="21"/>
      <c r="N292" s="6"/>
    </row>
    <row r="293" spans="3:14" outlineLevel="1" x14ac:dyDescent="0.2">
      <c r="C293" s="8" t="s">
        <v>86</v>
      </c>
      <c r="D293" s="11" t="s">
        <v>126</v>
      </c>
      <c r="E293" s="150"/>
      <c r="F293" s="150"/>
      <c r="G293" s="150"/>
      <c r="H293" s="151">
        <v>0</v>
      </c>
      <c r="I293" s="151">
        <v>-0.124</v>
      </c>
      <c r="J293" s="151">
        <v>0</v>
      </c>
      <c r="K293" s="151">
        <v>0</v>
      </c>
      <c r="L293" s="151"/>
      <c r="M293" s="21"/>
      <c r="N293" s="6"/>
    </row>
    <row r="294" spans="3:14" outlineLevel="1" x14ac:dyDescent="0.2">
      <c r="C294" s="8" t="s">
        <v>88</v>
      </c>
      <c r="D294" s="11" t="s">
        <v>126</v>
      </c>
      <c r="E294" s="150"/>
      <c r="F294" s="150"/>
      <c r="G294" s="150"/>
      <c r="H294" s="150"/>
      <c r="I294" s="150"/>
      <c r="J294" s="264"/>
      <c r="K294" s="151">
        <v>-2.2808000000000002</v>
      </c>
      <c r="L294" s="151"/>
      <c r="M294" s="21"/>
      <c r="N294" s="6"/>
    </row>
    <row r="295" spans="3:14" outlineLevel="1" x14ac:dyDescent="0.2">
      <c r="C295" s="8" t="s">
        <v>119</v>
      </c>
      <c r="D295" s="11" t="s">
        <v>126</v>
      </c>
      <c r="E295" s="150"/>
      <c r="F295" s="150"/>
      <c r="G295" s="150"/>
      <c r="H295" s="151">
        <v>1.107</v>
      </c>
      <c r="I295" s="151">
        <v>0</v>
      </c>
      <c r="J295" s="151">
        <v>-1.722</v>
      </c>
      <c r="K295" s="150"/>
      <c r="L295" s="150"/>
      <c r="M295" s="21"/>
      <c r="N295" s="6"/>
    </row>
    <row r="296" spans="3:14" outlineLevel="1" x14ac:dyDescent="0.2">
      <c r="C296" s="8" t="s">
        <v>90</v>
      </c>
      <c r="D296" s="11" t="s">
        <v>126</v>
      </c>
      <c r="E296" s="150"/>
      <c r="F296" s="150"/>
      <c r="G296" s="150"/>
      <c r="H296" s="151">
        <v>0</v>
      </c>
      <c r="I296" s="151">
        <v>0.80600000000000005</v>
      </c>
      <c r="J296" s="151">
        <v>0.40300000000000002</v>
      </c>
      <c r="K296" s="151">
        <v>0</v>
      </c>
      <c r="L296" s="151"/>
      <c r="M296" s="21"/>
    </row>
    <row r="297" spans="3:14" outlineLevel="1" x14ac:dyDescent="0.2">
      <c r="C297" s="8" t="s">
        <v>93</v>
      </c>
      <c r="D297" s="11" t="s">
        <v>126</v>
      </c>
      <c r="E297" s="150"/>
      <c r="F297" s="150"/>
      <c r="G297" s="150"/>
      <c r="H297" s="151">
        <v>0</v>
      </c>
      <c r="I297" s="151">
        <v>0</v>
      </c>
      <c r="J297" s="151">
        <v>0</v>
      </c>
      <c r="K297" s="151">
        <v>0</v>
      </c>
      <c r="L297" s="151"/>
      <c r="M297" s="21"/>
    </row>
    <row r="298" spans="3:14" outlineLevel="1" x14ac:dyDescent="0.2">
      <c r="C298" s="8" t="s">
        <v>95</v>
      </c>
      <c r="D298" s="11" t="s">
        <v>126</v>
      </c>
      <c r="E298" s="150"/>
      <c r="F298" s="150"/>
      <c r="G298" s="150"/>
      <c r="H298" s="151">
        <v>0</v>
      </c>
      <c r="I298" s="151">
        <v>-8.5500000000000007</v>
      </c>
      <c r="J298" s="151">
        <v>-13.05</v>
      </c>
      <c r="K298" s="151">
        <v>-35.1</v>
      </c>
      <c r="L298" s="151"/>
      <c r="M298" s="21"/>
    </row>
    <row r="299" spans="3:14" outlineLevel="1" x14ac:dyDescent="0.2">
      <c r="C299" s="8" t="s">
        <v>97</v>
      </c>
      <c r="D299" s="11" t="s">
        <v>126</v>
      </c>
      <c r="E299" s="150"/>
      <c r="F299" s="150"/>
      <c r="G299" s="150"/>
      <c r="H299" s="151">
        <v>0</v>
      </c>
      <c r="I299" s="151">
        <v>9.147892262520001</v>
      </c>
      <c r="J299" s="151">
        <v>0</v>
      </c>
      <c r="K299" s="151">
        <v>0</v>
      </c>
      <c r="L299" s="151"/>
      <c r="M299" s="21"/>
    </row>
    <row r="300" spans="3:14" outlineLevel="1" x14ac:dyDescent="0.2">
      <c r="C300" s="8" t="s">
        <v>99</v>
      </c>
      <c r="D300" s="11" t="s">
        <v>126</v>
      </c>
      <c r="E300" s="150"/>
      <c r="F300" s="150"/>
      <c r="G300" s="150"/>
      <c r="H300" s="151">
        <v>0</v>
      </c>
      <c r="I300" s="151">
        <v>0</v>
      </c>
      <c r="J300" s="151">
        <v>0</v>
      </c>
      <c r="K300" s="151">
        <v>0</v>
      </c>
      <c r="L300" s="151"/>
      <c r="M300" s="21"/>
    </row>
    <row r="301" spans="3:14" outlineLevel="1" x14ac:dyDescent="0.2">
      <c r="C301" s="8" t="s">
        <v>101</v>
      </c>
      <c r="D301" s="11" t="s">
        <v>126</v>
      </c>
      <c r="E301" s="150"/>
      <c r="F301" s="150"/>
      <c r="G301" s="150"/>
      <c r="H301" s="151">
        <v>0</v>
      </c>
      <c r="I301" s="151">
        <v>0</v>
      </c>
      <c r="J301" s="151">
        <v>0</v>
      </c>
      <c r="K301" s="151">
        <v>0</v>
      </c>
      <c r="L301" s="151"/>
      <c r="M301" s="21"/>
    </row>
    <row r="302" spans="3:14" outlineLevel="1" x14ac:dyDescent="0.2">
      <c r="C302" s="8" t="s">
        <v>103</v>
      </c>
      <c r="D302" s="11" t="s">
        <v>126</v>
      </c>
      <c r="E302" s="150"/>
      <c r="F302" s="150"/>
      <c r="G302" s="150"/>
      <c r="H302" s="151">
        <v>0</v>
      </c>
      <c r="I302" s="151">
        <v>0</v>
      </c>
      <c r="J302" s="151">
        <v>-1.0208999999999999</v>
      </c>
      <c r="K302" s="151">
        <v>-6.9720000000000004</v>
      </c>
      <c r="L302" s="151"/>
      <c r="M302" s="21"/>
    </row>
    <row r="303" spans="3:14" outlineLevel="1" x14ac:dyDescent="0.2">
      <c r="C303" s="8" t="s">
        <v>105</v>
      </c>
      <c r="D303" s="11" t="s">
        <v>126</v>
      </c>
      <c r="E303" s="150"/>
      <c r="F303" s="150"/>
      <c r="G303" s="150"/>
      <c r="H303" s="151">
        <v>0</v>
      </c>
      <c r="I303" s="151">
        <v>0</v>
      </c>
      <c r="J303" s="151">
        <v>-1.0824</v>
      </c>
      <c r="K303" s="151">
        <v>-1.804</v>
      </c>
      <c r="L303" s="151"/>
      <c r="M303" s="21"/>
    </row>
    <row r="304" spans="3:14" outlineLevel="1" x14ac:dyDescent="0.2">
      <c r="C304" s="8" t="s">
        <v>121</v>
      </c>
      <c r="D304" s="11" t="s">
        <v>126</v>
      </c>
      <c r="E304" s="150"/>
      <c r="F304" s="150"/>
      <c r="G304" s="150"/>
      <c r="H304" s="151">
        <v>0</v>
      </c>
      <c r="I304" s="151">
        <v>-2.9399999999999999E-2</v>
      </c>
      <c r="J304" s="151">
        <v>-8.7550000000000006E-3</v>
      </c>
      <c r="K304" s="150"/>
      <c r="L304" s="150"/>
      <c r="M304" s="21"/>
    </row>
    <row r="305" spans="2:23" outlineLevel="1" x14ac:dyDescent="0.2">
      <c r="C305" s="8" t="s">
        <v>107</v>
      </c>
      <c r="D305" s="11" t="s">
        <v>126</v>
      </c>
      <c r="E305" s="150"/>
      <c r="F305" s="150"/>
      <c r="G305" s="150"/>
      <c r="H305" s="151">
        <v>0</v>
      </c>
      <c r="I305" s="151">
        <v>0</v>
      </c>
      <c r="J305" s="151">
        <v>0</v>
      </c>
      <c r="K305" s="151">
        <v>0</v>
      </c>
      <c r="L305" s="151"/>
      <c r="M305" s="21"/>
    </row>
    <row r="306" spans="2:23" outlineLevel="1" x14ac:dyDescent="0.2">
      <c r="C306" s="8" t="s">
        <v>111</v>
      </c>
      <c r="D306" s="11" t="s">
        <v>126</v>
      </c>
      <c r="E306" s="150"/>
      <c r="F306" s="150"/>
      <c r="G306" s="150"/>
      <c r="H306" s="151">
        <v>0.84626632607813057</v>
      </c>
      <c r="I306" s="151">
        <v>0.40899999999999997</v>
      </c>
      <c r="J306" s="151">
        <v>0.189</v>
      </c>
      <c r="K306" s="151">
        <v>0.37799999999999639</v>
      </c>
      <c r="L306" s="151"/>
      <c r="M306" s="21"/>
    </row>
    <row r="307" spans="2:23" outlineLevel="1" x14ac:dyDescent="0.2">
      <c r="C307" s="8" t="s">
        <v>113</v>
      </c>
      <c r="D307" s="11" t="s">
        <v>126</v>
      </c>
      <c r="E307" s="150"/>
      <c r="F307" s="150"/>
      <c r="G307" s="150"/>
      <c r="H307" s="151">
        <v>0</v>
      </c>
      <c r="I307" s="151">
        <v>-9.7600000000000006E-2</v>
      </c>
      <c r="J307" s="151">
        <v>-0.11895000000000017</v>
      </c>
      <c r="K307" s="151">
        <v>0</v>
      </c>
      <c r="L307" s="151"/>
      <c r="M307" s="21"/>
    </row>
    <row r="308" spans="2:23" outlineLevel="1" x14ac:dyDescent="0.2">
      <c r="C308" s="8" t="s">
        <v>109</v>
      </c>
      <c r="D308" s="11" t="s">
        <v>126</v>
      </c>
      <c r="E308" s="150"/>
      <c r="F308" s="150"/>
      <c r="G308" s="150"/>
      <c r="H308" s="151">
        <v>0</v>
      </c>
      <c r="I308" s="151">
        <v>0</v>
      </c>
      <c r="J308" s="151">
        <v>0</v>
      </c>
      <c r="K308" s="151">
        <v>0</v>
      </c>
      <c r="L308" s="151"/>
      <c r="M308" s="21"/>
    </row>
    <row r="309" spans="2:23" outlineLevel="1" x14ac:dyDescent="0.2"/>
    <row r="310" spans="2:23" ht="13.5" outlineLevel="1" x14ac:dyDescent="0.25">
      <c r="B310" s="35" t="s">
        <v>336</v>
      </c>
      <c r="C310" s="35"/>
      <c r="D310" s="32"/>
      <c r="E310" s="33"/>
      <c r="F310" s="33"/>
      <c r="G310" s="33"/>
      <c r="H310" s="33"/>
      <c r="I310" s="33"/>
      <c r="J310" s="33"/>
      <c r="K310" s="33"/>
      <c r="L310" s="33"/>
      <c r="M310" s="33"/>
      <c r="N310" s="170" t="s">
        <v>335</v>
      </c>
      <c r="O310" s="170"/>
      <c r="P310" s="170"/>
      <c r="Q310" s="170"/>
      <c r="R310" s="170"/>
      <c r="S310" s="170"/>
      <c r="T310" s="170"/>
      <c r="U310" s="170"/>
      <c r="V310" s="170"/>
      <c r="W310" s="173"/>
    </row>
    <row r="311" spans="2:23" outlineLevel="1" x14ac:dyDescent="0.2"/>
    <row r="312" spans="2:23" outlineLevel="1" x14ac:dyDescent="0.2">
      <c r="C312" s="8" t="s">
        <v>79</v>
      </c>
      <c r="D312" s="11" t="s">
        <v>126</v>
      </c>
      <c r="E312" s="150"/>
      <c r="F312" s="150"/>
      <c r="G312" s="150"/>
      <c r="H312" s="151">
        <v>5.6719999999999997</v>
      </c>
      <c r="I312" s="151">
        <v>0.79410000000000003</v>
      </c>
      <c r="J312" s="151">
        <v>5.6719999999999997</v>
      </c>
      <c r="K312" s="151">
        <v>5.6719999999999997</v>
      </c>
      <c r="L312" s="151"/>
      <c r="M312" s="21"/>
      <c r="N312" s="6"/>
    </row>
    <row r="313" spans="2:23" outlineLevel="1" x14ac:dyDescent="0.2">
      <c r="C313" s="8" t="s">
        <v>81</v>
      </c>
      <c r="D313" s="11" t="s">
        <v>126</v>
      </c>
      <c r="E313" s="150"/>
      <c r="F313" s="150"/>
      <c r="G313" s="150"/>
      <c r="H313" s="151">
        <v>0</v>
      </c>
      <c r="I313" s="151">
        <v>0</v>
      </c>
      <c r="J313" s="151">
        <v>-3.9</v>
      </c>
      <c r="K313" s="151">
        <v>-0.78</v>
      </c>
      <c r="L313" s="151"/>
      <c r="M313" s="21"/>
    </row>
    <row r="314" spans="2:23" outlineLevel="1" x14ac:dyDescent="0.2">
      <c r="C314" s="8" t="s">
        <v>84</v>
      </c>
      <c r="D314" s="11" t="s">
        <v>126</v>
      </c>
      <c r="E314" s="150"/>
      <c r="F314" s="150"/>
      <c r="G314" s="150"/>
      <c r="H314" s="150"/>
      <c r="I314" s="150"/>
      <c r="J314" s="150"/>
      <c r="K314" s="151">
        <v>-0.27050199999999996</v>
      </c>
      <c r="L314" s="151"/>
      <c r="M314" s="21"/>
      <c r="N314" s="6"/>
    </row>
    <row r="315" spans="2:23" outlineLevel="1" x14ac:dyDescent="0.2">
      <c r="C315" s="8" t="s">
        <v>86</v>
      </c>
      <c r="D315" s="11" t="s">
        <v>126</v>
      </c>
      <c r="E315" s="150"/>
      <c r="F315" s="150"/>
      <c r="G315" s="150"/>
      <c r="H315" s="151">
        <v>3.78</v>
      </c>
      <c r="I315" s="151">
        <v>3.5639999999999996</v>
      </c>
      <c r="J315" s="151">
        <v>0.59399999999999997</v>
      </c>
      <c r="K315" s="151">
        <v>0</v>
      </c>
      <c r="L315" s="151"/>
      <c r="M315" s="21"/>
      <c r="N315" s="6"/>
    </row>
    <row r="316" spans="2:23" outlineLevel="1" x14ac:dyDescent="0.2">
      <c r="C316" s="8" t="s">
        <v>88</v>
      </c>
      <c r="D316" s="11" t="s">
        <v>126</v>
      </c>
      <c r="E316" s="150"/>
      <c r="F316" s="150"/>
      <c r="G316" s="150"/>
      <c r="H316" s="150"/>
      <c r="I316" s="150"/>
      <c r="J316" s="264"/>
      <c r="K316" s="151">
        <v>-7.7125120000000003</v>
      </c>
      <c r="L316" s="151"/>
      <c r="M316" s="21"/>
      <c r="N316" s="6"/>
    </row>
    <row r="317" spans="2:23" outlineLevel="1" x14ac:dyDescent="0.2">
      <c r="C317" s="8" t="s">
        <v>119</v>
      </c>
      <c r="D317" s="11" t="s">
        <v>126</v>
      </c>
      <c r="E317" s="150"/>
      <c r="F317" s="150"/>
      <c r="G317" s="150"/>
      <c r="H317" s="151">
        <v>0</v>
      </c>
      <c r="I317" s="151">
        <v>2.0569999999999995</v>
      </c>
      <c r="J317" s="151">
        <v>-23.716000000000001</v>
      </c>
      <c r="K317" s="150"/>
      <c r="L317" s="150"/>
      <c r="M317" s="21"/>
      <c r="N317" s="6"/>
    </row>
    <row r="318" spans="2:23" outlineLevel="1" x14ac:dyDescent="0.2">
      <c r="C318" s="8" t="s">
        <v>90</v>
      </c>
      <c r="D318" s="11" t="s">
        <v>126</v>
      </c>
      <c r="E318" s="150"/>
      <c r="F318" s="150"/>
      <c r="G318" s="150"/>
      <c r="H318" s="151">
        <v>-0.94253299999999995</v>
      </c>
      <c r="I318" s="151">
        <v>0.1366</v>
      </c>
      <c r="J318" s="151">
        <v>-1.8669</v>
      </c>
      <c r="K318" s="151">
        <v>0.34470000000000001</v>
      </c>
      <c r="L318" s="151"/>
      <c r="M318" s="21"/>
    </row>
    <row r="319" spans="2:23" outlineLevel="1" x14ac:dyDescent="0.2">
      <c r="C319" s="8" t="s">
        <v>93</v>
      </c>
      <c r="D319" s="11" t="s">
        <v>126</v>
      </c>
      <c r="E319" s="150"/>
      <c r="F319" s="150"/>
      <c r="G319" s="150"/>
      <c r="H319" s="151">
        <v>0</v>
      </c>
      <c r="I319" s="151">
        <v>0</v>
      </c>
      <c r="J319" s="151">
        <v>-0.28701500000000002</v>
      </c>
      <c r="K319" s="151">
        <v>0</v>
      </c>
      <c r="L319" s="151"/>
      <c r="M319" s="21"/>
    </row>
    <row r="320" spans="2:23" outlineLevel="1" x14ac:dyDescent="0.2">
      <c r="C320" s="8" t="s">
        <v>95</v>
      </c>
      <c r="D320" s="11" t="s">
        <v>126</v>
      </c>
      <c r="E320" s="150"/>
      <c r="F320" s="150"/>
      <c r="G320" s="150"/>
      <c r="H320" s="151">
        <v>3.125</v>
      </c>
      <c r="I320" s="151">
        <v>3.1250000000000027</v>
      </c>
      <c r="J320" s="151">
        <v>-10.67</v>
      </c>
      <c r="K320" s="151">
        <v>-10.67</v>
      </c>
      <c r="L320" s="151"/>
      <c r="M320" s="21"/>
    </row>
    <row r="321" spans="2:23" outlineLevel="1" x14ac:dyDescent="0.2">
      <c r="C321" s="8" t="s">
        <v>97</v>
      </c>
      <c r="D321" s="11" t="s">
        <v>126</v>
      </c>
      <c r="E321" s="150"/>
      <c r="F321" s="150"/>
      <c r="G321" s="150"/>
      <c r="H321" s="151">
        <v>0</v>
      </c>
      <c r="I321" s="151">
        <v>0</v>
      </c>
      <c r="J321" s="151">
        <v>-5.9616000000000025</v>
      </c>
      <c r="K321" s="151">
        <v>11.2577</v>
      </c>
      <c r="L321" s="151"/>
      <c r="M321" s="21"/>
    </row>
    <row r="322" spans="2:23" outlineLevel="1" x14ac:dyDescent="0.2">
      <c r="C322" s="8" t="s">
        <v>99</v>
      </c>
      <c r="D322" s="11" t="s">
        <v>126</v>
      </c>
      <c r="E322" s="150"/>
      <c r="F322" s="150"/>
      <c r="G322" s="150"/>
      <c r="H322" s="151">
        <v>0</v>
      </c>
      <c r="I322" s="151">
        <v>0</v>
      </c>
      <c r="J322" s="151">
        <v>-1.26E-2</v>
      </c>
      <c r="K322" s="151">
        <v>0.22589999999999999</v>
      </c>
      <c r="L322" s="151"/>
      <c r="M322" s="21"/>
    </row>
    <row r="323" spans="2:23" outlineLevel="1" x14ac:dyDescent="0.2">
      <c r="C323" s="8" t="s">
        <v>101</v>
      </c>
      <c r="D323" s="11" t="s">
        <v>126</v>
      </c>
      <c r="E323" s="150"/>
      <c r="F323" s="150"/>
      <c r="G323" s="150"/>
      <c r="H323" s="151">
        <v>0</v>
      </c>
      <c r="I323" s="151">
        <v>5.7916999999999996</v>
      </c>
      <c r="J323" s="151">
        <v>10.22681744</v>
      </c>
      <c r="K323" s="151">
        <v>4.0176782799999975</v>
      </c>
      <c r="L323" s="151"/>
      <c r="M323" s="21"/>
    </row>
    <row r="324" spans="2:23" outlineLevel="1" x14ac:dyDescent="0.2">
      <c r="C324" s="8" t="s">
        <v>103</v>
      </c>
      <c r="D324" s="11" t="s">
        <v>126</v>
      </c>
      <c r="E324" s="150"/>
      <c r="F324" s="150"/>
      <c r="G324" s="150"/>
      <c r="H324" s="151">
        <v>0</v>
      </c>
      <c r="I324" s="151">
        <v>0</v>
      </c>
      <c r="J324" s="151">
        <v>0</v>
      </c>
      <c r="K324" s="151">
        <v>0</v>
      </c>
      <c r="L324" s="151"/>
      <c r="M324" s="21"/>
    </row>
    <row r="325" spans="2:23" outlineLevel="1" x14ac:dyDescent="0.2">
      <c r="C325" s="8" t="s">
        <v>105</v>
      </c>
      <c r="D325" s="11" t="s">
        <v>126</v>
      </c>
      <c r="E325" s="150"/>
      <c r="F325" s="150"/>
      <c r="G325" s="150"/>
      <c r="H325" s="151">
        <v>-0.7389</v>
      </c>
      <c r="I325" s="151">
        <v>0</v>
      </c>
      <c r="J325" s="151">
        <v>-0.7389</v>
      </c>
      <c r="K325" s="151">
        <v>-0.7389</v>
      </c>
      <c r="L325" s="151"/>
      <c r="M325" s="21"/>
    </row>
    <row r="326" spans="2:23" outlineLevel="1" x14ac:dyDescent="0.2">
      <c r="C326" s="8" t="s">
        <v>121</v>
      </c>
      <c r="D326" s="11" t="s">
        <v>126</v>
      </c>
      <c r="E326" s="150"/>
      <c r="F326" s="150"/>
      <c r="G326" s="150"/>
      <c r="H326" s="151">
        <v>2.0870400000000001E-2</v>
      </c>
      <c r="I326" s="151">
        <v>-8.3567199999999998E-3</v>
      </c>
      <c r="J326" s="151">
        <v>2.0899999999999998E-2</v>
      </c>
      <c r="K326" s="150"/>
      <c r="L326" s="150"/>
      <c r="M326" s="21"/>
    </row>
    <row r="327" spans="2:23" outlineLevel="1" x14ac:dyDescent="0.2">
      <c r="C327" s="8" t="s">
        <v>107</v>
      </c>
      <c r="D327" s="11" t="s">
        <v>126</v>
      </c>
      <c r="E327" s="150"/>
      <c r="F327" s="150"/>
      <c r="G327" s="150"/>
      <c r="H327" s="151">
        <v>0</v>
      </c>
      <c r="I327" s="151">
        <v>0</v>
      </c>
      <c r="J327" s="151">
        <v>0</v>
      </c>
      <c r="K327" s="151">
        <v>1.2087000000000001E-2</v>
      </c>
      <c r="L327" s="151"/>
      <c r="M327" s="21"/>
    </row>
    <row r="328" spans="2:23" outlineLevel="1" x14ac:dyDescent="0.2">
      <c r="C328" s="8" t="s">
        <v>111</v>
      </c>
      <c r="D328" s="11" t="s">
        <v>126</v>
      </c>
      <c r="E328" s="150"/>
      <c r="F328" s="150"/>
      <c r="G328" s="150"/>
      <c r="H328" s="151">
        <v>-0.93184</v>
      </c>
      <c r="I328" s="151">
        <v>0</v>
      </c>
      <c r="J328" s="151">
        <v>-1.331</v>
      </c>
      <c r="K328" s="151">
        <v>-0.2928639999999999</v>
      </c>
      <c r="L328" s="151"/>
      <c r="M328" s="21"/>
    </row>
    <row r="329" spans="2:23" outlineLevel="1" x14ac:dyDescent="0.2">
      <c r="C329" s="8" t="s">
        <v>113</v>
      </c>
      <c r="D329" s="11" t="s">
        <v>126</v>
      </c>
      <c r="E329" s="150"/>
      <c r="F329" s="150"/>
      <c r="G329" s="150"/>
      <c r="H329" s="151">
        <v>0.90600000000000003</v>
      </c>
      <c r="I329" s="151">
        <v>0.90600000000000003</v>
      </c>
      <c r="J329" s="151">
        <v>0.21204929999999989</v>
      </c>
      <c r="K329" s="151">
        <v>0.83809999999999996</v>
      </c>
      <c r="L329" s="151"/>
      <c r="M329" s="21"/>
    </row>
    <row r="330" spans="2:23" outlineLevel="1" x14ac:dyDescent="0.2">
      <c r="C330" s="8" t="s">
        <v>109</v>
      </c>
      <c r="D330" s="11" t="s">
        <v>126</v>
      </c>
      <c r="E330" s="150"/>
      <c r="F330" s="150"/>
      <c r="G330" s="150"/>
      <c r="H330" s="151">
        <v>0.2</v>
      </c>
      <c r="I330" s="151">
        <v>0.254</v>
      </c>
      <c r="J330" s="151">
        <v>0.29239999999999999</v>
      </c>
      <c r="K330" s="151">
        <v>-0.13700000000000001</v>
      </c>
      <c r="L330" s="151"/>
      <c r="M330" s="21"/>
    </row>
    <row r="331" spans="2:23" outlineLevel="1" x14ac:dyDescent="0.2"/>
    <row r="332" spans="2:23" ht="13.5" outlineLevel="1" x14ac:dyDescent="0.25">
      <c r="B332" s="35" t="s">
        <v>337</v>
      </c>
      <c r="C332" s="35"/>
      <c r="D332" s="32"/>
      <c r="E332" s="33"/>
      <c r="F332" s="33"/>
      <c r="G332" s="33"/>
      <c r="H332" s="33"/>
      <c r="I332" s="33"/>
      <c r="J332" s="33"/>
      <c r="K332" s="33"/>
      <c r="L332" s="33"/>
      <c r="M332" s="33"/>
      <c r="N332" s="170" t="s">
        <v>335</v>
      </c>
      <c r="O332" s="170"/>
      <c r="P332" s="170"/>
      <c r="Q332" s="170"/>
      <c r="R332" s="170"/>
      <c r="S332" s="170"/>
      <c r="T332" s="170"/>
      <c r="U332" s="170"/>
      <c r="V332" s="170"/>
      <c r="W332" s="173"/>
    </row>
    <row r="333" spans="2:23" outlineLevel="1" x14ac:dyDescent="0.2"/>
    <row r="334" spans="2:23" outlineLevel="1" x14ac:dyDescent="0.2">
      <c r="C334" s="8" t="s">
        <v>79</v>
      </c>
      <c r="D334" s="11" t="s">
        <v>126</v>
      </c>
      <c r="E334" s="150"/>
      <c r="F334" s="150"/>
      <c r="G334" s="150"/>
      <c r="H334" s="151">
        <v>0</v>
      </c>
      <c r="I334" s="151">
        <v>0</v>
      </c>
      <c r="J334" s="151">
        <v>0</v>
      </c>
      <c r="K334" s="151">
        <v>0</v>
      </c>
      <c r="L334" s="151"/>
      <c r="M334" s="21"/>
      <c r="N334" s="6"/>
    </row>
    <row r="335" spans="2:23" outlineLevel="1" x14ac:dyDescent="0.2">
      <c r="C335" s="8" t="s">
        <v>81</v>
      </c>
      <c r="D335" s="11" t="s">
        <v>126</v>
      </c>
      <c r="E335" s="150"/>
      <c r="F335" s="150"/>
      <c r="G335" s="150"/>
      <c r="H335" s="151">
        <v>0</v>
      </c>
      <c r="I335" s="151">
        <v>1.86</v>
      </c>
      <c r="J335" s="151">
        <v>1.488</v>
      </c>
      <c r="K335" s="151">
        <v>1.6739999999999999</v>
      </c>
      <c r="L335" s="151"/>
      <c r="M335" s="21"/>
    </row>
    <row r="336" spans="2:23" outlineLevel="1" x14ac:dyDescent="0.2">
      <c r="C336" s="8" t="s">
        <v>84</v>
      </c>
      <c r="D336" s="11" t="s">
        <v>126</v>
      </c>
      <c r="E336" s="150"/>
      <c r="F336" s="150"/>
      <c r="G336" s="150"/>
      <c r="H336" s="150"/>
      <c r="I336" s="150"/>
      <c r="J336" s="150"/>
      <c r="K336" s="151">
        <v>1.2329999999999999E-3</v>
      </c>
      <c r="L336" s="151"/>
      <c r="M336" s="21"/>
      <c r="N336" s="6"/>
    </row>
    <row r="337" spans="2:23" outlineLevel="1" x14ac:dyDescent="0.2">
      <c r="C337" s="8" t="s">
        <v>86</v>
      </c>
      <c r="D337" s="11" t="s">
        <v>126</v>
      </c>
      <c r="E337" s="150"/>
      <c r="F337" s="150"/>
      <c r="G337" s="150"/>
      <c r="H337" s="151">
        <v>0.55900000000000005</v>
      </c>
      <c r="I337" s="151">
        <v>0.871</v>
      </c>
      <c r="J337" s="151">
        <v>1.17</v>
      </c>
      <c r="K337" s="151">
        <v>0.80600000000000005</v>
      </c>
      <c r="L337" s="151"/>
      <c r="M337" s="21"/>
      <c r="N337" s="6"/>
    </row>
    <row r="338" spans="2:23" outlineLevel="1" x14ac:dyDescent="0.2">
      <c r="C338" s="8" t="s">
        <v>88</v>
      </c>
      <c r="D338" s="11" t="s">
        <v>126</v>
      </c>
      <c r="E338" s="150"/>
      <c r="F338" s="150"/>
      <c r="G338" s="150"/>
      <c r="H338" s="150"/>
      <c r="I338" s="150"/>
      <c r="J338" s="264"/>
      <c r="K338" s="151">
        <v>-1.0055829999999999</v>
      </c>
      <c r="L338" s="151"/>
      <c r="M338" s="21"/>
      <c r="N338" s="6"/>
    </row>
    <row r="339" spans="2:23" outlineLevel="1" x14ac:dyDescent="0.2">
      <c r="C339" s="8" t="s">
        <v>119</v>
      </c>
      <c r="D339" s="11" t="s">
        <v>126</v>
      </c>
      <c r="E339" s="150"/>
      <c r="F339" s="150"/>
      <c r="G339" s="150"/>
      <c r="H339" s="151">
        <v>8.9922000000000004</v>
      </c>
      <c r="I339" s="151">
        <v>3.5463520000000002</v>
      </c>
      <c r="J339" s="151">
        <v>12.760359999999999</v>
      </c>
      <c r="K339" s="150"/>
      <c r="L339" s="150"/>
      <c r="M339" s="21"/>
      <c r="N339" s="6"/>
    </row>
    <row r="340" spans="2:23" outlineLevel="1" x14ac:dyDescent="0.2">
      <c r="C340" s="8" t="s">
        <v>90</v>
      </c>
      <c r="D340" s="11" t="s">
        <v>126</v>
      </c>
      <c r="E340" s="150"/>
      <c r="F340" s="150"/>
      <c r="G340" s="150"/>
      <c r="H340" s="151">
        <v>0</v>
      </c>
      <c r="I340" s="151">
        <v>0</v>
      </c>
      <c r="J340" s="151">
        <v>0.20399999999999999</v>
      </c>
      <c r="K340" s="151">
        <v>2.1760000000000002</v>
      </c>
      <c r="L340" s="151"/>
      <c r="M340" s="21"/>
    </row>
    <row r="341" spans="2:23" outlineLevel="1" x14ac:dyDescent="0.2">
      <c r="C341" s="8" t="s">
        <v>93</v>
      </c>
      <c r="D341" s="11" t="s">
        <v>126</v>
      </c>
      <c r="E341" s="150"/>
      <c r="F341" s="150"/>
      <c r="G341" s="150"/>
      <c r="H341" s="151">
        <v>0</v>
      </c>
      <c r="I341" s="151">
        <v>0</v>
      </c>
      <c r="J341" s="151">
        <v>0</v>
      </c>
      <c r="K341" s="151">
        <v>0</v>
      </c>
      <c r="L341" s="151"/>
      <c r="M341" s="21"/>
    </row>
    <row r="342" spans="2:23" outlineLevel="1" x14ac:dyDescent="0.2">
      <c r="C342" s="8" t="s">
        <v>95</v>
      </c>
      <c r="D342" s="11" t="s">
        <v>126</v>
      </c>
      <c r="E342" s="150"/>
      <c r="F342" s="150"/>
      <c r="G342" s="150"/>
      <c r="H342" s="151">
        <v>-11.7</v>
      </c>
      <c r="I342" s="151">
        <v>-0.45</v>
      </c>
      <c r="J342" s="151">
        <v>1.2649999999999999</v>
      </c>
      <c r="K342" s="151">
        <v>2.915</v>
      </c>
      <c r="L342" s="151"/>
      <c r="M342" s="21"/>
    </row>
    <row r="343" spans="2:23" outlineLevel="1" x14ac:dyDescent="0.2">
      <c r="C343" s="8" t="s">
        <v>97</v>
      </c>
      <c r="D343" s="11" t="s">
        <v>126</v>
      </c>
      <c r="E343" s="150"/>
      <c r="F343" s="150"/>
      <c r="G343" s="150"/>
      <c r="H343" s="151">
        <v>0</v>
      </c>
      <c r="I343" s="151">
        <v>-1.484</v>
      </c>
      <c r="J343" s="151">
        <v>0</v>
      </c>
      <c r="K343" s="151">
        <v>0.56999999999999995</v>
      </c>
      <c r="L343" s="151"/>
      <c r="M343" s="21"/>
    </row>
    <row r="344" spans="2:23" outlineLevel="1" x14ac:dyDescent="0.2">
      <c r="C344" s="8" t="s">
        <v>99</v>
      </c>
      <c r="D344" s="11" t="s">
        <v>126</v>
      </c>
      <c r="E344" s="150"/>
      <c r="F344" s="150"/>
      <c r="G344" s="150"/>
      <c r="H344" s="151">
        <v>5.0999999999999996</v>
      </c>
      <c r="I344" s="151">
        <v>5.508</v>
      </c>
      <c r="J344" s="151">
        <v>5.508</v>
      </c>
      <c r="K344" s="151">
        <v>2.448</v>
      </c>
      <c r="L344" s="151"/>
      <c r="M344" s="21"/>
    </row>
    <row r="345" spans="2:23" outlineLevel="1" x14ac:dyDescent="0.2">
      <c r="C345" s="8" t="s">
        <v>101</v>
      </c>
      <c r="D345" s="11" t="s">
        <v>126</v>
      </c>
      <c r="E345" s="150"/>
      <c r="F345" s="150"/>
      <c r="G345" s="150"/>
      <c r="H345" s="151">
        <v>0</v>
      </c>
      <c r="I345" s="151">
        <v>2.2423999999999999</v>
      </c>
      <c r="J345" s="151">
        <v>7.2446219999999997</v>
      </c>
      <c r="K345" s="151">
        <v>6.6696520000000001</v>
      </c>
      <c r="L345" s="151"/>
      <c r="M345" s="21"/>
    </row>
    <row r="346" spans="2:23" outlineLevel="1" x14ac:dyDescent="0.2"/>
    <row r="347" spans="2:23" ht="13.5" outlineLevel="1" x14ac:dyDescent="0.25">
      <c r="B347" s="35" t="s">
        <v>338</v>
      </c>
      <c r="C347" s="35"/>
      <c r="D347" s="32"/>
      <c r="E347" s="33"/>
      <c r="F347" s="33"/>
      <c r="G347" s="33"/>
      <c r="H347" s="33"/>
      <c r="I347" s="33"/>
      <c r="J347" s="33"/>
      <c r="K347" s="33"/>
      <c r="L347" s="33"/>
      <c r="M347" s="33"/>
      <c r="N347" s="170" t="s">
        <v>335</v>
      </c>
      <c r="O347" s="170"/>
      <c r="P347" s="170"/>
      <c r="Q347" s="170"/>
      <c r="R347" s="170"/>
      <c r="S347" s="170"/>
      <c r="T347" s="170"/>
      <c r="U347" s="170"/>
      <c r="V347" s="170"/>
      <c r="W347" s="173"/>
    </row>
    <row r="348" spans="2:23" outlineLevel="1" x14ac:dyDescent="0.2"/>
    <row r="349" spans="2:23" outlineLevel="1" x14ac:dyDescent="0.2">
      <c r="C349" s="8" t="s">
        <v>79</v>
      </c>
      <c r="D349" s="11" t="s">
        <v>126</v>
      </c>
      <c r="E349" s="150"/>
      <c r="F349" s="150"/>
      <c r="G349" s="150"/>
      <c r="H349" s="151">
        <v>4.3890000000000002</v>
      </c>
      <c r="I349" s="151">
        <v>2.3085</v>
      </c>
      <c r="J349" s="151">
        <v>2.2519999999999998</v>
      </c>
      <c r="K349" s="151">
        <v>3.2204999999999999</v>
      </c>
      <c r="L349" s="151"/>
      <c r="M349" s="21"/>
      <c r="N349" s="6"/>
    </row>
    <row r="350" spans="2:23" outlineLevel="1" x14ac:dyDescent="0.2">
      <c r="C350" s="8" t="s">
        <v>81</v>
      </c>
      <c r="D350" s="11" t="s">
        <v>126</v>
      </c>
      <c r="E350" s="150"/>
      <c r="F350" s="150"/>
      <c r="G350" s="150"/>
      <c r="H350" s="151">
        <v>0.98699999999999999</v>
      </c>
      <c r="I350" s="151">
        <v>0.94</v>
      </c>
      <c r="J350" s="151">
        <v>0.89300000000000002</v>
      </c>
      <c r="K350" s="151">
        <v>0.61099999999999999</v>
      </c>
      <c r="L350" s="151"/>
      <c r="M350" s="21"/>
    </row>
    <row r="351" spans="2:23" outlineLevel="1" x14ac:dyDescent="0.2">
      <c r="C351" s="8" t="s">
        <v>84</v>
      </c>
      <c r="D351" s="11" t="s">
        <v>126</v>
      </c>
      <c r="E351" s="150"/>
      <c r="F351" s="150"/>
      <c r="G351" s="150"/>
      <c r="H351" s="150"/>
      <c r="I351" s="150"/>
      <c r="J351" s="150"/>
      <c r="K351" s="151">
        <v>2.0695000000000002E-3</v>
      </c>
      <c r="L351" s="151"/>
      <c r="M351" s="21"/>
      <c r="N351" s="6"/>
    </row>
    <row r="352" spans="2:23" outlineLevel="1" x14ac:dyDescent="0.2">
      <c r="C352" s="8" t="s">
        <v>86</v>
      </c>
      <c r="D352" s="11" t="s">
        <v>126</v>
      </c>
      <c r="E352" s="150"/>
      <c r="F352" s="150"/>
      <c r="G352" s="150"/>
      <c r="H352" s="151">
        <v>0</v>
      </c>
      <c r="I352" s="151">
        <v>0</v>
      </c>
      <c r="J352" s="151">
        <v>0</v>
      </c>
      <c r="K352" s="151">
        <v>6.4000000000000001E-2</v>
      </c>
      <c r="L352" s="151"/>
      <c r="M352" s="21"/>
      <c r="N352" s="6"/>
    </row>
    <row r="353" spans="2:23" outlineLevel="1" x14ac:dyDescent="0.2">
      <c r="C353" s="8" t="s">
        <v>88</v>
      </c>
      <c r="D353" s="11" t="s">
        <v>126</v>
      </c>
      <c r="E353" s="150"/>
      <c r="F353" s="150"/>
      <c r="G353" s="150"/>
      <c r="H353" s="150"/>
      <c r="I353" s="150"/>
      <c r="J353" s="264"/>
      <c r="K353" s="151">
        <v>0.46828599999999998</v>
      </c>
      <c r="L353" s="151"/>
      <c r="M353" s="21"/>
      <c r="N353" s="6"/>
    </row>
    <row r="354" spans="2:23" outlineLevel="1" x14ac:dyDescent="0.2">
      <c r="C354" s="8" t="s">
        <v>119</v>
      </c>
      <c r="D354" s="11" t="s">
        <v>126</v>
      </c>
      <c r="E354" s="150"/>
      <c r="F354" s="150"/>
      <c r="G354" s="150"/>
      <c r="H354" s="151">
        <v>4.3658999999999999</v>
      </c>
      <c r="I354" s="151">
        <v>3.9347000000000003</v>
      </c>
      <c r="J354" s="151">
        <v>2.5333000000000001</v>
      </c>
      <c r="K354" s="150"/>
      <c r="L354" s="150"/>
      <c r="M354" s="21"/>
      <c r="N354" s="6"/>
    </row>
    <row r="355" spans="2:23" outlineLevel="1" x14ac:dyDescent="0.2">
      <c r="C355" s="8" t="s">
        <v>90</v>
      </c>
      <c r="D355" s="11" t="s">
        <v>126</v>
      </c>
      <c r="E355" s="150"/>
      <c r="F355" s="150"/>
      <c r="G355" s="150"/>
      <c r="H355" s="151">
        <v>-1.752</v>
      </c>
      <c r="I355" s="151">
        <v>-1.1412</v>
      </c>
      <c r="J355" s="151">
        <v>-0.73470000000000002</v>
      </c>
      <c r="K355" s="151">
        <v>-0.79400000000000004</v>
      </c>
      <c r="L355" s="151"/>
      <c r="M355" s="21"/>
    </row>
    <row r="356" spans="2:23" outlineLevel="1" x14ac:dyDescent="0.2">
      <c r="C356" s="8" t="s">
        <v>93</v>
      </c>
      <c r="D356" s="11" t="s">
        <v>126</v>
      </c>
      <c r="E356" s="150"/>
      <c r="F356" s="150"/>
      <c r="G356" s="150"/>
      <c r="H356" s="151">
        <v>0</v>
      </c>
      <c r="I356" s="151">
        <v>0</v>
      </c>
      <c r="J356" s="151">
        <v>0</v>
      </c>
      <c r="K356" s="151">
        <v>0</v>
      </c>
      <c r="L356" s="151"/>
      <c r="M356" s="21"/>
    </row>
    <row r="357" spans="2:23" outlineLevel="1" x14ac:dyDescent="0.2">
      <c r="C357" s="8" t="s">
        <v>95</v>
      </c>
      <c r="D357" s="11" t="s">
        <v>126</v>
      </c>
      <c r="E357" s="150"/>
      <c r="F357" s="150"/>
      <c r="G357" s="150"/>
      <c r="H357" s="151">
        <v>0</v>
      </c>
      <c r="I357" s="151">
        <v>0</v>
      </c>
      <c r="J357" s="151">
        <v>0</v>
      </c>
      <c r="K357" s="151">
        <v>0</v>
      </c>
      <c r="L357" s="151"/>
      <c r="M357" s="21"/>
    </row>
    <row r="358" spans="2:23" outlineLevel="1" x14ac:dyDescent="0.2">
      <c r="C358" s="8" t="s">
        <v>97</v>
      </c>
      <c r="D358" s="11" t="s">
        <v>126</v>
      </c>
      <c r="E358" s="150"/>
      <c r="F358" s="150"/>
      <c r="G358" s="150"/>
      <c r="H358" s="151">
        <v>3.278</v>
      </c>
      <c r="I358" s="151">
        <v>3.278</v>
      </c>
      <c r="J358" s="151">
        <v>3.278</v>
      </c>
      <c r="K358" s="151">
        <v>3.278</v>
      </c>
      <c r="L358" s="151"/>
      <c r="M358" s="21"/>
    </row>
    <row r="359" spans="2:23" outlineLevel="1" x14ac:dyDescent="0.2">
      <c r="C359" s="8" t="s">
        <v>99</v>
      </c>
      <c r="D359" s="11" t="s">
        <v>126</v>
      </c>
      <c r="E359" s="150"/>
      <c r="F359" s="150"/>
      <c r="G359" s="150"/>
      <c r="H359" s="151">
        <v>0</v>
      </c>
      <c r="I359" s="151">
        <v>0</v>
      </c>
      <c r="J359" s="151">
        <v>0</v>
      </c>
      <c r="K359" s="151">
        <v>0</v>
      </c>
      <c r="L359" s="151"/>
      <c r="M359" s="21"/>
    </row>
    <row r="360" spans="2:23" outlineLevel="1" x14ac:dyDescent="0.2">
      <c r="C360" s="8" t="s">
        <v>101</v>
      </c>
      <c r="D360" s="11" t="s">
        <v>126</v>
      </c>
      <c r="E360" s="150"/>
      <c r="F360" s="150"/>
      <c r="G360" s="150"/>
      <c r="H360" s="151">
        <v>5.7391230000000002</v>
      </c>
      <c r="I360" s="151">
        <v>0.74050000000000005</v>
      </c>
      <c r="J360" s="151">
        <v>1.6661969999999999</v>
      </c>
      <c r="K360" s="151">
        <v>4.2580589999999994</v>
      </c>
      <c r="L360" s="151"/>
      <c r="M360" s="21"/>
    </row>
    <row r="361" spans="2:23" outlineLevel="1" x14ac:dyDescent="0.2"/>
    <row r="362" spans="2:23" ht="13.5" outlineLevel="1" x14ac:dyDescent="0.25">
      <c r="B362" s="35" t="s">
        <v>339</v>
      </c>
      <c r="C362" s="35"/>
      <c r="D362" s="32"/>
      <c r="E362" s="33"/>
      <c r="F362" s="33"/>
      <c r="G362" s="33"/>
      <c r="H362" s="33"/>
      <c r="I362" s="33"/>
      <c r="J362" s="33"/>
      <c r="K362" s="33"/>
      <c r="L362" s="33"/>
      <c r="M362" s="33"/>
      <c r="N362" s="170" t="s">
        <v>335</v>
      </c>
      <c r="O362" s="170"/>
      <c r="P362" s="170"/>
      <c r="Q362" s="170"/>
      <c r="R362" s="170"/>
      <c r="S362" s="170"/>
      <c r="T362" s="170"/>
      <c r="U362" s="170"/>
      <c r="V362" s="170"/>
      <c r="W362" s="173"/>
    </row>
    <row r="363" spans="2:23" outlineLevel="1" x14ac:dyDescent="0.2"/>
    <row r="364" spans="2:23" outlineLevel="1" x14ac:dyDescent="0.2">
      <c r="C364" s="8" t="s">
        <v>79</v>
      </c>
      <c r="D364" s="11" t="s">
        <v>126</v>
      </c>
      <c r="E364" s="150"/>
      <c r="F364" s="150"/>
      <c r="G364" s="150"/>
      <c r="H364" s="151">
        <v>0.44999999999999996</v>
      </c>
      <c r="I364" s="151">
        <v>-0.35799999999999998</v>
      </c>
      <c r="J364" s="151">
        <v>0.8</v>
      </c>
      <c r="K364" s="151">
        <v>0.20889999999999997</v>
      </c>
      <c r="L364" s="151"/>
      <c r="M364" s="21"/>
      <c r="N364" s="6"/>
    </row>
    <row r="365" spans="2:23" outlineLevel="1" x14ac:dyDescent="0.2">
      <c r="C365" s="8" t="s">
        <v>81</v>
      </c>
      <c r="D365" s="11" t="s">
        <v>126</v>
      </c>
      <c r="E365" s="150"/>
      <c r="F365" s="150"/>
      <c r="G365" s="150"/>
      <c r="H365" s="151">
        <v>0</v>
      </c>
      <c r="I365" s="151">
        <v>0</v>
      </c>
      <c r="J365" s="151">
        <v>-1.86</v>
      </c>
      <c r="K365" s="151">
        <v>-1.86</v>
      </c>
      <c r="L365" s="151"/>
      <c r="M365" s="21"/>
    </row>
    <row r="366" spans="2:23" outlineLevel="1" x14ac:dyDescent="0.2">
      <c r="C366" s="8" t="s">
        <v>84</v>
      </c>
      <c r="D366" s="11" t="s">
        <v>126</v>
      </c>
      <c r="E366" s="150"/>
      <c r="F366" s="150"/>
      <c r="G366" s="150"/>
      <c r="H366" s="150"/>
      <c r="I366" s="150"/>
      <c r="J366" s="150"/>
      <c r="K366" s="151">
        <v>-0.12256709999999998</v>
      </c>
      <c r="L366" s="151"/>
      <c r="M366" s="21"/>
      <c r="N366" s="6"/>
    </row>
    <row r="367" spans="2:23" outlineLevel="1" x14ac:dyDescent="0.2">
      <c r="C367" s="8" t="s">
        <v>86</v>
      </c>
      <c r="D367" s="11" t="s">
        <v>126</v>
      </c>
      <c r="E367" s="150"/>
      <c r="F367" s="150"/>
      <c r="G367" s="150"/>
      <c r="H367" s="151">
        <v>0.156</v>
      </c>
      <c r="I367" s="151">
        <v>0.6</v>
      </c>
      <c r="J367" s="151">
        <v>2.0133000000000001</v>
      </c>
      <c r="K367" s="151">
        <v>-4.0587999999999997</v>
      </c>
      <c r="L367" s="151"/>
      <c r="M367" s="21"/>
      <c r="N367" s="6"/>
    </row>
    <row r="368" spans="2:23" outlineLevel="1" x14ac:dyDescent="0.2">
      <c r="C368" s="8" t="s">
        <v>88</v>
      </c>
      <c r="D368" s="11" t="s">
        <v>126</v>
      </c>
      <c r="E368" s="150"/>
      <c r="F368" s="150"/>
      <c r="G368" s="150"/>
      <c r="H368" s="150"/>
      <c r="I368" s="150"/>
      <c r="J368" s="264"/>
      <c r="K368" s="151">
        <v>7.2277429999999985</v>
      </c>
      <c r="L368" s="151"/>
      <c r="M368" s="21"/>
      <c r="N368" s="6"/>
    </row>
    <row r="369" spans="2:23" outlineLevel="1" x14ac:dyDescent="0.2">
      <c r="C369" s="8" t="s">
        <v>119</v>
      </c>
      <c r="D369" s="11" t="s">
        <v>126</v>
      </c>
      <c r="E369" s="150"/>
      <c r="F369" s="150"/>
      <c r="G369" s="150"/>
      <c r="H369" s="151">
        <v>4.3215615200000004</v>
      </c>
      <c r="I369" s="151">
        <v>28.827958000001622</v>
      </c>
      <c r="J369" s="151">
        <v>68.15435500000001</v>
      </c>
      <c r="K369" s="150"/>
      <c r="L369" s="150"/>
      <c r="M369" s="21"/>
      <c r="N369" s="6"/>
    </row>
    <row r="370" spans="2:23" outlineLevel="1" x14ac:dyDescent="0.2">
      <c r="C370" s="8" t="s">
        <v>90</v>
      </c>
      <c r="D370" s="11" t="s">
        <v>126</v>
      </c>
      <c r="E370" s="150"/>
      <c r="F370" s="150"/>
      <c r="G370" s="150"/>
      <c r="H370" s="151">
        <v>2.9005999999999998</v>
      </c>
      <c r="I370" s="151">
        <v>2.194</v>
      </c>
      <c r="J370" s="151">
        <v>2.0562999999999998</v>
      </c>
      <c r="K370" s="151">
        <v>2.4051</v>
      </c>
      <c r="L370" s="151"/>
      <c r="M370" s="21"/>
    </row>
    <row r="371" spans="2:23" outlineLevel="1" x14ac:dyDescent="0.2">
      <c r="C371" s="8" t="s">
        <v>93</v>
      </c>
      <c r="D371" s="11" t="s">
        <v>126</v>
      </c>
      <c r="E371" s="150"/>
      <c r="F371" s="150"/>
      <c r="G371" s="150"/>
      <c r="H371" s="151">
        <v>-1.4575</v>
      </c>
      <c r="I371" s="151">
        <v>0</v>
      </c>
      <c r="J371" s="151">
        <v>0</v>
      </c>
      <c r="K371" s="151">
        <v>-0.34600000000000009</v>
      </c>
      <c r="L371" s="151"/>
      <c r="M371" s="21"/>
    </row>
    <row r="372" spans="2:23" outlineLevel="1" x14ac:dyDescent="0.2">
      <c r="C372" s="8" t="s">
        <v>95</v>
      </c>
      <c r="D372" s="11" t="s">
        <v>126</v>
      </c>
      <c r="E372" s="150"/>
      <c r="F372" s="150"/>
      <c r="G372" s="150"/>
      <c r="H372" s="151">
        <v>-4.6749999999999998</v>
      </c>
      <c r="I372" s="151">
        <v>-9.1343999999999994</v>
      </c>
      <c r="J372" s="151">
        <v>-11.423999999999999</v>
      </c>
      <c r="K372" s="151">
        <v>-8.8059399999999997</v>
      </c>
      <c r="L372" s="151"/>
      <c r="M372" s="21"/>
    </row>
    <row r="373" spans="2:23" outlineLevel="1" x14ac:dyDescent="0.2">
      <c r="C373" s="8" t="s">
        <v>97</v>
      </c>
      <c r="D373" s="11" t="s">
        <v>126</v>
      </c>
      <c r="E373" s="150"/>
      <c r="F373" s="150"/>
      <c r="G373" s="150"/>
      <c r="H373" s="151">
        <v>-0.7620590000000016</v>
      </c>
      <c r="I373" s="151">
        <v>-4.2232000000000047</v>
      </c>
      <c r="J373" s="151">
        <v>-4.3471000000000037</v>
      </c>
      <c r="K373" s="151">
        <v>4.1402920000000005</v>
      </c>
      <c r="L373" s="151"/>
      <c r="M373" s="21"/>
    </row>
    <row r="374" spans="2:23" outlineLevel="1" x14ac:dyDescent="0.2">
      <c r="C374" s="8" t="s">
        <v>99</v>
      </c>
      <c r="D374" s="11" t="s">
        <v>126</v>
      </c>
      <c r="E374" s="150"/>
      <c r="F374" s="150"/>
      <c r="G374" s="150"/>
      <c r="H374" s="151">
        <v>-1.8E-3</v>
      </c>
      <c r="I374" s="151">
        <v>-6.0000000000000001E-3</v>
      </c>
      <c r="J374" s="151">
        <v>1.0819999999999999</v>
      </c>
      <c r="K374" s="151">
        <v>-0.17200000000000001</v>
      </c>
      <c r="L374" s="151"/>
      <c r="M374" s="21"/>
    </row>
    <row r="375" spans="2:23" outlineLevel="1" x14ac:dyDescent="0.2">
      <c r="C375" s="8" t="s">
        <v>101</v>
      </c>
      <c r="D375" s="11" t="s">
        <v>126</v>
      </c>
      <c r="E375" s="150"/>
      <c r="F375" s="150"/>
      <c r="G375" s="150"/>
      <c r="H375" s="151">
        <v>4.7909999999999999E-4</v>
      </c>
      <c r="I375" s="151">
        <v>3.8099999999999999E-4</v>
      </c>
      <c r="J375" s="151">
        <v>-6.4826163374999997</v>
      </c>
      <c r="K375" s="151">
        <v>-6.1091691999999993</v>
      </c>
      <c r="L375" s="151"/>
      <c r="M375" s="21"/>
    </row>
    <row r="376" spans="2:23" outlineLevel="1" x14ac:dyDescent="0.2">
      <c r="C376" s="8" t="s">
        <v>103</v>
      </c>
      <c r="D376" s="11" t="s">
        <v>126</v>
      </c>
      <c r="E376" s="150"/>
      <c r="F376" s="150"/>
      <c r="G376" s="150"/>
      <c r="H376" s="151">
        <v>-1.6375500000000001</v>
      </c>
      <c r="I376" s="151">
        <v>-1.6375999999999999</v>
      </c>
      <c r="J376" s="151">
        <v>-0.3727999999999998</v>
      </c>
      <c r="K376" s="151">
        <v>0</v>
      </c>
      <c r="L376" s="151"/>
      <c r="M376" s="21"/>
    </row>
    <row r="377" spans="2:23" outlineLevel="1" x14ac:dyDescent="0.2">
      <c r="C377" s="8" t="s">
        <v>105</v>
      </c>
      <c r="D377" s="11" t="s">
        <v>126</v>
      </c>
      <c r="E377" s="150"/>
      <c r="F377" s="150"/>
      <c r="G377" s="150"/>
      <c r="H377" s="151">
        <v>-0.40179999999999999</v>
      </c>
      <c r="I377" s="151">
        <v>-0.152</v>
      </c>
      <c r="J377" s="151">
        <v>-0.43599999999999994</v>
      </c>
      <c r="K377" s="151">
        <v>-0.83700000000000008</v>
      </c>
      <c r="L377" s="151"/>
      <c r="M377" s="21"/>
    </row>
    <row r="378" spans="2:23" outlineLevel="1" x14ac:dyDescent="0.2">
      <c r="C378" s="8" t="s">
        <v>121</v>
      </c>
      <c r="D378" s="11" t="s">
        <v>126</v>
      </c>
      <c r="E378" s="150"/>
      <c r="F378" s="150"/>
      <c r="G378" s="150"/>
      <c r="H378" s="151">
        <v>4.5547599999999997E-3</v>
      </c>
      <c r="I378" s="151">
        <v>0</v>
      </c>
      <c r="J378" s="151">
        <v>2.5000000000000001E-3</v>
      </c>
      <c r="K378" s="150"/>
      <c r="L378" s="150"/>
      <c r="M378" s="21"/>
    </row>
    <row r="379" spans="2:23" outlineLevel="1" x14ac:dyDescent="0.2">
      <c r="C379" s="8" t="s">
        <v>107</v>
      </c>
      <c r="D379" s="11" t="s">
        <v>126</v>
      </c>
      <c r="E379" s="150"/>
      <c r="F379" s="150"/>
      <c r="G379" s="150"/>
      <c r="H379" s="151">
        <v>-0.31941999999999998</v>
      </c>
      <c r="I379" s="151">
        <v>0</v>
      </c>
      <c r="J379" s="151">
        <v>-0.31940000000000002</v>
      </c>
      <c r="K379" s="151">
        <v>-0.380604</v>
      </c>
      <c r="L379" s="151"/>
      <c r="M379" s="21"/>
    </row>
    <row r="380" spans="2:23" outlineLevel="1" x14ac:dyDescent="0.2">
      <c r="C380" s="8" t="s">
        <v>111</v>
      </c>
      <c r="D380" s="11" t="s">
        <v>126</v>
      </c>
      <c r="E380" s="150"/>
      <c r="F380" s="150"/>
      <c r="G380" s="150"/>
      <c r="H380" s="151">
        <v>2E-3</v>
      </c>
      <c r="I380" s="151">
        <v>-6.0999999999999971E-2</v>
      </c>
      <c r="J380" s="151">
        <v>-0.37119999999999992</v>
      </c>
      <c r="K380" s="151">
        <v>-0.13163999999999965</v>
      </c>
      <c r="L380" s="151"/>
      <c r="M380" s="21"/>
    </row>
    <row r="381" spans="2:23" outlineLevel="1" x14ac:dyDescent="0.2">
      <c r="C381" s="8" t="s">
        <v>113</v>
      </c>
      <c r="D381" s="11" t="s">
        <v>126</v>
      </c>
      <c r="E381" s="150"/>
      <c r="F381" s="150"/>
      <c r="G381" s="150"/>
      <c r="H381" s="151">
        <v>-0.36488400000000598</v>
      </c>
      <c r="I381" s="151">
        <v>0</v>
      </c>
      <c r="J381" s="151">
        <v>-0.33408000000004484</v>
      </c>
      <c r="K381" s="151">
        <v>-0.60719999999999996</v>
      </c>
      <c r="L381" s="151"/>
      <c r="M381" s="21"/>
    </row>
    <row r="382" spans="2:23" outlineLevel="1" x14ac:dyDescent="0.2">
      <c r="C382" s="8" t="s">
        <v>109</v>
      </c>
      <c r="D382" s="11" t="s">
        <v>126</v>
      </c>
      <c r="E382" s="150"/>
      <c r="F382" s="150"/>
      <c r="G382" s="150"/>
      <c r="H382" s="151">
        <v>-4.3999999999999997E-2</v>
      </c>
      <c r="I382" s="151">
        <v>0</v>
      </c>
      <c r="J382" s="151">
        <v>0</v>
      </c>
      <c r="K382" s="151">
        <v>-1.2999999999999999E-2</v>
      </c>
      <c r="L382" s="151"/>
      <c r="M382" s="21"/>
    </row>
    <row r="383" spans="2:23" outlineLevel="1" x14ac:dyDescent="0.2">
      <c r="H383" s="154"/>
      <c r="I383" s="154"/>
      <c r="J383" s="154"/>
      <c r="K383" s="154"/>
    </row>
    <row r="384" spans="2:23" ht="13.5" outlineLevel="1" x14ac:dyDescent="0.25">
      <c r="B384" s="35" t="s">
        <v>340</v>
      </c>
      <c r="C384" s="35"/>
      <c r="D384" s="32"/>
      <c r="E384" s="33"/>
      <c r="F384" s="33"/>
      <c r="G384" s="33"/>
      <c r="H384" s="33"/>
      <c r="I384" s="33"/>
      <c r="J384" s="33"/>
      <c r="K384" s="33"/>
      <c r="L384" s="33"/>
      <c r="M384" s="33"/>
      <c r="N384" s="170" t="s">
        <v>341</v>
      </c>
      <c r="O384" s="183" t="s">
        <v>171</v>
      </c>
      <c r="P384" s="183" t="s">
        <v>172</v>
      </c>
      <c r="Q384" s="183" t="s">
        <v>173</v>
      </c>
      <c r="R384" s="183" t="s">
        <v>150</v>
      </c>
      <c r="S384" s="170"/>
      <c r="T384" s="170"/>
      <c r="U384" s="170"/>
      <c r="V384" s="170"/>
      <c r="W384" s="173"/>
    </row>
    <row r="385" spans="3:14" outlineLevel="1" x14ac:dyDescent="0.2"/>
    <row r="386" spans="3:14" outlineLevel="1" x14ac:dyDescent="0.2">
      <c r="C386" s="8" t="s">
        <v>79</v>
      </c>
      <c r="D386" s="11" t="s">
        <v>126</v>
      </c>
      <c r="E386" s="152"/>
      <c r="F386" s="152"/>
      <c r="G386" s="152"/>
      <c r="H386" s="153">
        <v>2424.9760628111835</v>
      </c>
      <c r="I386" s="153">
        <v>2473.8052357965089</v>
      </c>
      <c r="J386" s="153">
        <v>2529.8159584980231</v>
      </c>
      <c r="K386" s="153">
        <v>2552.6776131182041</v>
      </c>
      <c r="L386" s="153"/>
      <c r="M386" s="21"/>
    </row>
    <row r="387" spans="3:14" outlineLevel="1" x14ac:dyDescent="0.2">
      <c r="C387" s="8" t="s">
        <v>81</v>
      </c>
      <c r="D387" s="11" t="s">
        <v>126</v>
      </c>
      <c r="E387" s="152"/>
      <c r="F387" s="152"/>
      <c r="G387" s="152"/>
      <c r="H387" s="153">
        <v>1738.2509574875523</v>
      </c>
      <c r="I387" s="153">
        <v>1764.7158837727441</v>
      </c>
      <c r="J387" s="153">
        <v>1790.4073841178586</v>
      </c>
      <c r="K387" s="153">
        <v>1814.3290512101014</v>
      </c>
      <c r="L387" s="153"/>
      <c r="M387" s="21"/>
    </row>
    <row r="388" spans="3:14" outlineLevel="1" x14ac:dyDescent="0.2">
      <c r="C388" s="8" t="s">
        <v>84</v>
      </c>
      <c r="D388" s="11" t="s">
        <v>126</v>
      </c>
      <c r="E388" s="152"/>
      <c r="F388" s="152"/>
      <c r="G388" s="152"/>
      <c r="H388" s="152"/>
      <c r="I388" s="152"/>
      <c r="J388" s="152"/>
      <c r="K388" s="153">
        <v>23.65242004998246</v>
      </c>
      <c r="L388" s="153"/>
      <c r="M388" s="21"/>
      <c r="N388" s="6"/>
    </row>
    <row r="389" spans="3:14" outlineLevel="1" x14ac:dyDescent="0.2">
      <c r="C389" s="8" t="s">
        <v>86</v>
      </c>
      <c r="D389" s="11" t="s">
        <v>126</v>
      </c>
      <c r="E389" s="152"/>
      <c r="F389" s="152"/>
      <c r="G389" s="152"/>
      <c r="H389" s="153">
        <v>1352.012016468786</v>
      </c>
      <c r="I389" s="153">
        <v>1363.8299526550313</v>
      </c>
      <c r="J389" s="153">
        <v>1373.4699739489758</v>
      </c>
      <c r="K389" s="153">
        <v>1376.9202911259206</v>
      </c>
      <c r="L389" s="153"/>
      <c r="M389" s="21"/>
      <c r="N389" s="6"/>
    </row>
    <row r="390" spans="3:14" outlineLevel="1" x14ac:dyDescent="0.2">
      <c r="C390" s="8" t="s">
        <v>88</v>
      </c>
      <c r="D390" s="11" t="s">
        <v>126</v>
      </c>
      <c r="E390" s="152"/>
      <c r="F390" s="152"/>
      <c r="G390" s="152"/>
      <c r="H390" s="152"/>
      <c r="I390" s="152"/>
      <c r="J390" s="152"/>
      <c r="K390" s="153">
        <v>2924.9095712030858</v>
      </c>
      <c r="L390" s="153"/>
      <c r="M390" s="21"/>
      <c r="N390" s="6"/>
    </row>
    <row r="391" spans="3:14" outlineLevel="1" x14ac:dyDescent="0.2">
      <c r="C391" s="8" t="s">
        <v>119</v>
      </c>
      <c r="D391" s="11" t="s">
        <v>126</v>
      </c>
      <c r="E391" s="152"/>
      <c r="F391" s="152"/>
      <c r="G391" s="152"/>
      <c r="H391" s="153">
        <v>2746.7246983914201</v>
      </c>
      <c r="I391" s="153">
        <v>2779.96418956554</v>
      </c>
      <c r="J391" s="153">
        <v>2845.362895256917</v>
      </c>
      <c r="K391" s="152"/>
      <c r="L391" s="152"/>
      <c r="M391" s="21"/>
      <c r="N391" s="6"/>
    </row>
    <row r="392" spans="3:14" outlineLevel="1" x14ac:dyDescent="0.2">
      <c r="C392" s="8" t="s">
        <v>90</v>
      </c>
      <c r="D392" s="11" t="s">
        <v>126</v>
      </c>
      <c r="E392" s="152"/>
      <c r="F392" s="152"/>
      <c r="G392" s="152"/>
      <c r="H392" s="153">
        <v>1101.2554337418612</v>
      </c>
      <c r="I392" s="153">
        <v>1114.23458967694</v>
      </c>
      <c r="J392" s="153">
        <v>1126.176136363636</v>
      </c>
      <c r="K392" s="153">
        <v>1129.7312346545073</v>
      </c>
      <c r="L392" s="153"/>
      <c r="M392" s="21"/>
    </row>
    <row r="393" spans="3:14" outlineLevel="1" x14ac:dyDescent="0.2">
      <c r="C393" s="8" t="s">
        <v>93</v>
      </c>
      <c r="D393" s="11" t="s">
        <v>126</v>
      </c>
      <c r="E393" s="152"/>
      <c r="F393" s="152"/>
      <c r="G393" s="152"/>
      <c r="H393" s="153">
        <v>1534.0609440827268</v>
      </c>
      <c r="I393" s="153">
        <v>1557.7135861492757</v>
      </c>
      <c r="J393" s="153">
        <v>1588.9453377650016</v>
      </c>
      <c r="K393" s="153">
        <v>1612.0395694493156</v>
      </c>
      <c r="L393" s="153"/>
      <c r="M393" s="21"/>
    </row>
    <row r="394" spans="3:14" outlineLevel="1" x14ac:dyDescent="0.2">
      <c r="C394" s="8" t="s">
        <v>95</v>
      </c>
      <c r="D394" s="11" t="s">
        <v>126</v>
      </c>
      <c r="E394" s="152"/>
      <c r="F394" s="152"/>
      <c r="G394" s="152"/>
      <c r="H394" s="153">
        <v>4235.449133473764</v>
      </c>
      <c r="I394" s="153">
        <v>4359.1446806535459</v>
      </c>
      <c r="J394" s="153">
        <v>4464.8078063241101</v>
      </c>
      <c r="K394" s="153">
        <v>4556.5826464398451</v>
      </c>
      <c r="L394" s="153"/>
      <c r="M394" s="21"/>
    </row>
    <row r="395" spans="3:14" outlineLevel="1" x14ac:dyDescent="0.2">
      <c r="C395" s="8" t="s">
        <v>97</v>
      </c>
      <c r="D395" s="11" t="s">
        <v>126</v>
      </c>
      <c r="E395" s="152"/>
      <c r="F395" s="152"/>
      <c r="G395" s="152"/>
      <c r="H395" s="153">
        <v>3587.3830668326309</v>
      </c>
      <c r="I395" s="153">
        <v>3594.3435991459341</v>
      </c>
      <c r="J395" s="153">
        <v>3615.2710429392737</v>
      </c>
      <c r="K395" s="153">
        <v>3650.3837030866366</v>
      </c>
      <c r="L395" s="153"/>
      <c r="M395" s="21"/>
    </row>
    <row r="396" spans="3:14" outlineLevel="1" x14ac:dyDescent="0.2">
      <c r="C396" s="8" t="s">
        <v>99</v>
      </c>
      <c r="D396" s="11" t="s">
        <v>126</v>
      </c>
      <c r="E396" s="152"/>
      <c r="F396" s="152"/>
      <c r="G396" s="152"/>
      <c r="H396" s="153">
        <v>975.61355802374567</v>
      </c>
      <c r="I396" s="153">
        <v>993.95177311548457</v>
      </c>
      <c r="J396" s="153">
        <v>1010.6074829320876</v>
      </c>
      <c r="K396" s="153">
        <v>1033.0120790950541</v>
      </c>
      <c r="L396" s="153"/>
      <c r="M396" s="21"/>
    </row>
    <row r="397" spans="3:14" outlineLevel="1" x14ac:dyDescent="0.2">
      <c r="C397" s="8" t="s">
        <v>101</v>
      </c>
      <c r="D397" s="11" t="s">
        <v>126</v>
      </c>
      <c r="E397" s="152"/>
      <c r="F397" s="152"/>
      <c r="G397" s="152"/>
      <c r="H397" s="153">
        <v>2022.2191689008041</v>
      </c>
      <c r="I397" s="153">
        <v>2071.5563265874484</v>
      </c>
      <c r="J397" s="153">
        <v>2109.4164346029465</v>
      </c>
      <c r="K397" s="153">
        <v>2138.9256182041386</v>
      </c>
      <c r="L397" s="153"/>
      <c r="M397" s="21"/>
    </row>
    <row r="398" spans="3:14" outlineLevel="1" x14ac:dyDescent="0.2">
      <c r="C398" s="8" t="s">
        <v>103</v>
      </c>
      <c r="D398" s="11" t="s">
        <v>126</v>
      </c>
      <c r="E398" s="152"/>
      <c r="F398" s="152"/>
      <c r="G398" s="152"/>
      <c r="H398" s="153">
        <v>373.13176967636917</v>
      </c>
      <c r="I398" s="153">
        <v>386.80807115670245</v>
      </c>
      <c r="J398" s="153">
        <v>395.98832487423635</v>
      </c>
      <c r="K398" s="153">
        <v>396.32806317958608</v>
      </c>
      <c r="L398" s="153"/>
      <c r="M398" s="21"/>
    </row>
    <row r="399" spans="3:14" outlineLevel="1" x14ac:dyDescent="0.2">
      <c r="C399" s="8" t="s">
        <v>105</v>
      </c>
      <c r="D399" s="11" t="s">
        <v>126</v>
      </c>
      <c r="E399" s="152"/>
      <c r="F399" s="152"/>
      <c r="G399" s="152"/>
      <c r="H399" s="153">
        <v>153.11790884718499</v>
      </c>
      <c r="I399" s="153">
        <v>157.71871356294093</v>
      </c>
      <c r="J399" s="153">
        <v>162.99466560366506</v>
      </c>
      <c r="K399" s="153">
        <v>168.14649333567166</v>
      </c>
      <c r="L399" s="153"/>
      <c r="M399" s="21"/>
    </row>
    <row r="400" spans="3:14" outlineLevel="1" x14ac:dyDescent="0.2">
      <c r="C400" s="8" t="s">
        <v>121</v>
      </c>
      <c r="D400" s="11" t="s">
        <v>126</v>
      </c>
      <c r="E400" s="152"/>
      <c r="F400" s="152"/>
      <c r="G400" s="152"/>
      <c r="H400" s="153">
        <v>25.869925794714664</v>
      </c>
      <c r="I400" s="153">
        <v>28.596984079093943</v>
      </c>
      <c r="J400" s="153">
        <v>31.475559647862017</v>
      </c>
      <c r="K400" s="152"/>
      <c r="L400" s="152"/>
      <c r="M400" s="21"/>
    </row>
    <row r="401" spans="2:23" outlineLevel="1" x14ac:dyDescent="0.2">
      <c r="C401" s="8" t="s">
        <v>107</v>
      </c>
      <c r="D401" s="11" t="s">
        <v>126</v>
      </c>
      <c r="E401" s="152"/>
      <c r="F401" s="152"/>
      <c r="G401" s="152"/>
      <c r="H401" s="153">
        <v>44.962219216775175</v>
      </c>
      <c r="I401" s="153">
        <v>45.600135768659491</v>
      </c>
      <c r="J401" s="153">
        <v>46.896803359683794</v>
      </c>
      <c r="K401" s="153">
        <v>47.931502981410027</v>
      </c>
      <c r="L401" s="153"/>
      <c r="M401" s="21"/>
    </row>
    <row r="402" spans="2:23" outlineLevel="1" x14ac:dyDescent="0.2">
      <c r="C402" s="8" t="s">
        <v>111</v>
      </c>
      <c r="D402" s="11" t="s">
        <v>126</v>
      </c>
      <c r="E402" s="152"/>
      <c r="F402" s="152"/>
      <c r="G402" s="152"/>
      <c r="H402" s="153">
        <v>406.04466942742238</v>
      </c>
      <c r="I402" s="153">
        <v>414.74571458410696</v>
      </c>
      <c r="J402" s="153">
        <v>425.31242813510596</v>
      </c>
      <c r="K402" s="153">
        <v>435.23620001753767</v>
      </c>
      <c r="L402" s="153"/>
      <c r="M402" s="21"/>
    </row>
    <row r="403" spans="2:23" outlineLevel="1" x14ac:dyDescent="0.2">
      <c r="C403" s="8" t="s">
        <v>113</v>
      </c>
      <c r="D403" s="11" t="s">
        <v>126</v>
      </c>
      <c r="E403" s="152"/>
      <c r="F403" s="152"/>
      <c r="G403" s="152"/>
      <c r="H403" s="153">
        <v>116.49725584067406</v>
      </c>
      <c r="I403" s="153">
        <v>117.56367526921647</v>
      </c>
      <c r="J403" s="153">
        <v>119.28300687208049</v>
      </c>
      <c r="K403" s="153">
        <v>121.23528893370745</v>
      </c>
      <c r="L403" s="153"/>
      <c r="M403" s="21"/>
    </row>
    <row r="404" spans="2:23" outlineLevel="1" x14ac:dyDescent="0.2">
      <c r="C404" s="8" t="s">
        <v>109</v>
      </c>
      <c r="D404" s="11" t="s">
        <v>126</v>
      </c>
      <c r="E404" s="152"/>
      <c r="F404" s="152"/>
      <c r="G404" s="152"/>
      <c r="H404" s="153">
        <v>77.623835216392166</v>
      </c>
      <c r="I404" s="153">
        <v>78.814208132194565</v>
      </c>
      <c r="J404" s="153">
        <v>81.099189723320151</v>
      </c>
      <c r="K404" s="153">
        <v>83.07708764468606</v>
      </c>
      <c r="L404" s="153"/>
      <c r="M404" s="21"/>
    </row>
    <row r="406" spans="2:23" x14ac:dyDescent="0.2">
      <c r="B406" s="187" t="s">
        <v>26</v>
      </c>
      <c r="C406" s="187"/>
      <c r="D406" s="188"/>
      <c r="E406" s="187"/>
      <c r="F406" s="187"/>
      <c r="G406" s="187"/>
      <c r="H406" s="187"/>
      <c r="I406" s="187"/>
      <c r="J406" s="187"/>
      <c r="K406" s="187"/>
      <c r="L406" s="187"/>
      <c r="M406" s="187"/>
      <c r="N406" s="189"/>
      <c r="O406" s="189"/>
      <c r="P406" s="189"/>
      <c r="Q406" s="189"/>
      <c r="R406" s="189"/>
      <c r="S406" s="189"/>
      <c r="T406" s="189"/>
      <c r="U406" s="189"/>
      <c r="V406" s="189"/>
      <c r="W406" s="45"/>
    </row>
  </sheetData>
  <mergeCells count="1">
    <mergeCell ref="N179:R179"/>
  </mergeCells>
  <hyperlinks>
    <hyperlink ref="O384" r:id="rId1" display="Link"/>
    <hyperlink ref="P384" r:id="rId2" display="Link"/>
    <hyperlink ref="Q384" r:id="rId3" display="Link"/>
    <hyperlink ref="R384" r:id="rId4" display="Link"/>
    <hyperlink ref="N123" r:id="rId5"/>
    <hyperlink ref="N179" r:id="rId6"/>
    <hyperlink ref="N124" r:id="rId7"/>
    <hyperlink ref="O125" r:id="rId8" display="2016-19"/>
    <hyperlink ref="N125" r:id="rId9"/>
    <hyperlink ref="N127" r:id="rId10"/>
    <hyperlink ref="N126" r:id="rId11" display="2016-19"/>
    <hyperlink ref="O126" r:id="rId12"/>
    <hyperlink ref="N128" r:id="rId13"/>
    <hyperlink ref="O128" r:id="rId14"/>
    <hyperlink ref="N129" r:id="rId15"/>
    <hyperlink ref="S99" r:id="rId16"/>
    <hyperlink ref="T99" r:id="rId17"/>
    <hyperlink ref="R121" r:id="rId18"/>
    <hyperlink ref="S121" r:id="rId19"/>
    <hyperlink ref="Q53" r:id="rId20"/>
    <hyperlink ref="R53" r:id="rId21" display="2012-14"/>
    <hyperlink ref="S53" r:id="rId22" display="2014-16"/>
    <hyperlink ref="N130" r:id="rId23"/>
    <hyperlink ref="N63" r:id="rId24"/>
    <hyperlink ref="N131" r:id="rId25"/>
    <hyperlink ref="N132" r:id="rId26"/>
    <hyperlink ref="N133" r:id="rId27"/>
    <hyperlink ref="N101" r:id="rId28"/>
    <hyperlink ref="N102" r:id="rId29"/>
    <hyperlink ref="O103" r:id="rId30" display="2016-19"/>
    <hyperlink ref="N103" r:id="rId31"/>
    <hyperlink ref="N105" r:id="rId32"/>
    <hyperlink ref="N104" r:id="rId33" display="2016-19"/>
    <hyperlink ref="O104" r:id="rId34"/>
    <hyperlink ref="N106" r:id="rId35"/>
    <hyperlink ref="O106" r:id="rId36"/>
    <hyperlink ref="N107" r:id="rId37"/>
    <hyperlink ref="N108" r:id="rId38"/>
    <hyperlink ref="N109" r:id="rId39"/>
    <hyperlink ref="N110" r:id="rId40"/>
    <hyperlink ref="N111" r:id="rId41"/>
    <hyperlink ref="N112" r:id="rId42"/>
    <hyperlink ref="N134" r:id="rId43"/>
    <hyperlink ref="N113" r:id="rId44"/>
    <hyperlink ref="N135" r:id="rId45"/>
    <hyperlink ref="N114" r:id="rId46"/>
    <hyperlink ref="N136" r:id="rId47"/>
    <hyperlink ref="N115" r:id="rId48"/>
    <hyperlink ref="N137" r:id="rId49"/>
    <hyperlink ref="N116" r:id="rId50"/>
    <hyperlink ref="O116" r:id="rId51" display="2016-19 (SST)"/>
    <hyperlink ref="N138" r:id="rId52"/>
    <hyperlink ref="O138" r:id="rId53" display="2016-19 (SST)"/>
    <hyperlink ref="N117" r:id="rId54"/>
    <hyperlink ref="N139" r:id="rId55"/>
    <hyperlink ref="V182" r:id="rId56"/>
    <hyperlink ref="W182" r:id="rId57" display="Welsh"/>
    <hyperlink ref="V198" r:id="rId58"/>
    <hyperlink ref="W198" r:id="rId59" display="Welsh"/>
    <hyperlink ref="V199" r:id="rId60"/>
    <hyperlink ref="W199" r:id="rId61" display="Welsh"/>
  </hyperlinks>
  <pageMargins left="0.7" right="0.7" top="0.75" bottom="0.75" header="0.3" footer="0.3"/>
  <pageSetup paperSize="9" orientation="portrait" r:id="rId6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P219"/>
  <sheetViews>
    <sheetView showGridLines="0" workbookViewId="0">
      <pane ySplit="3" topLeftCell="A4" activePane="bottomLeft" state="frozen"/>
      <selection pane="bottomLeft" activeCell="A4" sqref="A4"/>
    </sheetView>
  </sheetViews>
  <sheetFormatPr defaultRowHeight="12.75" x14ac:dyDescent="0.2"/>
  <cols>
    <col min="1" max="2" width="2.625" style="8" customWidth="1"/>
    <col min="3" max="3" width="8.375" style="8" bestFit="1" customWidth="1"/>
    <col min="4" max="4" width="64.5" style="11" bestFit="1" customWidth="1"/>
    <col min="5" max="5" width="38" style="11" bestFit="1" customWidth="1"/>
    <col min="6" max="6" width="2.625" style="8" customWidth="1"/>
    <col min="7" max="9" width="7.625" style="8" customWidth="1"/>
    <col min="10" max="10" width="2.625" style="8" customWidth="1"/>
    <col min="11" max="12" width="7.625" style="8" customWidth="1"/>
    <col min="13" max="13" width="2.625" style="8" customWidth="1"/>
    <col min="14" max="16384" width="9" style="8"/>
  </cols>
  <sheetData>
    <row r="2" spans="2:15" x14ac:dyDescent="0.2">
      <c r="C2" s="13"/>
      <c r="G2" s="344" t="s">
        <v>342</v>
      </c>
      <c r="H2" s="344"/>
      <c r="I2" s="344"/>
      <c r="K2" s="344" t="s">
        <v>343</v>
      </c>
      <c r="L2" s="344"/>
    </row>
    <row r="3" spans="2:15" x14ac:dyDescent="0.2">
      <c r="C3" s="13" t="s">
        <v>344</v>
      </c>
      <c r="D3" s="14" t="s">
        <v>345</v>
      </c>
      <c r="E3" s="14" t="s">
        <v>124</v>
      </c>
      <c r="G3" s="70" t="s">
        <v>173</v>
      </c>
      <c r="H3" s="70" t="s">
        <v>150</v>
      </c>
      <c r="I3" s="70" t="s">
        <v>174</v>
      </c>
      <c r="K3" s="89" t="s">
        <v>150</v>
      </c>
      <c r="L3" s="89" t="s">
        <v>174</v>
      </c>
    </row>
    <row r="5" spans="2:15" ht="13.5" x14ac:dyDescent="0.25">
      <c r="B5" s="9" t="s">
        <v>160</v>
      </c>
      <c r="C5" s="9"/>
      <c r="D5" s="10"/>
      <c r="E5" s="10"/>
      <c r="F5" s="9"/>
      <c r="G5" s="9"/>
      <c r="H5" s="9"/>
      <c r="I5" s="9"/>
      <c r="J5" s="9"/>
      <c r="K5" s="9"/>
      <c r="L5" s="9"/>
      <c r="M5" s="9"/>
    </row>
    <row r="7" spans="2:15" ht="13.5" x14ac:dyDescent="0.25">
      <c r="B7" s="35" t="s">
        <v>346</v>
      </c>
      <c r="C7" s="35"/>
      <c r="D7" s="35"/>
      <c r="E7" s="35"/>
      <c r="F7" s="35"/>
      <c r="G7" s="35"/>
      <c r="H7" s="35"/>
      <c r="I7" s="35"/>
      <c r="J7" s="35"/>
      <c r="K7" s="343" t="s">
        <v>347</v>
      </c>
      <c r="L7" s="343"/>
      <c r="M7" s="35"/>
    </row>
    <row r="9" spans="2:15" x14ac:dyDescent="0.2">
      <c r="C9" s="8" t="s">
        <v>103</v>
      </c>
      <c r="D9" s="80" t="s">
        <v>348</v>
      </c>
      <c r="E9" s="80" t="s">
        <v>134</v>
      </c>
      <c r="G9" s="67">
        <v>173.1</v>
      </c>
      <c r="H9" s="67">
        <v>167.7</v>
      </c>
      <c r="I9" s="67"/>
      <c r="K9" s="273">
        <f t="shared" ref="K9:K26" si="0">H9</f>
        <v>167.7</v>
      </c>
      <c r="L9" s="273">
        <f t="shared" ref="L9:L26" si="1">I9</f>
        <v>0</v>
      </c>
    </row>
    <row r="10" spans="2:15" x14ac:dyDescent="0.2">
      <c r="C10" s="8" t="s">
        <v>79</v>
      </c>
      <c r="D10" s="80" t="s">
        <v>349</v>
      </c>
      <c r="E10" s="80" t="s">
        <v>134</v>
      </c>
      <c r="G10" s="67">
        <v>192</v>
      </c>
      <c r="H10" s="67">
        <v>192</v>
      </c>
      <c r="I10" s="67"/>
      <c r="K10" s="273">
        <f t="shared" si="0"/>
        <v>192</v>
      </c>
      <c r="L10" s="273">
        <f t="shared" si="1"/>
        <v>0</v>
      </c>
    </row>
    <row r="11" spans="2:15" x14ac:dyDescent="0.2">
      <c r="C11" s="8" t="s">
        <v>105</v>
      </c>
      <c r="D11" s="80" t="s">
        <v>350</v>
      </c>
      <c r="E11" s="80" t="s">
        <v>134</v>
      </c>
      <c r="G11" s="67">
        <v>45</v>
      </c>
      <c r="H11" s="67">
        <v>44</v>
      </c>
      <c r="I11" s="67"/>
      <c r="K11" s="273">
        <f t="shared" si="0"/>
        <v>44</v>
      </c>
      <c r="L11" s="273">
        <f t="shared" si="1"/>
        <v>0</v>
      </c>
    </row>
    <row r="12" spans="2:15" x14ac:dyDescent="0.2">
      <c r="C12" s="8" t="s">
        <v>86</v>
      </c>
      <c r="D12" s="80" t="s">
        <v>351</v>
      </c>
      <c r="E12" s="80" t="s">
        <v>134</v>
      </c>
      <c r="G12" s="67">
        <v>203</v>
      </c>
      <c r="H12" s="68">
        <v>203</v>
      </c>
      <c r="I12" s="68"/>
      <c r="K12" s="273">
        <f t="shared" si="0"/>
        <v>203</v>
      </c>
      <c r="L12" s="273">
        <f t="shared" si="1"/>
        <v>0</v>
      </c>
      <c r="N12" s="66"/>
      <c r="O12" s="66"/>
    </row>
    <row r="13" spans="2:15" x14ac:dyDescent="0.2">
      <c r="C13" s="8" t="s">
        <v>107</v>
      </c>
      <c r="D13" s="80" t="s">
        <v>352</v>
      </c>
      <c r="E13" s="80" t="s">
        <v>134</v>
      </c>
      <c r="G13" s="67">
        <v>29.9</v>
      </c>
      <c r="H13" s="67">
        <v>29.85</v>
      </c>
      <c r="I13" s="67"/>
      <c r="K13" s="273">
        <f t="shared" si="0"/>
        <v>29.85</v>
      </c>
      <c r="L13" s="273">
        <f t="shared" si="1"/>
        <v>0</v>
      </c>
    </row>
    <row r="14" spans="2:15" x14ac:dyDescent="0.2">
      <c r="C14" s="8" t="s">
        <v>115</v>
      </c>
      <c r="D14" s="80" t="s">
        <v>353</v>
      </c>
      <c r="E14" s="80" t="s">
        <v>134</v>
      </c>
      <c r="G14" s="94" t="s">
        <v>322</v>
      </c>
      <c r="H14" s="95" t="s">
        <v>322</v>
      </c>
      <c r="I14" s="67"/>
      <c r="K14" s="273" t="str">
        <f t="shared" si="0"/>
        <v>-</v>
      </c>
      <c r="L14" s="273">
        <f t="shared" si="1"/>
        <v>0</v>
      </c>
    </row>
    <row r="15" spans="2:15" x14ac:dyDescent="0.2">
      <c r="C15" s="8" t="s">
        <v>109</v>
      </c>
      <c r="D15" s="80" t="s">
        <v>354</v>
      </c>
      <c r="E15" s="80" t="s">
        <v>134</v>
      </c>
      <c r="G15" s="68">
        <v>24.2</v>
      </c>
      <c r="H15" s="68">
        <v>24.1</v>
      </c>
      <c r="I15" s="68"/>
      <c r="K15" s="273">
        <f t="shared" si="0"/>
        <v>24.1</v>
      </c>
      <c r="L15" s="273">
        <f t="shared" si="1"/>
        <v>0</v>
      </c>
    </row>
    <row r="16" spans="2:15" x14ac:dyDescent="0.2">
      <c r="C16" s="8" t="s">
        <v>111</v>
      </c>
      <c r="D16" s="80" t="s">
        <v>355</v>
      </c>
      <c r="E16" s="80" t="s">
        <v>134</v>
      </c>
      <c r="G16" s="67">
        <v>90</v>
      </c>
      <c r="H16" s="67">
        <v>89.1</v>
      </c>
      <c r="I16" s="67"/>
      <c r="K16" s="273">
        <f t="shared" si="0"/>
        <v>89.1</v>
      </c>
      <c r="L16" s="273">
        <f t="shared" si="1"/>
        <v>0</v>
      </c>
    </row>
    <row r="17" spans="2:16" x14ac:dyDescent="0.2">
      <c r="C17" s="8" t="s">
        <v>93</v>
      </c>
      <c r="D17" s="80" t="s">
        <v>356</v>
      </c>
      <c r="E17" s="80" t="s">
        <v>134</v>
      </c>
      <c r="G17" s="94" t="s">
        <v>322</v>
      </c>
      <c r="H17" s="95" t="s">
        <v>322</v>
      </c>
      <c r="I17" s="67"/>
      <c r="K17" s="273" t="str">
        <f t="shared" si="0"/>
        <v>-</v>
      </c>
      <c r="L17" s="273">
        <f t="shared" si="1"/>
        <v>0</v>
      </c>
    </row>
    <row r="18" spans="2:16" x14ac:dyDescent="0.2">
      <c r="C18" s="8" t="s">
        <v>113</v>
      </c>
      <c r="D18" s="80" t="s">
        <v>357</v>
      </c>
      <c r="E18" s="80" t="s">
        <v>134</v>
      </c>
      <c r="G18" s="68">
        <v>84</v>
      </c>
      <c r="H18" s="68">
        <v>84</v>
      </c>
      <c r="I18" s="68"/>
      <c r="K18" s="273">
        <f t="shared" si="0"/>
        <v>84</v>
      </c>
      <c r="L18" s="273">
        <f t="shared" si="1"/>
        <v>0</v>
      </c>
      <c r="N18" s="66"/>
      <c r="O18" s="66"/>
    </row>
    <row r="19" spans="2:16" x14ac:dyDescent="0.2">
      <c r="C19" s="8" t="s">
        <v>117</v>
      </c>
      <c r="D19" s="80" t="s">
        <v>358</v>
      </c>
      <c r="E19" s="80" t="s">
        <v>134</v>
      </c>
      <c r="G19" s="67">
        <v>84</v>
      </c>
      <c r="H19" s="68">
        <v>84</v>
      </c>
      <c r="I19" s="68"/>
      <c r="K19" s="273">
        <f t="shared" si="0"/>
        <v>84</v>
      </c>
      <c r="L19" s="273">
        <f t="shared" si="1"/>
        <v>0</v>
      </c>
      <c r="N19" s="52"/>
      <c r="O19" s="52"/>
      <c r="P19" s="52"/>
    </row>
    <row r="20" spans="2:16" x14ac:dyDescent="0.2">
      <c r="C20" s="8" t="s">
        <v>95</v>
      </c>
      <c r="D20" s="80" t="s">
        <v>359</v>
      </c>
      <c r="E20" s="80" t="s">
        <v>360</v>
      </c>
      <c r="G20" s="67">
        <v>620</v>
      </c>
      <c r="H20" s="67">
        <v>612</v>
      </c>
      <c r="I20" s="67"/>
      <c r="K20" s="273">
        <f t="shared" si="0"/>
        <v>612</v>
      </c>
      <c r="L20" s="273">
        <f t="shared" si="1"/>
        <v>0</v>
      </c>
    </row>
    <row r="21" spans="2:16" x14ac:dyDescent="0.2">
      <c r="C21" s="8" t="s">
        <v>97</v>
      </c>
      <c r="D21" s="80" t="s">
        <v>361</v>
      </c>
      <c r="E21" s="80" t="s">
        <v>362</v>
      </c>
      <c r="G21" s="67">
        <v>462.65</v>
      </c>
      <c r="H21" s="67">
        <v>462.65</v>
      </c>
      <c r="I21" s="67"/>
      <c r="K21" s="273">
        <f t="shared" si="0"/>
        <v>462.65</v>
      </c>
      <c r="L21" s="273">
        <f t="shared" si="1"/>
        <v>0</v>
      </c>
      <c r="N21" s="66"/>
      <c r="O21" s="66"/>
      <c r="P21" s="66"/>
    </row>
    <row r="22" spans="2:16" x14ac:dyDescent="0.2">
      <c r="C22" s="8" t="s">
        <v>81</v>
      </c>
      <c r="D22" s="80" t="s">
        <v>363</v>
      </c>
      <c r="E22" s="80" t="s">
        <v>134</v>
      </c>
      <c r="G22" s="67">
        <v>173</v>
      </c>
      <c r="H22" s="67">
        <v>171</v>
      </c>
      <c r="I22" s="67"/>
      <c r="K22" s="273">
        <f t="shared" si="0"/>
        <v>171</v>
      </c>
      <c r="L22" s="273">
        <f t="shared" si="1"/>
        <v>0</v>
      </c>
    </row>
    <row r="23" spans="2:16" x14ac:dyDescent="0.2">
      <c r="C23" s="8" t="s">
        <v>99</v>
      </c>
      <c r="D23" s="80" t="s">
        <v>364</v>
      </c>
      <c r="E23" s="80" t="s">
        <v>134</v>
      </c>
      <c r="G23" s="67">
        <v>67.900000000000006</v>
      </c>
      <c r="H23" s="67">
        <v>67.2</v>
      </c>
      <c r="I23" s="67"/>
      <c r="K23" s="273">
        <f t="shared" si="0"/>
        <v>67.2</v>
      </c>
      <c r="L23" s="273">
        <f t="shared" si="1"/>
        <v>0</v>
      </c>
    </row>
    <row r="24" spans="2:16" x14ac:dyDescent="0.2">
      <c r="C24" s="8" t="s">
        <v>101</v>
      </c>
      <c r="D24" s="80" t="s">
        <v>365</v>
      </c>
      <c r="E24" s="80" t="s">
        <v>134</v>
      </c>
      <c r="G24" s="67">
        <v>297.10000000000002</v>
      </c>
      <c r="H24" s="67">
        <v>292.10000000000002</v>
      </c>
      <c r="I24" s="67"/>
      <c r="K24" s="273">
        <f t="shared" si="0"/>
        <v>292.10000000000002</v>
      </c>
      <c r="L24" s="273">
        <f t="shared" si="1"/>
        <v>0</v>
      </c>
    </row>
    <row r="25" spans="2:16" x14ac:dyDescent="0.2">
      <c r="C25" s="8" t="s">
        <v>84</v>
      </c>
      <c r="D25" s="80" t="s">
        <v>366</v>
      </c>
      <c r="E25" s="80" t="s">
        <v>134</v>
      </c>
      <c r="G25" s="94" t="s">
        <v>322</v>
      </c>
      <c r="H25" s="69">
        <v>11.72</v>
      </c>
      <c r="I25" s="69"/>
      <c r="K25" s="273">
        <f t="shared" si="0"/>
        <v>11.72</v>
      </c>
      <c r="L25" s="273">
        <f t="shared" si="1"/>
        <v>0</v>
      </c>
    </row>
    <row r="26" spans="2:16" x14ac:dyDescent="0.2">
      <c r="C26" s="8" t="s">
        <v>88</v>
      </c>
      <c r="D26" s="80" t="s">
        <v>367</v>
      </c>
      <c r="E26" s="80" t="s">
        <v>134</v>
      </c>
      <c r="G26" s="94" t="s">
        <v>322</v>
      </c>
      <c r="H26" s="69">
        <v>428.02</v>
      </c>
      <c r="I26" s="69"/>
      <c r="K26" s="273">
        <f t="shared" si="0"/>
        <v>428.02</v>
      </c>
      <c r="L26" s="273">
        <f t="shared" si="1"/>
        <v>0</v>
      </c>
    </row>
    <row r="27" spans="2:16" x14ac:dyDescent="0.2">
      <c r="K27" s="92"/>
      <c r="L27" s="92"/>
    </row>
    <row r="28" spans="2:16" ht="13.5" x14ac:dyDescent="0.25">
      <c r="B28" s="35" t="s">
        <v>368</v>
      </c>
      <c r="C28" s="35"/>
      <c r="D28" s="35"/>
      <c r="E28" s="35"/>
      <c r="F28" s="35"/>
      <c r="G28" s="35"/>
      <c r="H28" s="35"/>
      <c r="I28" s="35"/>
      <c r="J28" s="35"/>
      <c r="K28" s="343" t="s">
        <v>347</v>
      </c>
      <c r="L28" s="343"/>
      <c r="M28" s="35"/>
    </row>
    <row r="29" spans="2:16" x14ac:dyDescent="0.2">
      <c r="K29" s="92"/>
      <c r="L29" s="92"/>
    </row>
    <row r="30" spans="2:16" x14ac:dyDescent="0.2">
      <c r="C30" s="8" t="s">
        <v>103</v>
      </c>
      <c r="D30" s="80" t="s">
        <v>348</v>
      </c>
      <c r="E30" s="80" t="s">
        <v>134</v>
      </c>
      <c r="G30" s="67">
        <v>177.2</v>
      </c>
      <c r="H30" s="67">
        <v>196.1</v>
      </c>
      <c r="I30" s="67"/>
      <c r="J30" s="88"/>
      <c r="K30" s="273">
        <f t="shared" ref="K30:K47" si="2">H30</f>
        <v>196.1</v>
      </c>
      <c r="L30" s="273">
        <f t="shared" ref="L30:L47" si="3">I30</f>
        <v>0</v>
      </c>
    </row>
    <row r="31" spans="2:16" x14ac:dyDescent="0.2">
      <c r="C31" s="88" t="s">
        <v>79</v>
      </c>
      <c r="D31" s="80" t="s">
        <v>349</v>
      </c>
      <c r="E31" s="80" t="s">
        <v>134</v>
      </c>
      <c r="G31" s="67">
        <v>183.3</v>
      </c>
      <c r="H31" s="67">
        <v>186</v>
      </c>
      <c r="I31" s="67"/>
      <c r="J31" s="88"/>
      <c r="K31" s="273">
        <f t="shared" si="2"/>
        <v>186</v>
      </c>
      <c r="L31" s="273">
        <f t="shared" si="3"/>
        <v>0</v>
      </c>
    </row>
    <row r="32" spans="2:16" x14ac:dyDescent="0.2">
      <c r="C32" s="8" t="s">
        <v>105</v>
      </c>
      <c r="D32" s="80" t="s">
        <v>350</v>
      </c>
      <c r="E32" s="80" t="s">
        <v>134</v>
      </c>
      <c r="G32" s="67">
        <v>49.58</v>
      </c>
      <c r="H32" s="67">
        <v>45.83</v>
      </c>
      <c r="I32" s="67"/>
      <c r="K32" s="273">
        <f t="shared" si="2"/>
        <v>45.83</v>
      </c>
      <c r="L32" s="273">
        <f t="shared" si="3"/>
        <v>0</v>
      </c>
    </row>
    <row r="33" spans="3:16" x14ac:dyDescent="0.2">
      <c r="C33" s="8" t="s">
        <v>86</v>
      </c>
      <c r="D33" s="80" t="s">
        <v>351</v>
      </c>
      <c r="E33" s="80" t="s">
        <v>134</v>
      </c>
      <c r="G33" s="67">
        <v>203.22000000000003</v>
      </c>
      <c r="H33" s="67">
        <v>200.44</v>
      </c>
      <c r="I33" s="67"/>
      <c r="K33" s="273">
        <f t="shared" si="2"/>
        <v>200.44</v>
      </c>
      <c r="L33" s="273">
        <f t="shared" si="3"/>
        <v>0</v>
      </c>
      <c r="N33" s="66"/>
      <c r="O33" s="66"/>
    </row>
    <row r="34" spans="3:16" x14ac:dyDescent="0.2">
      <c r="C34" s="8" t="s">
        <v>107</v>
      </c>
      <c r="D34" s="80" t="s">
        <v>352</v>
      </c>
      <c r="E34" s="80" t="s">
        <v>134</v>
      </c>
      <c r="G34" s="67">
        <v>32.869999999999997</v>
      </c>
      <c r="H34" s="67">
        <v>28.12</v>
      </c>
      <c r="I34" s="67"/>
      <c r="K34" s="273">
        <f t="shared" si="2"/>
        <v>28.12</v>
      </c>
      <c r="L34" s="273">
        <f t="shared" si="3"/>
        <v>0</v>
      </c>
    </row>
    <row r="35" spans="3:16" x14ac:dyDescent="0.2">
      <c r="C35" s="8" t="s">
        <v>115</v>
      </c>
      <c r="D35" s="80" t="s">
        <v>353</v>
      </c>
      <c r="E35" s="80" t="s">
        <v>134</v>
      </c>
      <c r="G35" s="67">
        <v>19.11</v>
      </c>
      <c r="H35" s="67">
        <v>18.279320362470102</v>
      </c>
      <c r="I35" s="67"/>
      <c r="K35" s="273">
        <f t="shared" si="2"/>
        <v>18.279320362470102</v>
      </c>
      <c r="L35" s="273">
        <f t="shared" si="3"/>
        <v>0</v>
      </c>
    </row>
    <row r="36" spans="3:16" x14ac:dyDescent="0.2">
      <c r="C36" s="8" t="s">
        <v>109</v>
      </c>
      <c r="D36" s="80" t="s">
        <v>354</v>
      </c>
      <c r="E36" s="80" t="s">
        <v>134</v>
      </c>
      <c r="G36" s="67">
        <v>24.2</v>
      </c>
      <c r="H36" s="67">
        <v>24.1</v>
      </c>
      <c r="I36" s="67"/>
      <c r="K36" s="273">
        <f t="shared" si="2"/>
        <v>24.1</v>
      </c>
      <c r="L36" s="273">
        <f t="shared" si="3"/>
        <v>0</v>
      </c>
    </row>
    <row r="37" spans="3:16" x14ac:dyDescent="0.2">
      <c r="C37" s="8" t="s">
        <v>111</v>
      </c>
      <c r="D37" s="80" t="s">
        <v>355</v>
      </c>
      <c r="E37" s="80" t="s">
        <v>134</v>
      </c>
      <c r="G37" s="67">
        <v>87.7</v>
      </c>
      <c r="H37" s="67">
        <v>86.884250225089886</v>
      </c>
      <c r="I37" s="67"/>
      <c r="K37" s="273">
        <f t="shared" si="2"/>
        <v>86.884250225089886</v>
      </c>
      <c r="L37" s="273">
        <f t="shared" si="3"/>
        <v>0</v>
      </c>
    </row>
    <row r="38" spans="3:16" x14ac:dyDescent="0.2">
      <c r="C38" s="8" t="s">
        <v>93</v>
      </c>
      <c r="D38" s="80" t="s">
        <v>356</v>
      </c>
      <c r="E38" s="80" t="s">
        <v>134</v>
      </c>
      <c r="G38" s="67">
        <v>88.7</v>
      </c>
      <c r="H38" s="67">
        <v>101.8</v>
      </c>
      <c r="I38" s="67"/>
      <c r="K38" s="273">
        <f t="shared" si="2"/>
        <v>101.8</v>
      </c>
      <c r="L38" s="273">
        <f t="shared" si="3"/>
        <v>0</v>
      </c>
    </row>
    <row r="39" spans="3:16" x14ac:dyDescent="0.2">
      <c r="C39" s="8" t="s">
        <v>113</v>
      </c>
      <c r="D39" s="80" t="s">
        <v>357</v>
      </c>
      <c r="E39" s="80" t="s">
        <v>134</v>
      </c>
      <c r="G39" s="67">
        <v>86.8</v>
      </c>
      <c r="H39" s="67">
        <v>83.7</v>
      </c>
      <c r="I39" s="67"/>
      <c r="K39" s="273">
        <f t="shared" si="2"/>
        <v>83.7</v>
      </c>
      <c r="L39" s="273">
        <f t="shared" si="3"/>
        <v>0</v>
      </c>
      <c r="N39" s="66"/>
      <c r="O39" s="66"/>
    </row>
    <row r="40" spans="3:16" x14ac:dyDescent="0.2">
      <c r="C40" s="8" t="s">
        <v>117</v>
      </c>
      <c r="D40" s="80" t="s">
        <v>358</v>
      </c>
      <c r="E40" s="80" t="s">
        <v>134</v>
      </c>
      <c r="G40" s="67">
        <v>83</v>
      </c>
      <c r="H40" s="67">
        <v>84</v>
      </c>
      <c r="I40" s="67"/>
      <c r="K40" s="273">
        <f t="shared" si="2"/>
        <v>84</v>
      </c>
      <c r="L40" s="273">
        <f t="shared" si="3"/>
        <v>0</v>
      </c>
      <c r="N40" s="52"/>
      <c r="O40" s="52"/>
      <c r="P40" s="52"/>
    </row>
    <row r="41" spans="3:16" x14ac:dyDescent="0.2">
      <c r="C41" s="8" t="s">
        <v>95</v>
      </c>
      <c r="D41" s="80" t="s">
        <v>359</v>
      </c>
      <c r="E41" s="80" t="s">
        <v>360</v>
      </c>
      <c r="G41" s="67">
        <v>695</v>
      </c>
      <c r="H41" s="67">
        <v>690</v>
      </c>
      <c r="I41" s="67"/>
      <c r="K41" s="273">
        <f t="shared" si="2"/>
        <v>690</v>
      </c>
      <c r="L41" s="273">
        <f t="shared" si="3"/>
        <v>0</v>
      </c>
    </row>
    <row r="42" spans="3:16" x14ac:dyDescent="0.2">
      <c r="C42" s="8" t="s">
        <v>97</v>
      </c>
      <c r="D42" s="80" t="s">
        <v>361</v>
      </c>
      <c r="E42" s="80" t="s">
        <v>362</v>
      </c>
      <c r="G42" s="67">
        <v>453.54999999999995</v>
      </c>
      <c r="H42" s="67">
        <v>455.95</v>
      </c>
      <c r="I42" s="67"/>
      <c r="K42" s="273">
        <f t="shared" si="2"/>
        <v>455.95</v>
      </c>
      <c r="L42" s="273">
        <f t="shared" si="3"/>
        <v>0</v>
      </c>
      <c r="N42" s="66"/>
      <c r="O42" s="66"/>
      <c r="P42" s="66"/>
    </row>
    <row r="43" spans="3:16" x14ac:dyDescent="0.2">
      <c r="C43" s="8" t="s">
        <v>81</v>
      </c>
      <c r="D43" s="80" t="s">
        <v>363</v>
      </c>
      <c r="E43" s="80" t="s">
        <v>134</v>
      </c>
      <c r="G43" s="67">
        <v>173</v>
      </c>
      <c r="H43" s="67">
        <v>170</v>
      </c>
      <c r="I43" s="67"/>
      <c r="K43" s="273">
        <f t="shared" si="2"/>
        <v>170</v>
      </c>
      <c r="L43" s="273">
        <f t="shared" si="3"/>
        <v>0</v>
      </c>
    </row>
    <row r="44" spans="3:16" x14ac:dyDescent="0.2">
      <c r="C44" s="8" t="s">
        <v>99</v>
      </c>
      <c r="D44" s="80" t="s">
        <v>364</v>
      </c>
      <c r="E44" s="80" t="s">
        <v>134</v>
      </c>
      <c r="G44" s="67">
        <v>67.7</v>
      </c>
      <c r="H44" s="67">
        <v>66.400000000000006</v>
      </c>
      <c r="I44" s="67"/>
      <c r="K44" s="273">
        <f t="shared" si="2"/>
        <v>66.400000000000006</v>
      </c>
      <c r="L44" s="273">
        <f t="shared" si="3"/>
        <v>0</v>
      </c>
    </row>
    <row r="45" spans="3:16" x14ac:dyDescent="0.2">
      <c r="C45" s="8" t="s">
        <v>101</v>
      </c>
      <c r="D45" s="80" t="s">
        <v>365</v>
      </c>
      <c r="E45" s="80" t="s">
        <v>134</v>
      </c>
      <c r="G45" s="67">
        <v>300.27999999999997</v>
      </c>
      <c r="H45" s="67">
        <v>289.8</v>
      </c>
      <c r="I45" s="67"/>
      <c r="K45" s="273">
        <f t="shared" si="2"/>
        <v>289.8</v>
      </c>
      <c r="L45" s="273">
        <f t="shared" si="3"/>
        <v>0</v>
      </c>
    </row>
    <row r="46" spans="3:16" x14ac:dyDescent="0.2">
      <c r="C46" s="8" t="s">
        <v>84</v>
      </c>
      <c r="D46" s="80" t="s">
        <v>366</v>
      </c>
      <c r="E46" s="80" t="s">
        <v>134</v>
      </c>
      <c r="G46" s="94" t="s">
        <v>322</v>
      </c>
      <c r="H46" s="67">
        <v>15.271547781797601</v>
      </c>
      <c r="I46" s="67"/>
      <c r="K46" s="273">
        <f t="shared" si="2"/>
        <v>15.271547781797601</v>
      </c>
      <c r="L46" s="273">
        <f t="shared" si="3"/>
        <v>0</v>
      </c>
    </row>
    <row r="47" spans="3:16" x14ac:dyDescent="0.2">
      <c r="C47" s="8" t="s">
        <v>88</v>
      </c>
      <c r="D47" s="80" t="s">
        <v>367</v>
      </c>
      <c r="E47" s="80" t="s">
        <v>134</v>
      </c>
      <c r="G47" s="94" t="s">
        <v>322</v>
      </c>
      <c r="H47" s="67">
        <v>424.36652485424281</v>
      </c>
      <c r="I47" s="67"/>
      <c r="K47" s="273">
        <f t="shared" si="2"/>
        <v>424.36652485424281</v>
      </c>
      <c r="L47" s="273">
        <f t="shared" si="3"/>
        <v>0</v>
      </c>
    </row>
    <row r="48" spans="3:16" x14ac:dyDescent="0.2">
      <c r="K48" s="104"/>
      <c r="L48" s="104"/>
    </row>
    <row r="49" spans="2:13" ht="13.5" x14ac:dyDescent="0.25">
      <c r="B49" s="9" t="s">
        <v>261</v>
      </c>
      <c r="C49" s="9"/>
      <c r="D49" s="10"/>
      <c r="E49" s="10"/>
      <c r="F49" s="9"/>
      <c r="G49" s="9"/>
      <c r="H49" s="9"/>
      <c r="I49" s="9"/>
      <c r="J49" s="9"/>
      <c r="K49" s="105"/>
      <c r="L49" s="105"/>
      <c r="M49" s="9"/>
    </row>
    <row r="50" spans="2:13" x14ac:dyDescent="0.2">
      <c r="K50" s="104"/>
      <c r="L50" s="104"/>
    </row>
    <row r="51" spans="2:13" ht="13.5" x14ac:dyDescent="0.25">
      <c r="B51" s="35" t="s">
        <v>369</v>
      </c>
      <c r="C51" s="35"/>
      <c r="D51" s="35"/>
      <c r="E51" s="35"/>
      <c r="F51" s="35"/>
      <c r="G51" s="35"/>
      <c r="H51" s="35"/>
      <c r="I51" s="35"/>
      <c r="J51" s="35"/>
      <c r="K51" s="343" t="s">
        <v>370</v>
      </c>
      <c r="L51" s="343"/>
      <c r="M51" s="35"/>
    </row>
    <row r="52" spans="2:13" x14ac:dyDescent="0.2">
      <c r="K52" s="104"/>
      <c r="L52" s="104"/>
    </row>
    <row r="53" spans="2:13" x14ac:dyDescent="0.2">
      <c r="C53" s="8" t="s">
        <v>79</v>
      </c>
      <c r="D53" s="80" t="s">
        <v>371</v>
      </c>
      <c r="E53" s="80" t="s">
        <v>372</v>
      </c>
      <c r="G53" s="67">
        <v>12</v>
      </c>
      <c r="H53" s="67">
        <v>12</v>
      </c>
      <c r="I53" s="67"/>
      <c r="J53" s="66"/>
      <c r="K53" s="273">
        <f>H53</f>
        <v>12</v>
      </c>
      <c r="L53" s="273">
        <f>I53</f>
        <v>0</v>
      </c>
      <c r="M53" s="66"/>
    </row>
    <row r="54" spans="2:13" x14ac:dyDescent="0.2">
      <c r="C54" s="8" t="s">
        <v>105</v>
      </c>
      <c r="D54" s="80" t="s">
        <v>373</v>
      </c>
      <c r="E54" s="80" t="s">
        <v>372</v>
      </c>
      <c r="G54" s="67">
        <v>12.8</v>
      </c>
      <c r="H54" s="67">
        <v>12.5</v>
      </c>
      <c r="I54" s="67"/>
      <c r="J54" s="66"/>
      <c r="K54" s="273">
        <f>H54</f>
        <v>12.5</v>
      </c>
      <c r="L54" s="273">
        <f>I54</f>
        <v>0</v>
      </c>
      <c r="M54" s="66"/>
    </row>
    <row r="55" spans="2:13" x14ac:dyDescent="0.2">
      <c r="C55" s="8" t="s">
        <v>86</v>
      </c>
      <c r="D55" s="80" t="s">
        <v>374</v>
      </c>
      <c r="E55" s="80" t="s">
        <v>375</v>
      </c>
      <c r="G55" s="71">
        <v>0.24722222222222223</v>
      </c>
      <c r="H55" s="71">
        <v>0.22847222222222222</v>
      </c>
      <c r="I55" s="71"/>
      <c r="K55" s="273">
        <f>H55*24</f>
        <v>5.4833333333333334</v>
      </c>
      <c r="L55" s="273">
        <f>I55*24</f>
        <v>0</v>
      </c>
    </row>
    <row r="56" spans="2:13" x14ac:dyDescent="0.2">
      <c r="C56" s="8" t="s">
        <v>107</v>
      </c>
      <c r="D56" s="80" t="s">
        <v>376</v>
      </c>
      <c r="E56" s="80" t="s">
        <v>375</v>
      </c>
      <c r="G56" s="71">
        <v>0.20833333333333334</v>
      </c>
      <c r="H56" s="71">
        <v>0.20833333333333334</v>
      </c>
      <c r="I56" s="71"/>
      <c r="K56" s="273">
        <f>H56*24</f>
        <v>5</v>
      </c>
      <c r="L56" s="273">
        <f>I56*24</f>
        <v>0</v>
      </c>
    </row>
    <row r="57" spans="2:13" x14ac:dyDescent="0.2">
      <c r="C57" s="8" t="s">
        <v>115</v>
      </c>
      <c r="D57" s="80" t="s">
        <v>377</v>
      </c>
      <c r="E57" s="80" t="s">
        <v>372</v>
      </c>
      <c r="G57" s="67">
        <v>4.4000000000000004</v>
      </c>
      <c r="H57" s="67">
        <v>4.4000000000000004</v>
      </c>
      <c r="I57" s="67"/>
      <c r="J57" s="66"/>
      <c r="K57" s="273">
        <f>H57</f>
        <v>4.4000000000000004</v>
      </c>
      <c r="L57" s="273">
        <f>I57</f>
        <v>0</v>
      </c>
      <c r="M57" s="66"/>
    </row>
    <row r="58" spans="2:13" x14ac:dyDescent="0.2">
      <c r="C58" s="8" t="s">
        <v>109</v>
      </c>
      <c r="D58" s="80" t="s">
        <v>378</v>
      </c>
      <c r="E58" s="80" t="s">
        <v>379</v>
      </c>
      <c r="G58" s="67">
        <v>0.2</v>
      </c>
      <c r="H58" s="67">
        <v>0.2</v>
      </c>
      <c r="I58" s="67"/>
      <c r="J58" s="66"/>
      <c r="K58" s="273">
        <f>H58*60</f>
        <v>12</v>
      </c>
      <c r="L58" s="273">
        <f>I58*60</f>
        <v>0</v>
      </c>
      <c r="M58" s="66"/>
    </row>
    <row r="59" spans="2:13" x14ac:dyDescent="0.2">
      <c r="C59" s="8" t="s">
        <v>111</v>
      </c>
      <c r="D59" s="80" t="s">
        <v>380</v>
      </c>
      <c r="E59" s="80" t="s">
        <v>372</v>
      </c>
      <c r="G59" s="67">
        <v>12</v>
      </c>
      <c r="H59" s="67">
        <v>12</v>
      </c>
      <c r="I59" s="67"/>
      <c r="J59" s="66"/>
      <c r="K59" s="273">
        <f t="shared" ref="K59:L61" si="4">H59</f>
        <v>12</v>
      </c>
      <c r="L59" s="273">
        <f t="shared" si="4"/>
        <v>0</v>
      </c>
      <c r="M59" s="66"/>
    </row>
    <row r="60" spans="2:13" x14ac:dyDescent="0.2">
      <c r="C60" s="8" t="s">
        <v>93</v>
      </c>
      <c r="D60" s="80" t="s">
        <v>381</v>
      </c>
      <c r="E60" s="80" t="s">
        <v>372</v>
      </c>
      <c r="G60" s="67">
        <v>9</v>
      </c>
      <c r="H60" s="67">
        <v>9</v>
      </c>
      <c r="I60" s="67"/>
      <c r="J60" s="66"/>
      <c r="K60" s="273">
        <f t="shared" si="4"/>
        <v>9</v>
      </c>
      <c r="L60" s="273">
        <f t="shared" si="4"/>
        <v>0</v>
      </c>
      <c r="M60" s="66"/>
    </row>
    <row r="61" spans="2:13" x14ac:dyDescent="0.2">
      <c r="C61" s="8" t="s">
        <v>113</v>
      </c>
      <c r="D61" s="80" t="s">
        <v>382</v>
      </c>
      <c r="E61" s="80" t="s">
        <v>372</v>
      </c>
      <c r="G61" s="67">
        <v>10</v>
      </c>
      <c r="H61" s="67">
        <v>10</v>
      </c>
      <c r="I61" s="67"/>
      <c r="J61" s="66"/>
      <c r="K61" s="273">
        <f t="shared" si="4"/>
        <v>10</v>
      </c>
      <c r="L61" s="273">
        <f t="shared" si="4"/>
        <v>0</v>
      </c>
      <c r="M61" s="66"/>
    </row>
    <row r="62" spans="2:13" x14ac:dyDescent="0.2">
      <c r="C62" s="8" t="s">
        <v>117</v>
      </c>
      <c r="D62" s="80" t="s">
        <v>383</v>
      </c>
      <c r="E62" s="80" t="s">
        <v>379</v>
      </c>
      <c r="G62" s="67">
        <v>0.22800000000000001</v>
      </c>
      <c r="H62" s="67">
        <v>0.214</v>
      </c>
      <c r="I62" s="67"/>
      <c r="J62" s="66"/>
      <c r="K62" s="273">
        <f>H62*60</f>
        <v>12.84</v>
      </c>
      <c r="L62" s="273">
        <f>I62*60</f>
        <v>0</v>
      </c>
      <c r="M62" s="66"/>
    </row>
    <row r="63" spans="2:13" x14ac:dyDescent="0.2">
      <c r="C63" s="8" t="s">
        <v>95</v>
      </c>
      <c r="D63" s="80" t="s">
        <v>384</v>
      </c>
      <c r="E63" s="80" t="s">
        <v>385</v>
      </c>
      <c r="G63" s="67">
        <v>0.13</v>
      </c>
      <c r="H63" s="67">
        <v>0.13</v>
      </c>
      <c r="I63" s="67"/>
      <c r="J63" s="66"/>
      <c r="K63" s="273">
        <f>H63*60</f>
        <v>7.8000000000000007</v>
      </c>
      <c r="L63" s="273">
        <f>I63*60</f>
        <v>0</v>
      </c>
      <c r="M63" s="66"/>
    </row>
    <row r="64" spans="2:13" x14ac:dyDescent="0.2">
      <c r="C64" s="8" t="s">
        <v>97</v>
      </c>
      <c r="D64" s="80" t="s">
        <v>386</v>
      </c>
      <c r="E64" s="80" t="s">
        <v>387</v>
      </c>
      <c r="G64" s="71">
        <v>0.5</v>
      </c>
      <c r="H64" s="71">
        <v>0.5</v>
      </c>
      <c r="I64" s="71"/>
      <c r="K64" s="273">
        <f>H64*24</f>
        <v>12</v>
      </c>
      <c r="L64" s="273">
        <f>I64*24</f>
        <v>0</v>
      </c>
    </row>
    <row r="65" spans="2:13" x14ac:dyDescent="0.2">
      <c r="C65" s="8" t="s">
        <v>81</v>
      </c>
      <c r="D65" s="80" t="s">
        <v>388</v>
      </c>
      <c r="E65" s="80" t="s">
        <v>389</v>
      </c>
      <c r="G65" s="67">
        <v>12</v>
      </c>
      <c r="H65" s="67">
        <v>12</v>
      </c>
      <c r="I65" s="67"/>
      <c r="J65" s="66"/>
      <c r="K65" s="273">
        <f t="shared" ref="K65:L67" si="5">H65</f>
        <v>12</v>
      </c>
      <c r="L65" s="273">
        <f t="shared" si="5"/>
        <v>0</v>
      </c>
      <c r="M65" s="66"/>
    </row>
    <row r="66" spans="2:13" x14ac:dyDescent="0.2">
      <c r="C66" s="8" t="s">
        <v>99</v>
      </c>
      <c r="D66" s="80" t="s">
        <v>390</v>
      </c>
      <c r="E66" s="80" t="s">
        <v>372</v>
      </c>
      <c r="G66" s="67">
        <v>12</v>
      </c>
      <c r="H66" s="67">
        <v>12</v>
      </c>
      <c r="I66" s="67"/>
      <c r="J66" s="66"/>
      <c r="K66" s="273">
        <f t="shared" si="5"/>
        <v>12</v>
      </c>
      <c r="L66" s="273">
        <f t="shared" si="5"/>
        <v>0</v>
      </c>
      <c r="M66" s="66"/>
    </row>
    <row r="67" spans="2:13" x14ac:dyDescent="0.2">
      <c r="C67" s="8" t="s">
        <v>101</v>
      </c>
      <c r="D67" s="80" t="s">
        <v>391</v>
      </c>
      <c r="E67" s="80" t="s">
        <v>392</v>
      </c>
      <c r="G67" s="74">
        <v>12</v>
      </c>
      <c r="H67" s="74">
        <v>12</v>
      </c>
      <c r="I67" s="74"/>
      <c r="K67" s="273">
        <f t="shared" si="5"/>
        <v>12</v>
      </c>
      <c r="L67" s="273">
        <f t="shared" si="5"/>
        <v>0</v>
      </c>
    </row>
    <row r="68" spans="2:13" x14ac:dyDescent="0.2">
      <c r="C68" s="8" t="s">
        <v>84</v>
      </c>
      <c r="D68" s="80" t="s">
        <v>393</v>
      </c>
      <c r="E68" s="80" t="s">
        <v>379</v>
      </c>
      <c r="G68" s="94" t="s">
        <v>322</v>
      </c>
      <c r="H68" s="67">
        <v>0.2</v>
      </c>
      <c r="I68" s="67"/>
      <c r="J68" s="66"/>
      <c r="K68" s="273">
        <f>H68*60</f>
        <v>12</v>
      </c>
      <c r="L68" s="273">
        <f>I68*60</f>
        <v>0</v>
      </c>
      <c r="M68" s="66"/>
    </row>
    <row r="69" spans="2:13" x14ac:dyDescent="0.2">
      <c r="C69" s="8" t="s">
        <v>84</v>
      </c>
      <c r="D69" s="80" t="s">
        <v>394</v>
      </c>
      <c r="E69" s="80" t="s">
        <v>372</v>
      </c>
      <c r="G69" s="94" t="s">
        <v>322</v>
      </c>
      <c r="H69" s="67">
        <v>7.1</v>
      </c>
      <c r="I69" s="67"/>
      <c r="J69" s="66"/>
      <c r="K69" s="273">
        <f>H69</f>
        <v>7.1</v>
      </c>
      <c r="L69" s="273">
        <f>I69</f>
        <v>0</v>
      </c>
      <c r="M69" s="66"/>
    </row>
    <row r="70" spans="2:13" x14ac:dyDescent="0.2">
      <c r="C70" s="8" t="s">
        <v>88</v>
      </c>
      <c r="D70" s="80" t="s">
        <v>394</v>
      </c>
      <c r="E70" s="80" t="s">
        <v>372</v>
      </c>
      <c r="G70" s="94" t="s">
        <v>322</v>
      </c>
      <c r="H70" s="67">
        <v>9.4</v>
      </c>
      <c r="I70" s="67"/>
      <c r="J70" s="66"/>
      <c r="K70" s="273">
        <f>H70</f>
        <v>9.4</v>
      </c>
      <c r="L70" s="273">
        <f>I70</f>
        <v>0</v>
      </c>
      <c r="M70" s="66"/>
    </row>
    <row r="71" spans="2:13" x14ac:dyDescent="0.2">
      <c r="C71" s="8" t="s">
        <v>88</v>
      </c>
      <c r="D71" s="80" t="s">
        <v>393</v>
      </c>
      <c r="E71" s="80" t="s">
        <v>379</v>
      </c>
      <c r="G71" s="94" t="s">
        <v>322</v>
      </c>
      <c r="H71" s="67">
        <v>0.2</v>
      </c>
      <c r="I71" s="67"/>
      <c r="J71" s="66"/>
      <c r="K71" s="273">
        <f>H71*60</f>
        <v>12</v>
      </c>
      <c r="L71" s="273">
        <f>I71*60</f>
        <v>0</v>
      </c>
      <c r="M71" s="66"/>
    </row>
    <row r="72" spans="2:13" x14ac:dyDescent="0.2">
      <c r="K72" s="104"/>
      <c r="L72" s="104"/>
    </row>
    <row r="73" spans="2:13" ht="13.5" x14ac:dyDescent="0.25">
      <c r="B73" s="35" t="s">
        <v>395</v>
      </c>
      <c r="C73" s="35"/>
      <c r="D73" s="35"/>
      <c r="E73" s="35"/>
      <c r="F73" s="35"/>
      <c r="G73" s="35"/>
      <c r="H73" s="35"/>
      <c r="I73" s="35"/>
      <c r="J73" s="35"/>
      <c r="K73" s="343" t="s">
        <v>370</v>
      </c>
      <c r="L73" s="343"/>
      <c r="M73" s="35"/>
    </row>
    <row r="74" spans="2:13" x14ac:dyDescent="0.2">
      <c r="K74" s="104"/>
      <c r="L74" s="104"/>
    </row>
    <row r="75" spans="2:13" x14ac:dyDescent="0.2">
      <c r="C75" s="8" t="s">
        <v>79</v>
      </c>
      <c r="D75" s="80" t="s">
        <v>371</v>
      </c>
      <c r="E75" s="80" t="s">
        <v>372</v>
      </c>
      <c r="G75" s="67">
        <v>7.4</v>
      </c>
      <c r="H75" s="67">
        <v>8.73</v>
      </c>
      <c r="I75" s="67"/>
      <c r="J75" s="66"/>
      <c r="K75" s="273">
        <f>H75</f>
        <v>8.73</v>
      </c>
      <c r="L75" s="273">
        <f>I75</f>
        <v>0</v>
      </c>
      <c r="M75" s="66"/>
    </row>
    <row r="76" spans="2:13" x14ac:dyDescent="0.2">
      <c r="C76" s="8" t="s">
        <v>105</v>
      </c>
      <c r="D76" s="80" t="s">
        <v>373</v>
      </c>
      <c r="E76" s="80" t="s">
        <v>372</v>
      </c>
      <c r="G76" s="67">
        <v>73.7</v>
      </c>
      <c r="H76" s="67">
        <v>14.67</v>
      </c>
      <c r="I76" s="67"/>
      <c r="J76" s="66"/>
      <c r="K76" s="273">
        <f>H76</f>
        <v>14.67</v>
      </c>
      <c r="L76" s="273">
        <f>I76</f>
        <v>0</v>
      </c>
      <c r="M76" s="66"/>
    </row>
    <row r="77" spans="2:13" x14ac:dyDescent="0.2">
      <c r="C77" s="8" t="s">
        <v>86</v>
      </c>
      <c r="D77" s="80" t="s">
        <v>374</v>
      </c>
      <c r="E77" s="80" t="s">
        <v>375</v>
      </c>
      <c r="G77" s="71">
        <v>0.22430555555555556</v>
      </c>
      <c r="H77" s="71">
        <v>0.3833333333333333</v>
      </c>
      <c r="I77" s="71"/>
      <c r="K77" s="273">
        <f>H77*24</f>
        <v>9.1999999999999993</v>
      </c>
      <c r="L77" s="273">
        <f>I77*24</f>
        <v>0</v>
      </c>
    </row>
    <row r="78" spans="2:13" x14ac:dyDescent="0.2">
      <c r="C78" s="8" t="s">
        <v>107</v>
      </c>
      <c r="D78" s="80" t="s">
        <v>376</v>
      </c>
      <c r="E78" s="80" t="s">
        <v>375</v>
      </c>
      <c r="G78" s="71">
        <v>0.17847222222222223</v>
      </c>
      <c r="H78" s="71">
        <v>0.16250000000000001</v>
      </c>
      <c r="I78" s="71"/>
      <c r="K78" s="273">
        <f>H78*24</f>
        <v>3.9000000000000004</v>
      </c>
      <c r="L78" s="273">
        <f>I78*24</f>
        <v>0</v>
      </c>
    </row>
    <row r="79" spans="2:13" x14ac:dyDescent="0.2">
      <c r="C79" s="8" t="s">
        <v>115</v>
      </c>
      <c r="D79" s="80" t="s">
        <v>377</v>
      </c>
      <c r="E79" s="80" t="s">
        <v>372</v>
      </c>
      <c r="G79" s="67">
        <v>0.7</v>
      </c>
      <c r="H79" s="67">
        <v>0.66</v>
      </c>
      <c r="I79" s="67"/>
      <c r="J79" s="66"/>
      <c r="K79" s="273">
        <f>H79</f>
        <v>0.66</v>
      </c>
      <c r="L79" s="273">
        <f>I79</f>
        <v>0</v>
      </c>
      <c r="M79" s="66"/>
    </row>
    <row r="80" spans="2:13" x14ac:dyDescent="0.2">
      <c r="C80" s="8" t="s">
        <v>109</v>
      </c>
      <c r="D80" s="80" t="s">
        <v>378</v>
      </c>
      <c r="E80" s="80" t="s">
        <v>379</v>
      </c>
      <c r="G80" s="67">
        <v>0.05</v>
      </c>
      <c r="H80" s="67">
        <v>0.27</v>
      </c>
      <c r="I80" s="67"/>
      <c r="J80" s="66"/>
      <c r="K80" s="273">
        <f>H80*60</f>
        <v>16.200000000000003</v>
      </c>
      <c r="L80" s="273">
        <f>I80*60</f>
        <v>0</v>
      </c>
      <c r="M80" s="66"/>
    </row>
    <row r="81" spans="2:13" x14ac:dyDescent="0.2">
      <c r="C81" s="8" t="s">
        <v>111</v>
      </c>
      <c r="D81" s="80" t="s">
        <v>380</v>
      </c>
      <c r="E81" s="80" t="s">
        <v>372</v>
      </c>
      <c r="G81" s="67">
        <v>44.6</v>
      </c>
      <c r="H81" s="67">
        <v>14.2</v>
      </c>
      <c r="I81" s="67"/>
      <c r="J81" s="66"/>
      <c r="K81" s="273">
        <f t="shared" ref="K81:L83" si="6">H81</f>
        <v>14.2</v>
      </c>
      <c r="L81" s="273">
        <f t="shared" si="6"/>
        <v>0</v>
      </c>
      <c r="M81" s="66"/>
    </row>
    <row r="82" spans="2:13" x14ac:dyDescent="0.2">
      <c r="C82" s="8" t="s">
        <v>93</v>
      </c>
      <c r="D82" s="80" t="s">
        <v>381</v>
      </c>
      <c r="E82" s="80" t="s">
        <v>372</v>
      </c>
      <c r="G82" s="67">
        <v>16.77</v>
      </c>
      <c r="H82" s="67">
        <v>7.38</v>
      </c>
      <c r="I82" s="67"/>
      <c r="J82" s="66"/>
      <c r="K82" s="273">
        <f t="shared" si="6"/>
        <v>7.38</v>
      </c>
      <c r="L82" s="273">
        <f t="shared" si="6"/>
        <v>0</v>
      </c>
      <c r="M82" s="66"/>
    </row>
    <row r="83" spans="2:13" x14ac:dyDescent="0.2">
      <c r="C83" s="8" t="s">
        <v>113</v>
      </c>
      <c r="D83" s="80" t="s">
        <v>382</v>
      </c>
      <c r="E83" s="80" t="s">
        <v>372</v>
      </c>
      <c r="G83" s="67">
        <v>8.5319000000000003</v>
      </c>
      <c r="H83" s="67">
        <v>7.15</v>
      </c>
      <c r="I83" s="67"/>
      <c r="J83" s="66"/>
      <c r="K83" s="273">
        <f t="shared" si="6"/>
        <v>7.15</v>
      </c>
      <c r="L83" s="273">
        <f t="shared" si="6"/>
        <v>0</v>
      </c>
      <c r="M83" s="66"/>
    </row>
    <row r="84" spans="2:13" x14ac:dyDescent="0.2">
      <c r="C84" s="8" t="s">
        <v>117</v>
      </c>
      <c r="D84" s="80" t="s">
        <v>383</v>
      </c>
      <c r="E84" s="80" t="s">
        <v>379</v>
      </c>
      <c r="G84" s="67">
        <v>0.54400000000000004</v>
      </c>
      <c r="H84" s="67">
        <v>0.161</v>
      </c>
      <c r="I84" s="67"/>
      <c r="J84" s="66"/>
      <c r="K84" s="273">
        <f>H84*60</f>
        <v>9.66</v>
      </c>
      <c r="L84" s="273">
        <f>I84*60</f>
        <v>0</v>
      </c>
      <c r="M84" s="66"/>
    </row>
    <row r="85" spans="2:13" x14ac:dyDescent="0.2">
      <c r="C85" s="8" t="s">
        <v>95</v>
      </c>
      <c r="D85" s="80" t="s">
        <v>384</v>
      </c>
      <c r="E85" s="80" t="s">
        <v>385</v>
      </c>
      <c r="G85" s="67">
        <v>0.21</v>
      </c>
      <c r="H85" s="67">
        <v>0.26</v>
      </c>
      <c r="I85" s="67"/>
      <c r="J85" s="66"/>
      <c r="K85" s="273">
        <f>H85*60</f>
        <v>15.600000000000001</v>
      </c>
      <c r="L85" s="273">
        <f>I85*60</f>
        <v>0</v>
      </c>
      <c r="M85" s="66"/>
    </row>
    <row r="86" spans="2:13" x14ac:dyDescent="0.2">
      <c r="C86" s="8" t="s">
        <v>97</v>
      </c>
      <c r="D86" s="80" t="s">
        <v>386</v>
      </c>
      <c r="E86" s="80" t="s">
        <v>387</v>
      </c>
      <c r="G86" s="71">
        <v>0.54791666666666672</v>
      </c>
      <c r="H86" s="71">
        <v>0.38194444444444442</v>
      </c>
      <c r="I86" s="71"/>
      <c r="K86" s="273">
        <f>H86*24</f>
        <v>9.1666666666666661</v>
      </c>
      <c r="L86" s="273">
        <f>I86*24</f>
        <v>0</v>
      </c>
    </row>
    <row r="87" spans="2:13" x14ac:dyDescent="0.2">
      <c r="C87" s="8" t="s">
        <v>81</v>
      </c>
      <c r="D87" s="80" t="s">
        <v>388</v>
      </c>
      <c r="E87" s="80" t="s">
        <v>389</v>
      </c>
      <c r="G87" s="67">
        <v>43.3</v>
      </c>
      <c r="H87" s="67">
        <v>16</v>
      </c>
      <c r="I87" s="67"/>
      <c r="J87" s="66"/>
      <c r="K87" s="273">
        <f t="shared" ref="K87:L89" si="7">H87</f>
        <v>16</v>
      </c>
      <c r="L87" s="273">
        <f t="shared" si="7"/>
        <v>0</v>
      </c>
      <c r="M87" s="66"/>
    </row>
    <row r="88" spans="2:13" x14ac:dyDescent="0.2">
      <c r="C88" s="8" t="s">
        <v>99</v>
      </c>
      <c r="D88" s="80" t="s">
        <v>390</v>
      </c>
      <c r="E88" s="80" t="s">
        <v>372</v>
      </c>
      <c r="G88" s="67">
        <v>12.3</v>
      </c>
      <c r="H88" s="67">
        <v>5.85</v>
      </c>
      <c r="I88" s="67"/>
      <c r="J88" s="66"/>
      <c r="K88" s="273">
        <f t="shared" si="7"/>
        <v>5.85</v>
      </c>
      <c r="L88" s="273">
        <f t="shared" si="7"/>
        <v>0</v>
      </c>
      <c r="M88" s="66"/>
    </row>
    <row r="89" spans="2:13" x14ac:dyDescent="0.2">
      <c r="C89" s="8" t="s">
        <v>101</v>
      </c>
      <c r="D89" s="80" t="s">
        <v>391</v>
      </c>
      <c r="E89" s="80" t="s">
        <v>392</v>
      </c>
      <c r="G89" s="74">
        <v>6.96</v>
      </c>
      <c r="H89" s="74">
        <v>10.46</v>
      </c>
      <c r="I89" s="74"/>
      <c r="K89" s="273">
        <f t="shared" si="7"/>
        <v>10.46</v>
      </c>
      <c r="L89" s="273">
        <f t="shared" si="7"/>
        <v>0</v>
      </c>
    </row>
    <row r="90" spans="2:13" x14ac:dyDescent="0.2">
      <c r="C90" s="8" t="s">
        <v>84</v>
      </c>
      <c r="D90" s="80" t="s">
        <v>393</v>
      </c>
      <c r="E90" s="80" t="s">
        <v>379</v>
      </c>
      <c r="G90" s="94" t="s">
        <v>322</v>
      </c>
      <c r="H90" s="67">
        <v>0.12</v>
      </c>
      <c r="I90" s="67"/>
      <c r="J90" s="66"/>
      <c r="K90" s="273">
        <f>H90*60</f>
        <v>7.1999999999999993</v>
      </c>
      <c r="L90" s="273">
        <f>I90*60</f>
        <v>0</v>
      </c>
      <c r="M90" s="66"/>
    </row>
    <row r="91" spans="2:13" x14ac:dyDescent="0.2">
      <c r="C91" s="8" t="s">
        <v>84</v>
      </c>
      <c r="D91" s="80" t="s">
        <v>394</v>
      </c>
      <c r="E91" s="80" t="s">
        <v>372</v>
      </c>
      <c r="G91" s="94" t="s">
        <v>322</v>
      </c>
      <c r="H91" s="67">
        <v>93.744790337089739</v>
      </c>
      <c r="I91" s="67"/>
      <c r="J91" s="66"/>
      <c r="K91" s="273">
        <f>H91</f>
        <v>93.744790337089739</v>
      </c>
      <c r="L91" s="273">
        <f>I91</f>
        <v>0</v>
      </c>
      <c r="M91" s="66"/>
    </row>
    <row r="92" spans="2:13" x14ac:dyDescent="0.2">
      <c r="C92" s="8" t="s">
        <v>88</v>
      </c>
      <c r="D92" s="80" t="s">
        <v>394</v>
      </c>
      <c r="E92" s="80" t="s">
        <v>372</v>
      </c>
      <c r="G92" s="94" t="s">
        <v>322</v>
      </c>
      <c r="H92" s="67">
        <v>19.059999999999999</v>
      </c>
      <c r="I92" s="67"/>
      <c r="J92" s="66"/>
      <c r="K92" s="273">
        <f>H92</f>
        <v>19.059999999999999</v>
      </c>
      <c r="L92" s="273">
        <f>I92</f>
        <v>0</v>
      </c>
      <c r="M92" s="66"/>
    </row>
    <row r="93" spans="2:13" x14ac:dyDescent="0.2">
      <c r="C93" s="8" t="s">
        <v>88</v>
      </c>
      <c r="D93" s="80" t="s">
        <v>393</v>
      </c>
      <c r="E93" s="80" t="s">
        <v>379</v>
      </c>
      <c r="G93" s="94" t="s">
        <v>322</v>
      </c>
      <c r="H93" s="67">
        <v>0.03</v>
      </c>
      <c r="I93" s="67"/>
      <c r="J93" s="66"/>
      <c r="K93" s="273">
        <f>H93*60</f>
        <v>1.7999999999999998</v>
      </c>
      <c r="L93" s="273">
        <f>I93*60</f>
        <v>0</v>
      </c>
      <c r="M93" s="66"/>
    </row>
    <row r="94" spans="2:13" x14ac:dyDescent="0.2">
      <c r="K94" s="51"/>
      <c r="L94" s="51"/>
    </row>
    <row r="95" spans="2:13" ht="13.5" x14ac:dyDescent="0.25">
      <c r="B95" s="9" t="s">
        <v>162</v>
      </c>
      <c r="C95" s="9"/>
      <c r="D95" s="10"/>
      <c r="E95" s="10"/>
      <c r="F95" s="9"/>
      <c r="G95" s="9"/>
      <c r="H95" s="9"/>
      <c r="I95" s="9"/>
      <c r="J95" s="9"/>
      <c r="K95" s="60"/>
      <c r="L95" s="60"/>
      <c r="M95" s="9"/>
    </row>
    <row r="96" spans="2:13" x14ac:dyDescent="0.2">
      <c r="K96" s="51"/>
      <c r="L96" s="51"/>
    </row>
    <row r="97" spans="2:13" ht="13.5" x14ac:dyDescent="0.25">
      <c r="B97" s="35" t="s">
        <v>396</v>
      </c>
      <c r="C97" s="35"/>
      <c r="D97" s="35"/>
      <c r="E97" s="35"/>
      <c r="F97" s="35"/>
      <c r="G97" s="35"/>
      <c r="H97" s="35"/>
      <c r="I97" s="35"/>
      <c r="J97" s="35"/>
      <c r="K97" s="343" t="s">
        <v>397</v>
      </c>
      <c r="L97" s="343"/>
      <c r="M97" s="35"/>
    </row>
    <row r="98" spans="2:13" x14ac:dyDescent="0.2">
      <c r="K98" s="51"/>
      <c r="L98" s="51"/>
    </row>
    <row r="99" spans="2:13" x14ac:dyDescent="0.2">
      <c r="C99" s="8" t="s">
        <v>103</v>
      </c>
      <c r="D99" s="80" t="s">
        <v>398</v>
      </c>
      <c r="E99" s="80" t="s">
        <v>399</v>
      </c>
      <c r="G99" s="74">
        <v>0.66</v>
      </c>
      <c r="H99" s="74">
        <v>0.66</v>
      </c>
      <c r="I99" s="74"/>
      <c r="J99" s="75"/>
      <c r="K99" s="106">
        <v>0.66</v>
      </c>
      <c r="L99" s="107"/>
      <c r="M99" s="75"/>
    </row>
    <row r="100" spans="2:13" x14ac:dyDescent="0.2">
      <c r="C100" s="8" t="s">
        <v>79</v>
      </c>
      <c r="D100" s="80" t="s">
        <v>400</v>
      </c>
      <c r="E100" s="80" t="s">
        <v>399</v>
      </c>
      <c r="G100" s="74">
        <v>1.23</v>
      </c>
      <c r="H100" s="74">
        <v>1.23</v>
      </c>
      <c r="I100" s="74"/>
      <c r="J100" s="75"/>
      <c r="K100" s="106">
        <v>1.23</v>
      </c>
      <c r="L100" s="107"/>
      <c r="M100" s="75"/>
    </row>
    <row r="101" spans="2:13" x14ac:dyDescent="0.2">
      <c r="C101" s="8" t="s">
        <v>105</v>
      </c>
      <c r="D101" s="80" t="s">
        <v>401</v>
      </c>
      <c r="E101" s="80" t="s">
        <v>402</v>
      </c>
      <c r="G101" s="76">
        <v>2322</v>
      </c>
      <c r="H101" s="76">
        <v>2275</v>
      </c>
      <c r="I101" s="76"/>
      <c r="J101" s="77"/>
      <c r="K101" s="106">
        <v>1.9041066768442214</v>
      </c>
      <c r="L101" s="108"/>
      <c r="M101" s="77"/>
    </row>
    <row r="102" spans="2:13" x14ac:dyDescent="0.2">
      <c r="C102" s="8" t="s">
        <v>86</v>
      </c>
      <c r="D102" s="80" t="s">
        <v>403</v>
      </c>
      <c r="E102" s="80" t="s">
        <v>404</v>
      </c>
      <c r="G102" s="76">
        <v>987</v>
      </c>
      <c r="H102" s="76">
        <v>987</v>
      </c>
      <c r="I102" s="76"/>
      <c r="J102" s="77"/>
      <c r="K102" s="106">
        <v>0.21765309977046091</v>
      </c>
      <c r="L102" s="108"/>
      <c r="M102" s="77"/>
    </row>
    <row r="103" spans="2:13" x14ac:dyDescent="0.2">
      <c r="C103" s="8" t="s">
        <v>86</v>
      </c>
      <c r="D103" s="80" t="s">
        <v>405</v>
      </c>
      <c r="E103" s="80" t="s">
        <v>404</v>
      </c>
      <c r="G103" s="76">
        <v>3490</v>
      </c>
      <c r="H103" s="76">
        <v>3108</v>
      </c>
      <c r="I103" s="76"/>
      <c r="J103" s="77"/>
      <c r="K103" s="106">
        <v>0.68537571842613221</v>
      </c>
      <c r="L103" s="108"/>
      <c r="M103" s="77"/>
    </row>
    <row r="104" spans="2:13" x14ac:dyDescent="0.2">
      <c r="C104" s="8" t="s">
        <v>107</v>
      </c>
      <c r="D104" s="80" t="s">
        <v>406</v>
      </c>
      <c r="E104" s="80" t="s">
        <v>407</v>
      </c>
      <c r="G104" s="74">
        <v>0.42099999999999999</v>
      </c>
      <c r="H104" s="74">
        <v>0.41699999999999998</v>
      </c>
      <c r="I104" s="74"/>
      <c r="J104" s="75"/>
      <c r="K104" s="106">
        <v>0.41699999999999998</v>
      </c>
      <c r="L104" s="107"/>
      <c r="M104" s="75"/>
    </row>
    <row r="105" spans="2:13" x14ac:dyDescent="0.2">
      <c r="C105" s="8" t="s">
        <v>115</v>
      </c>
      <c r="D105" s="80" t="s">
        <v>408</v>
      </c>
      <c r="E105" s="80" t="s">
        <v>399</v>
      </c>
      <c r="G105" s="74">
        <v>1.23</v>
      </c>
      <c r="H105" s="74">
        <v>1.23</v>
      </c>
      <c r="I105" s="74"/>
      <c r="J105" s="75"/>
      <c r="K105" s="106">
        <v>1.23</v>
      </c>
      <c r="L105" s="107"/>
      <c r="M105" s="75"/>
    </row>
    <row r="106" spans="2:13" x14ac:dyDescent="0.2">
      <c r="C106" s="8" t="s">
        <v>109</v>
      </c>
      <c r="D106" s="80" t="s">
        <v>409</v>
      </c>
      <c r="E106" s="80" t="s">
        <v>402</v>
      </c>
      <c r="G106" s="76">
        <v>350</v>
      </c>
      <c r="H106" s="76">
        <v>350</v>
      </c>
      <c r="I106" s="76"/>
      <c r="J106" s="77"/>
      <c r="K106" s="106">
        <v>0.49155180931860942</v>
      </c>
      <c r="L106" s="108"/>
      <c r="M106" s="77"/>
    </row>
    <row r="107" spans="2:13" x14ac:dyDescent="0.2">
      <c r="C107" s="8" t="s">
        <v>111</v>
      </c>
      <c r="D107" s="80" t="s">
        <v>410</v>
      </c>
      <c r="E107" s="80" t="s">
        <v>399</v>
      </c>
      <c r="G107" s="74">
        <v>0.57999999999999996</v>
      </c>
      <c r="H107" s="74">
        <v>0.57999999999999996</v>
      </c>
      <c r="I107" s="74"/>
      <c r="J107" s="75"/>
      <c r="K107" s="106">
        <v>0.57999999999999996</v>
      </c>
      <c r="L107" s="107"/>
      <c r="M107" s="75"/>
    </row>
    <row r="108" spans="2:13" x14ac:dyDescent="0.2">
      <c r="C108" s="8" t="s">
        <v>93</v>
      </c>
      <c r="D108" s="80" t="s">
        <v>411</v>
      </c>
      <c r="E108" s="80" t="s">
        <v>399</v>
      </c>
      <c r="G108" s="74">
        <v>0.82</v>
      </c>
      <c r="H108" s="74">
        <v>0.82</v>
      </c>
      <c r="I108" s="74"/>
      <c r="J108" s="75"/>
      <c r="K108" s="106">
        <v>0.82</v>
      </c>
      <c r="L108" s="107"/>
      <c r="M108" s="75"/>
    </row>
    <row r="109" spans="2:13" x14ac:dyDescent="0.2">
      <c r="C109" s="8" t="s">
        <v>113</v>
      </c>
      <c r="D109" s="80" t="s">
        <v>412</v>
      </c>
      <c r="E109" s="80" t="s">
        <v>413</v>
      </c>
      <c r="G109" s="74">
        <v>1.23</v>
      </c>
      <c r="H109" s="74">
        <v>1.23</v>
      </c>
      <c r="I109" s="74"/>
      <c r="J109" s="75"/>
      <c r="K109" s="106">
        <v>1.23</v>
      </c>
      <c r="L109" s="107"/>
      <c r="M109" s="75"/>
    </row>
    <row r="110" spans="2:13" x14ac:dyDescent="0.2">
      <c r="C110" s="8" t="s">
        <v>117</v>
      </c>
      <c r="D110" s="80" t="s">
        <v>414</v>
      </c>
      <c r="E110" s="80" t="s">
        <v>413</v>
      </c>
      <c r="G110" s="74">
        <v>3.6</v>
      </c>
      <c r="H110" s="74">
        <v>3.3</v>
      </c>
      <c r="I110" s="74"/>
      <c r="J110" s="75"/>
      <c r="K110" s="106">
        <v>3.3</v>
      </c>
      <c r="L110" s="107"/>
      <c r="M110" s="75"/>
    </row>
    <row r="111" spans="2:13" x14ac:dyDescent="0.2">
      <c r="C111" s="8" t="s">
        <v>97</v>
      </c>
      <c r="D111" s="80" t="s">
        <v>415</v>
      </c>
      <c r="E111" s="80" t="s">
        <v>416</v>
      </c>
      <c r="G111" s="76">
        <v>6904</v>
      </c>
      <c r="H111" s="76">
        <v>6904</v>
      </c>
      <c r="I111" s="76"/>
      <c r="J111" s="77"/>
      <c r="K111" s="106">
        <v>0.95751618304980002</v>
      </c>
      <c r="L111" s="108"/>
      <c r="M111" s="77"/>
    </row>
    <row r="112" spans="2:13" x14ac:dyDescent="0.2">
      <c r="C112" s="8" t="s">
        <v>81</v>
      </c>
      <c r="D112" s="80" t="s">
        <v>417</v>
      </c>
      <c r="E112" s="80" t="s">
        <v>413</v>
      </c>
      <c r="G112" s="74">
        <v>1.23</v>
      </c>
      <c r="H112" s="74">
        <v>1.23</v>
      </c>
      <c r="I112" s="74"/>
      <c r="J112" s="75"/>
      <c r="K112" s="106">
        <v>1.23</v>
      </c>
      <c r="L112" s="107"/>
      <c r="M112" s="75"/>
    </row>
    <row r="113" spans="2:13" x14ac:dyDescent="0.2">
      <c r="C113" s="8" t="s">
        <v>99</v>
      </c>
      <c r="D113" s="80" t="s">
        <v>418</v>
      </c>
      <c r="E113" s="80" t="s">
        <v>419</v>
      </c>
      <c r="G113" s="76">
        <v>1608</v>
      </c>
      <c r="H113" s="76">
        <v>1608</v>
      </c>
      <c r="I113" s="76"/>
      <c r="J113" s="77"/>
      <c r="K113" s="106">
        <v>1.2321839080459771</v>
      </c>
      <c r="L113" s="108"/>
      <c r="M113" s="77"/>
    </row>
    <row r="114" spans="2:13" x14ac:dyDescent="0.2">
      <c r="C114" s="8" t="s">
        <v>101</v>
      </c>
      <c r="D114" s="80" t="s">
        <v>420</v>
      </c>
      <c r="E114" s="80" t="s">
        <v>421</v>
      </c>
      <c r="G114" s="76">
        <v>6108</v>
      </c>
      <c r="H114" s="76">
        <v>6108</v>
      </c>
      <c r="I114" s="76"/>
      <c r="J114" s="77"/>
      <c r="K114" s="106">
        <v>1.2074983512547071</v>
      </c>
      <c r="L114" s="108"/>
      <c r="M114" s="77"/>
    </row>
    <row r="115" spans="2:13" x14ac:dyDescent="0.2">
      <c r="C115" s="8" t="s">
        <v>84</v>
      </c>
      <c r="D115" s="80" t="s">
        <v>422</v>
      </c>
      <c r="E115" s="80" t="s">
        <v>399</v>
      </c>
      <c r="G115" s="94" t="s">
        <v>322</v>
      </c>
      <c r="H115" s="74">
        <v>1.01</v>
      </c>
      <c r="I115" s="74"/>
      <c r="J115" s="75"/>
      <c r="K115" s="106">
        <v>1.01</v>
      </c>
      <c r="L115" s="107"/>
      <c r="M115" s="75"/>
    </row>
    <row r="116" spans="2:13" x14ac:dyDescent="0.2">
      <c r="C116" s="8" t="s">
        <v>84</v>
      </c>
      <c r="D116" s="80" t="s">
        <v>423</v>
      </c>
      <c r="E116" s="80" t="s">
        <v>424</v>
      </c>
      <c r="G116" s="94" t="s">
        <v>322</v>
      </c>
      <c r="H116" s="76">
        <v>38</v>
      </c>
      <c r="I116" s="76"/>
      <c r="J116" s="77"/>
      <c r="K116" s="106">
        <v>0.69178955033679224</v>
      </c>
      <c r="L116" s="108"/>
      <c r="M116" s="77"/>
    </row>
    <row r="117" spans="2:13" x14ac:dyDescent="0.2">
      <c r="C117" s="8" t="s">
        <v>88</v>
      </c>
      <c r="D117" s="80" t="s">
        <v>423</v>
      </c>
      <c r="E117" s="80" t="s">
        <v>424</v>
      </c>
      <c r="G117" s="94" t="s">
        <v>322</v>
      </c>
      <c r="H117" s="76">
        <v>9954</v>
      </c>
      <c r="I117" s="76"/>
      <c r="J117" s="77"/>
      <c r="K117" s="106">
        <v>1.2956472746728618</v>
      </c>
      <c r="L117" s="108"/>
      <c r="M117" s="77"/>
    </row>
    <row r="118" spans="2:13" x14ac:dyDescent="0.2">
      <c r="C118" s="8" t="s">
        <v>88</v>
      </c>
      <c r="D118" s="80" t="s">
        <v>422</v>
      </c>
      <c r="E118" s="80" t="s">
        <v>399</v>
      </c>
      <c r="G118" s="94" t="s">
        <v>322</v>
      </c>
      <c r="H118" s="74">
        <v>1.01</v>
      </c>
      <c r="I118" s="74"/>
      <c r="J118" s="75"/>
      <c r="K118" s="106">
        <v>1.01</v>
      </c>
      <c r="L118" s="107"/>
      <c r="M118" s="75"/>
    </row>
    <row r="119" spans="2:13" x14ac:dyDescent="0.2">
      <c r="K119" s="51"/>
      <c r="L119" s="51"/>
    </row>
    <row r="120" spans="2:13" ht="13.5" x14ac:dyDescent="0.25">
      <c r="B120" s="35" t="s">
        <v>425</v>
      </c>
      <c r="C120" s="35"/>
      <c r="D120" s="35"/>
      <c r="E120" s="35"/>
      <c r="F120" s="35"/>
      <c r="G120" s="35"/>
      <c r="H120" s="35"/>
      <c r="I120" s="35"/>
      <c r="J120" s="35"/>
      <c r="K120" s="343" t="s">
        <v>397</v>
      </c>
      <c r="L120" s="343"/>
      <c r="M120" s="35"/>
    </row>
    <row r="121" spans="2:13" x14ac:dyDescent="0.2">
      <c r="K121" s="51"/>
      <c r="L121" s="51"/>
    </row>
    <row r="122" spans="2:13" x14ac:dyDescent="0.2">
      <c r="C122" s="8" t="s">
        <v>103</v>
      </c>
      <c r="D122" s="80" t="s">
        <v>398</v>
      </c>
      <c r="E122" s="80" t="s">
        <v>399</v>
      </c>
      <c r="G122" s="74">
        <v>0.27</v>
      </c>
      <c r="H122" s="74">
        <v>0.23</v>
      </c>
      <c r="I122" s="74"/>
      <c r="J122" s="75"/>
      <c r="K122" s="106">
        <v>0.23</v>
      </c>
      <c r="L122" s="107"/>
      <c r="M122" s="75"/>
    </row>
    <row r="123" spans="2:13" x14ac:dyDescent="0.2">
      <c r="C123" s="8" t="s">
        <v>79</v>
      </c>
      <c r="D123" s="80" t="s">
        <v>400</v>
      </c>
      <c r="E123" s="80" t="s">
        <v>399</v>
      </c>
      <c r="G123" s="74">
        <v>1.23</v>
      </c>
      <c r="H123" s="74">
        <v>1.18</v>
      </c>
      <c r="I123" s="74"/>
      <c r="J123" s="75"/>
      <c r="K123" s="106">
        <v>1.18</v>
      </c>
      <c r="L123" s="107"/>
      <c r="M123" s="75"/>
    </row>
    <row r="124" spans="2:13" x14ac:dyDescent="0.2">
      <c r="C124" s="8" t="s">
        <v>105</v>
      </c>
      <c r="D124" s="80" t="s">
        <v>401</v>
      </c>
      <c r="E124" s="80" t="s">
        <v>402</v>
      </c>
      <c r="G124" s="76">
        <v>1711</v>
      </c>
      <c r="H124" s="76">
        <v>1934</v>
      </c>
      <c r="I124" s="76"/>
      <c r="J124" s="77"/>
      <c r="K124" s="106">
        <v>1.6186999178095491</v>
      </c>
      <c r="L124" s="108"/>
      <c r="M124" s="77"/>
    </row>
    <row r="125" spans="2:13" x14ac:dyDescent="0.2">
      <c r="C125" s="8" t="s">
        <v>86</v>
      </c>
      <c r="D125" s="80" t="s">
        <v>403</v>
      </c>
      <c r="E125" s="80" t="s">
        <v>404</v>
      </c>
      <c r="G125" s="76">
        <v>978</v>
      </c>
      <c r="H125" s="76">
        <v>1060</v>
      </c>
      <c r="I125" s="76"/>
      <c r="J125" s="77"/>
      <c r="K125" s="106">
        <v>0.23375104939887392</v>
      </c>
      <c r="L125" s="108"/>
      <c r="M125" s="77"/>
    </row>
    <row r="126" spans="2:13" x14ac:dyDescent="0.2">
      <c r="C126" s="8" t="s">
        <v>86</v>
      </c>
      <c r="D126" s="80" t="s">
        <v>405</v>
      </c>
      <c r="E126" s="80" t="s">
        <v>404</v>
      </c>
      <c r="G126" s="76">
        <v>2776</v>
      </c>
      <c r="H126" s="76">
        <v>2667</v>
      </c>
      <c r="I126" s="76"/>
      <c r="J126" s="77"/>
      <c r="K126" s="106">
        <v>0.58812646108188371</v>
      </c>
      <c r="L126" s="108"/>
      <c r="M126" s="77"/>
    </row>
    <row r="127" spans="2:13" x14ac:dyDescent="0.2">
      <c r="C127" s="8" t="s">
        <v>107</v>
      </c>
      <c r="D127" s="80" t="s">
        <v>406</v>
      </c>
      <c r="E127" s="80" t="s">
        <v>407</v>
      </c>
      <c r="G127" s="74">
        <v>0.54900000000000004</v>
      </c>
      <c r="H127" s="74">
        <v>0.437</v>
      </c>
      <c r="I127" s="74"/>
      <c r="J127" s="75"/>
      <c r="K127" s="106">
        <v>0.437</v>
      </c>
      <c r="L127" s="107"/>
      <c r="M127" s="75"/>
    </row>
    <row r="128" spans="2:13" x14ac:dyDescent="0.2">
      <c r="C128" s="8" t="s">
        <v>115</v>
      </c>
      <c r="D128" s="80" t="s">
        <v>408</v>
      </c>
      <c r="E128" s="80" t="s">
        <v>399</v>
      </c>
      <c r="G128" s="74">
        <v>0.82</v>
      </c>
      <c r="H128" s="74">
        <v>0.71</v>
      </c>
      <c r="I128" s="74"/>
      <c r="J128" s="75"/>
      <c r="K128" s="106">
        <v>0.71</v>
      </c>
      <c r="L128" s="107"/>
      <c r="M128" s="75"/>
    </row>
    <row r="129" spans="2:13" x14ac:dyDescent="0.2">
      <c r="C129" s="8" t="s">
        <v>109</v>
      </c>
      <c r="D129" s="80" t="s">
        <v>409</v>
      </c>
      <c r="E129" s="80" t="s">
        <v>402</v>
      </c>
      <c r="G129" s="76">
        <v>365</v>
      </c>
      <c r="H129" s="76">
        <v>388</v>
      </c>
      <c r="I129" s="76"/>
      <c r="J129" s="77"/>
      <c r="K129" s="106">
        <v>0.54492029147320131</v>
      </c>
      <c r="L129" s="108"/>
      <c r="M129" s="77"/>
    </row>
    <row r="130" spans="2:13" x14ac:dyDescent="0.2">
      <c r="C130" s="8" t="s">
        <v>111</v>
      </c>
      <c r="D130" s="80" t="s">
        <v>410</v>
      </c>
      <c r="E130" s="80" t="s">
        <v>399</v>
      </c>
      <c r="G130" s="74">
        <v>0.82</v>
      </c>
      <c r="H130" s="74">
        <v>0.59</v>
      </c>
      <c r="I130" s="74"/>
      <c r="J130" s="75"/>
      <c r="K130" s="106">
        <v>0.59</v>
      </c>
      <c r="L130" s="107"/>
      <c r="M130" s="75"/>
    </row>
    <row r="131" spans="2:13" x14ac:dyDescent="0.2">
      <c r="C131" s="8" t="s">
        <v>93</v>
      </c>
      <c r="D131" s="80" t="s">
        <v>411</v>
      </c>
      <c r="E131" s="80" t="s">
        <v>399</v>
      </c>
      <c r="G131" s="74">
        <v>0.82</v>
      </c>
      <c r="H131" s="74">
        <v>0.68</v>
      </c>
      <c r="I131" s="74"/>
      <c r="J131" s="75"/>
      <c r="K131" s="106">
        <v>0.68</v>
      </c>
      <c r="L131" s="107"/>
      <c r="M131" s="75"/>
    </row>
    <row r="132" spans="2:13" x14ac:dyDescent="0.2">
      <c r="C132" s="8" t="s">
        <v>113</v>
      </c>
      <c r="D132" s="80" t="s">
        <v>412</v>
      </c>
      <c r="E132" s="80" t="s">
        <v>413</v>
      </c>
      <c r="G132" s="74">
        <v>1.4159999999999999</v>
      </c>
      <c r="H132" s="74">
        <v>1.51</v>
      </c>
      <c r="I132" s="74"/>
      <c r="J132" s="75"/>
      <c r="K132" s="106">
        <v>1.51</v>
      </c>
      <c r="L132" s="107"/>
      <c r="M132" s="75"/>
    </row>
    <row r="133" spans="2:13" x14ac:dyDescent="0.2">
      <c r="C133" s="8" t="s">
        <v>117</v>
      </c>
      <c r="D133" s="80" t="s">
        <v>414</v>
      </c>
      <c r="E133" s="80" t="s">
        <v>413</v>
      </c>
      <c r="G133" s="74">
        <v>2.2000000000000002</v>
      </c>
      <c r="H133" s="74">
        <v>2.13</v>
      </c>
      <c r="I133" s="74"/>
      <c r="J133" s="75"/>
      <c r="K133" s="106">
        <v>2.13</v>
      </c>
      <c r="L133" s="107"/>
      <c r="M133" s="75"/>
    </row>
    <row r="134" spans="2:13" x14ac:dyDescent="0.2">
      <c r="C134" s="8" t="s">
        <v>97</v>
      </c>
      <c r="D134" s="80" t="s">
        <v>415</v>
      </c>
      <c r="E134" s="80" t="s">
        <v>416</v>
      </c>
      <c r="G134" s="76">
        <v>11652</v>
      </c>
      <c r="H134" s="76">
        <v>10923</v>
      </c>
      <c r="I134" s="76"/>
      <c r="J134" s="77"/>
      <c r="K134" s="106">
        <v>1.5149115393182162</v>
      </c>
      <c r="L134" s="108"/>
      <c r="M134" s="77"/>
    </row>
    <row r="135" spans="2:13" x14ac:dyDescent="0.2">
      <c r="C135" s="8" t="s">
        <v>81</v>
      </c>
      <c r="D135" s="80" t="s">
        <v>417</v>
      </c>
      <c r="E135" s="80" t="s">
        <v>413</v>
      </c>
      <c r="G135" s="74">
        <v>3.19</v>
      </c>
      <c r="H135" s="74">
        <v>3.28</v>
      </c>
      <c r="I135" s="74"/>
      <c r="J135" s="75"/>
      <c r="K135" s="106">
        <v>3.28</v>
      </c>
      <c r="L135" s="107"/>
      <c r="M135" s="75"/>
    </row>
    <row r="136" spans="2:13" x14ac:dyDescent="0.2">
      <c r="C136" s="8" t="s">
        <v>99</v>
      </c>
      <c r="D136" s="80" t="s">
        <v>418</v>
      </c>
      <c r="E136" s="80" t="s">
        <v>419</v>
      </c>
      <c r="G136" s="76">
        <v>2031</v>
      </c>
      <c r="H136" s="76">
        <v>2010</v>
      </c>
      <c r="I136" s="76"/>
      <c r="J136" s="77"/>
      <c r="K136" s="106">
        <v>1.5402298850574712</v>
      </c>
      <c r="L136" s="108"/>
      <c r="M136" s="77"/>
    </row>
    <row r="137" spans="2:13" x14ac:dyDescent="0.2">
      <c r="C137" s="8" t="s">
        <v>101</v>
      </c>
      <c r="D137" s="80" t="s">
        <v>420</v>
      </c>
      <c r="E137" s="80" t="s">
        <v>421</v>
      </c>
      <c r="G137" s="76">
        <v>8100</v>
      </c>
      <c r="H137" s="76">
        <v>7964</v>
      </c>
      <c r="I137" s="76"/>
      <c r="J137" s="77"/>
      <c r="K137" s="106">
        <v>1.5744133708894053</v>
      </c>
      <c r="L137" s="108"/>
      <c r="M137" s="77"/>
    </row>
    <row r="138" spans="2:13" x14ac:dyDescent="0.2">
      <c r="C138" s="8" t="s">
        <v>84</v>
      </c>
      <c r="D138" s="80" t="s">
        <v>422</v>
      </c>
      <c r="E138" s="80" t="s">
        <v>399</v>
      </c>
      <c r="G138" s="94" t="s">
        <v>322</v>
      </c>
      <c r="H138" s="74">
        <v>1.02</v>
      </c>
      <c r="I138" s="74"/>
      <c r="J138" s="75"/>
      <c r="K138" s="106">
        <v>1.02</v>
      </c>
      <c r="L138" s="107"/>
      <c r="M138" s="75"/>
    </row>
    <row r="139" spans="2:13" x14ac:dyDescent="0.2">
      <c r="C139" s="8" t="s">
        <v>84</v>
      </c>
      <c r="D139" s="80" t="s">
        <v>423</v>
      </c>
      <c r="E139" s="80" t="s">
        <v>424</v>
      </c>
      <c r="G139" s="94" t="s">
        <v>322</v>
      </c>
      <c r="H139" s="76">
        <v>67</v>
      </c>
      <c r="I139" s="76"/>
      <c r="J139" s="77"/>
      <c r="K139" s="106">
        <v>1.2197342071727653</v>
      </c>
      <c r="L139" s="108"/>
      <c r="M139" s="77"/>
    </row>
    <row r="140" spans="2:13" x14ac:dyDescent="0.2">
      <c r="C140" s="8" t="s">
        <v>88</v>
      </c>
      <c r="D140" s="80" t="s">
        <v>423</v>
      </c>
      <c r="E140" s="80" t="s">
        <v>424</v>
      </c>
      <c r="G140" s="94" t="s">
        <v>322</v>
      </c>
      <c r="H140" s="76">
        <v>11856</v>
      </c>
      <c r="I140" s="76"/>
      <c r="J140" s="77"/>
      <c r="K140" s="106">
        <v>1.5432182126302441</v>
      </c>
      <c r="L140" s="108"/>
      <c r="M140" s="77"/>
    </row>
    <row r="141" spans="2:13" x14ac:dyDescent="0.2">
      <c r="C141" s="8" t="s">
        <v>88</v>
      </c>
      <c r="D141" s="80" t="s">
        <v>422</v>
      </c>
      <c r="E141" s="80" t="s">
        <v>399</v>
      </c>
      <c r="G141" s="94" t="s">
        <v>322</v>
      </c>
      <c r="H141" s="74">
        <v>0.45</v>
      </c>
      <c r="I141" s="74"/>
      <c r="J141" s="75"/>
      <c r="K141" s="106">
        <v>0.45</v>
      </c>
      <c r="L141" s="107"/>
      <c r="M141" s="75"/>
    </row>
    <row r="142" spans="2:13" x14ac:dyDescent="0.2">
      <c r="K142" s="51"/>
      <c r="L142" s="51"/>
    </row>
    <row r="143" spans="2:13" ht="13.5" x14ac:dyDescent="0.25">
      <c r="B143" s="9" t="s">
        <v>163</v>
      </c>
      <c r="C143" s="9"/>
      <c r="D143" s="10"/>
      <c r="E143" s="10"/>
      <c r="F143" s="9"/>
      <c r="G143" s="9"/>
      <c r="H143" s="9"/>
      <c r="I143" s="9"/>
      <c r="J143" s="9"/>
      <c r="K143" s="60"/>
      <c r="L143" s="60"/>
      <c r="M143" s="9"/>
    </row>
    <row r="144" spans="2:13" x14ac:dyDescent="0.2">
      <c r="K144" s="51"/>
      <c r="L144" s="51"/>
    </row>
    <row r="145" spans="2:13" ht="13.5" x14ac:dyDescent="0.25">
      <c r="B145" s="35" t="s">
        <v>426</v>
      </c>
      <c r="C145" s="35"/>
      <c r="D145" s="35"/>
      <c r="E145" s="35"/>
      <c r="F145" s="35"/>
      <c r="G145" s="35"/>
      <c r="H145" s="35"/>
      <c r="I145" s="35"/>
      <c r="J145" s="35"/>
      <c r="K145" s="343" t="s">
        <v>141</v>
      </c>
      <c r="L145" s="343"/>
      <c r="M145" s="35"/>
    </row>
    <row r="146" spans="2:13" x14ac:dyDescent="0.2">
      <c r="K146" s="51"/>
      <c r="L146" s="51"/>
    </row>
    <row r="147" spans="2:13" x14ac:dyDescent="0.2">
      <c r="C147" s="8" t="s">
        <v>79</v>
      </c>
      <c r="D147" s="80" t="s">
        <v>427</v>
      </c>
      <c r="E147" s="80" t="s">
        <v>428</v>
      </c>
      <c r="G147" s="94" t="s">
        <v>322</v>
      </c>
      <c r="H147" s="94" t="s">
        <v>322</v>
      </c>
      <c r="I147" s="76"/>
      <c r="J147" s="77"/>
      <c r="K147" s="274" t="str">
        <f>H147</f>
        <v>-</v>
      </c>
      <c r="L147" s="274">
        <f t="shared" ref="L147:L159" si="8">I147</f>
        <v>0</v>
      </c>
      <c r="M147" s="77"/>
    </row>
    <row r="148" spans="2:13" x14ac:dyDescent="0.2">
      <c r="C148" s="8" t="s">
        <v>86</v>
      </c>
      <c r="D148" s="80" t="s">
        <v>429</v>
      </c>
      <c r="E148" s="80" t="s">
        <v>430</v>
      </c>
      <c r="G148" s="76">
        <v>186</v>
      </c>
      <c r="H148" s="76">
        <v>186</v>
      </c>
      <c r="I148" s="76"/>
      <c r="J148" s="77"/>
      <c r="K148" s="274">
        <f t="shared" ref="K148" si="9">H148</f>
        <v>186</v>
      </c>
      <c r="L148" s="274">
        <f t="shared" ref="L148" si="10">I148</f>
        <v>0</v>
      </c>
      <c r="M148" s="77"/>
    </row>
    <row r="149" spans="2:13" x14ac:dyDescent="0.2">
      <c r="C149" s="8" t="s">
        <v>86</v>
      </c>
      <c r="D149" s="80" t="s">
        <v>431</v>
      </c>
      <c r="E149" s="80" t="s">
        <v>432</v>
      </c>
      <c r="G149" s="76">
        <v>228</v>
      </c>
      <c r="H149" s="76">
        <v>228</v>
      </c>
      <c r="I149" s="76"/>
      <c r="J149" s="77"/>
      <c r="K149" s="274">
        <f t="shared" ref="K149:K159" si="11">H149</f>
        <v>228</v>
      </c>
      <c r="L149" s="274">
        <f t="shared" si="8"/>
        <v>0</v>
      </c>
      <c r="M149" s="77"/>
    </row>
    <row r="150" spans="2:13" x14ac:dyDescent="0.2">
      <c r="C150" s="8" t="s">
        <v>93</v>
      </c>
      <c r="D150" s="80" t="s">
        <v>433</v>
      </c>
      <c r="E150" s="80" t="s">
        <v>434</v>
      </c>
      <c r="G150" s="76">
        <v>414</v>
      </c>
      <c r="H150" s="76">
        <v>392</v>
      </c>
      <c r="I150" s="76"/>
      <c r="J150" s="77"/>
      <c r="K150" s="274">
        <f t="shared" si="11"/>
        <v>392</v>
      </c>
      <c r="L150" s="274">
        <f t="shared" si="8"/>
        <v>0</v>
      </c>
      <c r="M150" s="77"/>
    </row>
    <row r="151" spans="2:13" x14ac:dyDescent="0.2">
      <c r="C151" s="8" t="s">
        <v>117</v>
      </c>
      <c r="D151" s="80" t="s">
        <v>435</v>
      </c>
      <c r="E151" s="80" t="s">
        <v>434</v>
      </c>
      <c r="G151" s="76">
        <v>144</v>
      </c>
      <c r="H151" s="76">
        <v>139</v>
      </c>
      <c r="I151" s="76"/>
      <c r="J151" s="77"/>
      <c r="K151" s="274">
        <f t="shared" si="11"/>
        <v>139</v>
      </c>
      <c r="L151" s="274">
        <f t="shared" si="8"/>
        <v>0</v>
      </c>
      <c r="M151" s="77"/>
    </row>
    <row r="152" spans="2:13" x14ac:dyDescent="0.2">
      <c r="C152" s="8" t="s">
        <v>95</v>
      </c>
      <c r="D152" s="80" t="s">
        <v>436</v>
      </c>
      <c r="E152" s="80" t="s">
        <v>437</v>
      </c>
      <c r="G152" s="76">
        <v>1085</v>
      </c>
      <c r="H152" s="76">
        <v>1085</v>
      </c>
      <c r="I152" s="76"/>
      <c r="J152" s="77"/>
      <c r="K152" s="274">
        <f t="shared" si="11"/>
        <v>1085</v>
      </c>
      <c r="L152" s="274">
        <f t="shared" si="8"/>
        <v>0</v>
      </c>
      <c r="M152" s="77"/>
    </row>
    <row r="153" spans="2:13" x14ac:dyDescent="0.2">
      <c r="C153" s="8" t="s">
        <v>97</v>
      </c>
      <c r="D153" s="80" t="s">
        <v>438</v>
      </c>
      <c r="E153" s="80" t="s">
        <v>439</v>
      </c>
      <c r="G153" s="76">
        <v>375</v>
      </c>
      <c r="H153" s="76">
        <v>375</v>
      </c>
      <c r="I153" s="76"/>
      <c r="J153" s="77"/>
      <c r="K153" s="274">
        <f t="shared" si="11"/>
        <v>375</v>
      </c>
      <c r="L153" s="274">
        <f t="shared" si="8"/>
        <v>0</v>
      </c>
      <c r="M153" s="77"/>
    </row>
    <row r="154" spans="2:13" x14ac:dyDescent="0.2">
      <c r="C154" s="8" t="s">
        <v>97</v>
      </c>
      <c r="D154" s="80" t="s">
        <v>438</v>
      </c>
      <c r="E154" s="80" t="s">
        <v>440</v>
      </c>
      <c r="G154" s="76">
        <v>55</v>
      </c>
      <c r="H154" s="76">
        <v>55</v>
      </c>
      <c r="I154" s="76"/>
      <c r="J154" s="77"/>
      <c r="K154" s="274">
        <f t="shared" si="11"/>
        <v>55</v>
      </c>
      <c r="L154" s="274">
        <f t="shared" si="8"/>
        <v>0</v>
      </c>
      <c r="M154" s="77"/>
    </row>
    <row r="155" spans="2:13" x14ac:dyDescent="0.2">
      <c r="C155" s="8" t="s">
        <v>81</v>
      </c>
      <c r="D155" s="80" t="s">
        <v>441</v>
      </c>
      <c r="E155" s="80" t="s">
        <v>442</v>
      </c>
      <c r="G155" s="76">
        <v>292</v>
      </c>
      <c r="H155" s="76">
        <v>282</v>
      </c>
      <c r="I155" s="76"/>
      <c r="J155" s="77"/>
      <c r="K155" s="274">
        <f t="shared" si="11"/>
        <v>282</v>
      </c>
      <c r="L155" s="274">
        <f t="shared" si="8"/>
        <v>0</v>
      </c>
      <c r="M155" s="77"/>
    </row>
    <row r="156" spans="2:13" x14ac:dyDescent="0.2">
      <c r="C156" s="8" t="s">
        <v>99</v>
      </c>
      <c r="D156" s="80" t="s">
        <v>443</v>
      </c>
      <c r="E156" s="80" t="s">
        <v>444</v>
      </c>
      <c r="G156" s="74">
        <v>1.7</v>
      </c>
      <c r="H156" s="74">
        <v>1.68</v>
      </c>
      <c r="I156" s="74"/>
      <c r="J156" s="77"/>
      <c r="K156" s="108">
        <v>210</v>
      </c>
      <c r="L156" s="109"/>
      <c r="M156" s="77"/>
    </row>
    <row r="157" spans="2:13" x14ac:dyDescent="0.2">
      <c r="C157" s="8" t="s">
        <v>101</v>
      </c>
      <c r="D157" s="80" t="s">
        <v>445</v>
      </c>
      <c r="E157" s="80" t="s">
        <v>434</v>
      </c>
      <c r="G157" s="76">
        <v>1919</v>
      </c>
      <c r="H157" s="76">
        <v>1919</v>
      </c>
      <c r="I157" s="76"/>
      <c r="J157" s="77"/>
      <c r="K157" s="274">
        <f t="shared" si="11"/>
        <v>1919</v>
      </c>
      <c r="L157" s="274">
        <f t="shared" si="8"/>
        <v>0</v>
      </c>
      <c r="M157" s="77"/>
    </row>
    <row r="158" spans="2:13" x14ac:dyDescent="0.2">
      <c r="C158" s="8" t="s">
        <v>84</v>
      </c>
      <c r="D158" s="80" t="s">
        <v>446</v>
      </c>
      <c r="E158" s="80" t="s">
        <v>434</v>
      </c>
      <c r="G158" s="94" t="s">
        <v>322</v>
      </c>
      <c r="H158" s="76">
        <v>5</v>
      </c>
      <c r="I158" s="76"/>
      <c r="J158" s="77"/>
      <c r="K158" s="274">
        <f t="shared" si="11"/>
        <v>5</v>
      </c>
      <c r="L158" s="274">
        <f t="shared" si="8"/>
        <v>0</v>
      </c>
      <c r="M158" s="77"/>
    </row>
    <row r="159" spans="2:13" x14ac:dyDescent="0.2">
      <c r="C159" s="8" t="s">
        <v>88</v>
      </c>
      <c r="D159" s="80" t="s">
        <v>446</v>
      </c>
      <c r="E159" s="80" t="s">
        <v>434</v>
      </c>
      <c r="G159" s="94" t="s">
        <v>322</v>
      </c>
      <c r="H159" s="76">
        <v>868</v>
      </c>
      <c r="I159" s="76"/>
      <c r="J159" s="77"/>
      <c r="K159" s="274">
        <f t="shared" si="11"/>
        <v>868</v>
      </c>
      <c r="L159" s="274">
        <f t="shared" si="8"/>
        <v>0</v>
      </c>
      <c r="M159" s="77"/>
    </row>
    <row r="160" spans="2:13" x14ac:dyDescent="0.2">
      <c r="K160" s="110"/>
      <c r="L160" s="110"/>
    </row>
    <row r="161" spans="2:13" ht="13.5" x14ac:dyDescent="0.25">
      <c r="B161" s="35" t="s">
        <v>447</v>
      </c>
      <c r="C161" s="35"/>
      <c r="D161" s="35"/>
      <c r="E161" s="35"/>
      <c r="F161" s="35"/>
      <c r="G161" s="35"/>
      <c r="H161" s="35"/>
      <c r="I161" s="35"/>
      <c r="J161" s="35"/>
      <c r="K161" s="343" t="s">
        <v>141</v>
      </c>
      <c r="L161" s="343"/>
      <c r="M161" s="35"/>
    </row>
    <row r="162" spans="2:13" x14ac:dyDescent="0.2">
      <c r="K162" s="110"/>
      <c r="L162" s="110"/>
    </row>
    <row r="163" spans="2:13" x14ac:dyDescent="0.2">
      <c r="C163" s="8" t="s">
        <v>79</v>
      </c>
      <c r="D163" s="80" t="s">
        <v>427</v>
      </c>
      <c r="E163" s="80" t="s">
        <v>428</v>
      </c>
      <c r="G163" s="94" t="s">
        <v>322</v>
      </c>
      <c r="H163" s="94" t="s">
        <v>322</v>
      </c>
      <c r="I163" s="76"/>
      <c r="J163" s="77"/>
      <c r="K163" s="274" t="str">
        <f t="shared" ref="K163:K175" si="12">H163</f>
        <v>-</v>
      </c>
      <c r="L163" s="274">
        <f t="shared" ref="L163:L175" si="13">I163</f>
        <v>0</v>
      </c>
      <c r="M163" s="77"/>
    </row>
    <row r="164" spans="2:13" x14ac:dyDescent="0.2">
      <c r="C164" s="8" t="s">
        <v>86</v>
      </c>
      <c r="D164" s="80" t="s">
        <v>429</v>
      </c>
      <c r="E164" s="80" t="s">
        <v>430</v>
      </c>
      <c r="G164" s="76">
        <v>96</v>
      </c>
      <c r="H164" s="76">
        <v>124</v>
      </c>
      <c r="I164" s="76"/>
      <c r="J164" s="77"/>
      <c r="K164" s="274">
        <f t="shared" ref="K164" si="14">H164</f>
        <v>124</v>
      </c>
      <c r="L164" s="274">
        <f t="shared" ref="L164" si="15">I164</f>
        <v>0</v>
      </c>
      <c r="M164" s="77"/>
    </row>
    <row r="165" spans="2:13" x14ac:dyDescent="0.2">
      <c r="C165" s="8" t="s">
        <v>86</v>
      </c>
      <c r="D165" s="80" t="s">
        <v>431</v>
      </c>
      <c r="E165" s="80" t="s">
        <v>432</v>
      </c>
      <c r="G165" s="76">
        <v>199</v>
      </c>
      <c r="H165" s="76">
        <v>246</v>
      </c>
      <c r="I165" s="76"/>
      <c r="J165" s="77"/>
      <c r="K165" s="274">
        <f t="shared" si="12"/>
        <v>246</v>
      </c>
      <c r="L165" s="274">
        <f t="shared" si="13"/>
        <v>0</v>
      </c>
      <c r="M165" s="77"/>
    </row>
    <row r="166" spans="2:13" x14ac:dyDescent="0.2">
      <c r="C166" s="8" t="s">
        <v>93</v>
      </c>
      <c r="D166" s="80" t="s">
        <v>433</v>
      </c>
      <c r="E166" s="80" t="s">
        <v>434</v>
      </c>
      <c r="G166" s="76">
        <v>401</v>
      </c>
      <c r="H166" s="76">
        <v>389</v>
      </c>
      <c r="I166" s="76"/>
      <c r="J166" s="77"/>
      <c r="K166" s="274">
        <f t="shared" si="12"/>
        <v>389</v>
      </c>
      <c r="L166" s="274">
        <f t="shared" si="13"/>
        <v>0</v>
      </c>
      <c r="M166" s="77"/>
    </row>
    <row r="167" spans="2:13" x14ac:dyDescent="0.2">
      <c r="C167" s="8" t="s">
        <v>117</v>
      </c>
      <c r="D167" s="80" t="s">
        <v>435</v>
      </c>
      <c r="E167" s="80" t="s">
        <v>434</v>
      </c>
      <c r="G167" s="76">
        <v>141</v>
      </c>
      <c r="H167" s="76">
        <v>93</v>
      </c>
      <c r="I167" s="76"/>
      <c r="J167" s="77"/>
      <c r="K167" s="274">
        <f t="shared" si="12"/>
        <v>93</v>
      </c>
      <c r="L167" s="274">
        <f t="shared" si="13"/>
        <v>0</v>
      </c>
      <c r="M167" s="77"/>
    </row>
    <row r="168" spans="2:13" x14ac:dyDescent="0.2">
      <c r="C168" s="8" t="s">
        <v>95</v>
      </c>
      <c r="D168" s="80" t="s">
        <v>436</v>
      </c>
      <c r="E168" s="80" t="s">
        <v>437</v>
      </c>
      <c r="G168" s="76">
        <v>1062</v>
      </c>
      <c r="H168" s="76">
        <v>1032</v>
      </c>
      <c r="I168" s="76"/>
      <c r="J168" s="77"/>
      <c r="K168" s="274">
        <f t="shared" si="12"/>
        <v>1032</v>
      </c>
      <c r="L168" s="274">
        <f t="shared" si="13"/>
        <v>0</v>
      </c>
      <c r="M168" s="77"/>
    </row>
    <row r="169" spans="2:13" x14ac:dyDescent="0.2">
      <c r="C169" s="8" t="s">
        <v>97</v>
      </c>
      <c r="D169" s="80" t="s">
        <v>438</v>
      </c>
      <c r="E169" s="80" t="s">
        <v>439</v>
      </c>
      <c r="G169" s="76">
        <v>559</v>
      </c>
      <c r="H169" s="76">
        <v>551</v>
      </c>
      <c r="I169" s="76"/>
      <c r="J169" s="77"/>
      <c r="K169" s="274">
        <f t="shared" si="12"/>
        <v>551</v>
      </c>
      <c r="L169" s="274">
        <f t="shared" si="13"/>
        <v>0</v>
      </c>
      <c r="M169" s="77"/>
    </row>
    <row r="170" spans="2:13" x14ac:dyDescent="0.2">
      <c r="C170" s="8" t="s">
        <v>97</v>
      </c>
      <c r="D170" s="80" t="s">
        <v>438</v>
      </c>
      <c r="E170" s="80" t="s">
        <v>440</v>
      </c>
      <c r="G170" s="76">
        <v>91</v>
      </c>
      <c r="H170" s="76">
        <v>15</v>
      </c>
      <c r="I170" s="76"/>
      <c r="J170" s="77"/>
      <c r="K170" s="274">
        <f t="shared" si="12"/>
        <v>15</v>
      </c>
      <c r="L170" s="274">
        <f t="shared" si="13"/>
        <v>0</v>
      </c>
      <c r="M170" s="77"/>
    </row>
    <row r="171" spans="2:13" x14ac:dyDescent="0.2">
      <c r="C171" s="8" t="s">
        <v>81</v>
      </c>
      <c r="D171" s="80" t="s">
        <v>441</v>
      </c>
      <c r="E171" s="80" t="s">
        <v>442</v>
      </c>
      <c r="G171" s="76">
        <v>221</v>
      </c>
      <c r="H171" s="76">
        <v>221</v>
      </c>
      <c r="I171" s="76"/>
      <c r="J171" s="77"/>
      <c r="K171" s="274">
        <f t="shared" si="12"/>
        <v>221</v>
      </c>
      <c r="L171" s="274">
        <f t="shared" si="13"/>
        <v>0</v>
      </c>
      <c r="M171" s="77"/>
    </row>
    <row r="172" spans="2:13" x14ac:dyDescent="0.2">
      <c r="C172" s="8" t="s">
        <v>99</v>
      </c>
      <c r="D172" s="80" t="s">
        <v>443</v>
      </c>
      <c r="E172" s="80" t="s">
        <v>444</v>
      </c>
      <c r="G172" s="74">
        <v>1.21</v>
      </c>
      <c r="H172" s="74">
        <v>1.43</v>
      </c>
      <c r="I172" s="74"/>
      <c r="J172" s="77"/>
      <c r="K172" s="108">
        <v>179</v>
      </c>
      <c r="L172" s="109"/>
      <c r="M172" s="77"/>
    </row>
    <row r="173" spans="2:13" x14ac:dyDescent="0.2">
      <c r="C173" s="8" t="s">
        <v>101</v>
      </c>
      <c r="D173" s="80" t="s">
        <v>445</v>
      </c>
      <c r="E173" s="80" t="s">
        <v>434</v>
      </c>
      <c r="G173" s="76">
        <v>1682</v>
      </c>
      <c r="H173" s="76">
        <v>1692</v>
      </c>
      <c r="I173" s="76"/>
      <c r="J173" s="77"/>
      <c r="K173" s="274">
        <f t="shared" si="12"/>
        <v>1692</v>
      </c>
      <c r="L173" s="274">
        <f t="shared" si="13"/>
        <v>0</v>
      </c>
      <c r="M173" s="77"/>
    </row>
    <row r="174" spans="2:13" x14ac:dyDescent="0.2">
      <c r="C174" s="8" t="s">
        <v>84</v>
      </c>
      <c r="D174" s="80" t="s">
        <v>446</v>
      </c>
      <c r="E174" s="80" t="s">
        <v>434</v>
      </c>
      <c r="G174" s="94" t="s">
        <v>322</v>
      </c>
      <c r="H174" s="76">
        <v>4</v>
      </c>
      <c r="I174" s="76"/>
      <c r="J174" s="77"/>
      <c r="K174" s="274">
        <f t="shared" si="12"/>
        <v>4</v>
      </c>
      <c r="L174" s="274">
        <f t="shared" si="13"/>
        <v>0</v>
      </c>
      <c r="M174" s="77"/>
    </row>
    <row r="175" spans="2:13" x14ac:dyDescent="0.2">
      <c r="C175" s="8" t="s">
        <v>88</v>
      </c>
      <c r="D175" s="80" t="s">
        <v>446</v>
      </c>
      <c r="E175" s="80" t="s">
        <v>434</v>
      </c>
      <c r="G175" s="94" t="s">
        <v>322</v>
      </c>
      <c r="H175" s="76">
        <v>725</v>
      </c>
      <c r="I175" s="76"/>
      <c r="J175" s="77"/>
      <c r="K175" s="274">
        <f t="shared" si="12"/>
        <v>725</v>
      </c>
      <c r="L175" s="274">
        <f t="shared" si="13"/>
        <v>0</v>
      </c>
      <c r="M175" s="77"/>
    </row>
    <row r="176" spans="2:13" x14ac:dyDescent="0.2">
      <c r="K176" s="51"/>
      <c r="L176" s="51"/>
    </row>
    <row r="177" spans="2:13" ht="13.5" x14ac:dyDescent="0.25">
      <c r="B177" s="9" t="s">
        <v>164</v>
      </c>
      <c r="C177" s="9"/>
      <c r="D177" s="10"/>
      <c r="E177" s="10"/>
      <c r="F177" s="9"/>
      <c r="G177" s="9"/>
      <c r="H177" s="9"/>
      <c r="I177" s="9"/>
      <c r="J177" s="9"/>
      <c r="K177" s="60"/>
      <c r="L177" s="60"/>
      <c r="M177" s="9"/>
    </row>
    <row r="178" spans="2:13" x14ac:dyDescent="0.2">
      <c r="K178" s="51"/>
      <c r="L178" s="51"/>
    </row>
    <row r="179" spans="2:13" ht="13.5" x14ac:dyDescent="0.25">
      <c r="B179" s="35" t="s">
        <v>448</v>
      </c>
      <c r="C179" s="35"/>
      <c r="D179" s="35"/>
      <c r="E179" s="35"/>
      <c r="F179" s="35"/>
      <c r="G179" s="35"/>
      <c r="H179" s="35"/>
      <c r="I179" s="35"/>
      <c r="J179" s="35"/>
      <c r="K179" s="343" t="s">
        <v>141</v>
      </c>
      <c r="L179" s="343"/>
      <c r="M179" s="35"/>
    </row>
    <row r="180" spans="2:13" x14ac:dyDescent="0.2">
      <c r="K180" s="51"/>
      <c r="L180" s="51"/>
    </row>
    <row r="181" spans="2:13" x14ac:dyDescent="0.2">
      <c r="C181" s="8" t="s">
        <v>79</v>
      </c>
      <c r="D181" s="80" t="s">
        <v>449</v>
      </c>
      <c r="E181" s="80" t="s">
        <v>450</v>
      </c>
      <c r="G181" s="73">
        <v>298</v>
      </c>
      <c r="H181" s="73">
        <v>298</v>
      </c>
      <c r="I181" s="73"/>
      <c r="K181" s="274">
        <f t="shared" ref="K181:K197" si="16">H181</f>
        <v>298</v>
      </c>
      <c r="L181" s="274">
        <f t="shared" ref="L181:L197" si="17">I181</f>
        <v>0</v>
      </c>
    </row>
    <row r="182" spans="2:13" x14ac:dyDescent="0.2">
      <c r="C182" s="8" t="s">
        <v>86</v>
      </c>
      <c r="D182" s="80" t="s">
        <v>451</v>
      </c>
      <c r="E182" s="80" t="s">
        <v>450</v>
      </c>
      <c r="G182" s="73">
        <v>115</v>
      </c>
      <c r="H182" s="73">
        <v>115</v>
      </c>
      <c r="I182" s="73"/>
      <c r="K182" s="274">
        <f t="shared" si="16"/>
        <v>115</v>
      </c>
      <c r="L182" s="274">
        <f t="shared" si="17"/>
        <v>0</v>
      </c>
    </row>
    <row r="183" spans="2:13" x14ac:dyDescent="0.2">
      <c r="C183" s="8" t="s">
        <v>109</v>
      </c>
      <c r="D183" s="80" t="s">
        <v>452</v>
      </c>
      <c r="E183" s="80" t="s">
        <v>453</v>
      </c>
      <c r="G183" s="73">
        <v>0</v>
      </c>
      <c r="H183" s="73">
        <v>0</v>
      </c>
      <c r="I183" s="73"/>
      <c r="K183" s="274">
        <f t="shared" si="16"/>
        <v>0</v>
      </c>
      <c r="L183" s="274">
        <f t="shared" si="17"/>
        <v>0</v>
      </c>
    </row>
    <row r="184" spans="2:13" x14ac:dyDescent="0.2">
      <c r="C184" s="8" t="s">
        <v>93</v>
      </c>
      <c r="D184" s="80" t="s">
        <v>454</v>
      </c>
      <c r="E184" s="80" t="s">
        <v>450</v>
      </c>
      <c r="G184" s="73">
        <v>158</v>
      </c>
      <c r="H184" s="73">
        <v>158</v>
      </c>
      <c r="I184" s="73"/>
      <c r="K184" s="274">
        <f t="shared" si="16"/>
        <v>158</v>
      </c>
      <c r="L184" s="274">
        <f t="shared" si="17"/>
        <v>0</v>
      </c>
    </row>
    <row r="185" spans="2:13" x14ac:dyDescent="0.2">
      <c r="C185" s="8" t="s">
        <v>93</v>
      </c>
      <c r="D185" s="80" t="s">
        <v>455</v>
      </c>
      <c r="E185" s="80" t="s">
        <v>456</v>
      </c>
      <c r="G185" s="73">
        <v>4</v>
      </c>
      <c r="H185" s="73">
        <v>2</v>
      </c>
      <c r="I185" s="73"/>
      <c r="K185" s="274">
        <f t="shared" si="16"/>
        <v>2</v>
      </c>
      <c r="L185" s="274">
        <f t="shared" si="17"/>
        <v>0</v>
      </c>
    </row>
    <row r="186" spans="2:13" x14ac:dyDescent="0.2">
      <c r="C186" s="8" t="s">
        <v>117</v>
      </c>
      <c r="D186" s="80" t="s">
        <v>457</v>
      </c>
      <c r="E186" s="80" t="s">
        <v>458</v>
      </c>
      <c r="G186" s="73">
        <v>218</v>
      </c>
      <c r="H186" s="73">
        <v>208</v>
      </c>
      <c r="I186" s="73"/>
      <c r="K186" s="274">
        <f>H186</f>
        <v>208</v>
      </c>
      <c r="L186" s="274">
        <f>I186</f>
        <v>0</v>
      </c>
    </row>
    <row r="187" spans="2:13" x14ac:dyDescent="0.2">
      <c r="C187" s="8" t="s">
        <v>117</v>
      </c>
      <c r="D187" s="80" t="s">
        <v>459</v>
      </c>
      <c r="E187" s="80" t="s">
        <v>456</v>
      </c>
      <c r="G187" s="73">
        <v>0</v>
      </c>
      <c r="H187" s="72">
        <v>0</v>
      </c>
      <c r="I187" s="72"/>
      <c r="K187" s="274">
        <f t="shared" si="16"/>
        <v>0</v>
      </c>
      <c r="L187" s="274">
        <f t="shared" si="17"/>
        <v>0</v>
      </c>
    </row>
    <row r="188" spans="2:13" x14ac:dyDescent="0.2">
      <c r="C188" s="8" t="s">
        <v>95</v>
      </c>
      <c r="D188" s="80" t="s">
        <v>460</v>
      </c>
      <c r="E188" s="80" t="s">
        <v>453</v>
      </c>
      <c r="G188" s="73">
        <v>340</v>
      </c>
      <c r="H188" s="73">
        <v>340</v>
      </c>
      <c r="I188" s="73"/>
      <c r="K188" s="274">
        <f t="shared" si="16"/>
        <v>340</v>
      </c>
      <c r="L188" s="274">
        <f t="shared" si="17"/>
        <v>0</v>
      </c>
    </row>
    <row r="189" spans="2:13" x14ac:dyDescent="0.2">
      <c r="C189" s="8" t="s">
        <v>97</v>
      </c>
      <c r="D189" s="80" t="s">
        <v>461</v>
      </c>
      <c r="E189" s="80" t="s">
        <v>450</v>
      </c>
      <c r="G189" s="73">
        <v>198</v>
      </c>
      <c r="H189" s="73">
        <v>195</v>
      </c>
      <c r="I189" s="73"/>
      <c r="K189" s="274">
        <f>H189</f>
        <v>195</v>
      </c>
      <c r="L189" s="274">
        <f>I189</f>
        <v>0</v>
      </c>
    </row>
    <row r="190" spans="2:13" x14ac:dyDescent="0.2">
      <c r="C190" s="8" t="s">
        <v>97</v>
      </c>
      <c r="D190" s="80" t="s">
        <v>462</v>
      </c>
      <c r="E190" s="80" t="s">
        <v>456</v>
      </c>
      <c r="G190" s="73">
        <v>3</v>
      </c>
      <c r="H190" s="73">
        <v>3</v>
      </c>
      <c r="I190" s="73"/>
      <c r="K190" s="274">
        <f t="shared" si="16"/>
        <v>3</v>
      </c>
      <c r="L190" s="274">
        <f t="shared" si="17"/>
        <v>0</v>
      </c>
    </row>
    <row r="191" spans="2:13" x14ac:dyDescent="0.2">
      <c r="C191" s="8" t="s">
        <v>81</v>
      </c>
      <c r="D191" s="80" t="s">
        <v>463</v>
      </c>
      <c r="E191" s="80" t="s">
        <v>450</v>
      </c>
      <c r="G191" s="73">
        <v>131</v>
      </c>
      <c r="H191" s="73">
        <v>131</v>
      </c>
      <c r="I191" s="73"/>
      <c r="K191" s="274">
        <f t="shared" si="16"/>
        <v>131</v>
      </c>
      <c r="L191" s="274">
        <f t="shared" si="17"/>
        <v>0</v>
      </c>
    </row>
    <row r="192" spans="2:13" x14ac:dyDescent="0.2">
      <c r="C192" s="8" t="s">
        <v>101</v>
      </c>
      <c r="D192" s="80" t="s">
        <v>464</v>
      </c>
      <c r="E192" s="80" t="s">
        <v>450</v>
      </c>
      <c r="G192" s="73">
        <v>211</v>
      </c>
      <c r="H192" s="73">
        <v>211</v>
      </c>
      <c r="I192" s="73"/>
      <c r="K192" s="274">
        <f>H192</f>
        <v>211</v>
      </c>
      <c r="L192" s="274">
        <f>I192</f>
        <v>0</v>
      </c>
    </row>
    <row r="193" spans="2:13" x14ac:dyDescent="0.2">
      <c r="C193" s="8" t="s">
        <v>101</v>
      </c>
      <c r="D193" s="80" t="s">
        <v>465</v>
      </c>
      <c r="E193" s="80" t="s">
        <v>456</v>
      </c>
      <c r="G193" s="73">
        <v>4</v>
      </c>
      <c r="H193" s="73">
        <v>2</v>
      </c>
      <c r="I193" s="73"/>
      <c r="K193" s="274">
        <f t="shared" si="16"/>
        <v>2</v>
      </c>
      <c r="L193" s="274">
        <f t="shared" si="17"/>
        <v>0</v>
      </c>
    </row>
    <row r="194" spans="2:13" x14ac:dyDescent="0.2">
      <c r="C194" s="8" t="s">
        <v>84</v>
      </c>
      <c r="D194" s="80" t="s">
        <v>466</v>
      </c>
      <c r="E194" s="80" t="s">
        <v>450</v>
      </c>
      <c r="G194" s="94" t="s">
        <v>322</v>
      </c>
      <c r="H194" s="78">
        <v>5</v>
      </c>
      <c r="I194" s="78"/>
      <c r="K194" s="274">
        <f t="shared" si="16"/>
        <v>5</v>
      </c>
      <c r="L194" s="274">
        <f t="shared" si="17"/>
        <v>0</v>
      </c>
    </row>
    <row r="195" spans="2:13" x14ac:dyDescent="0.2">
      <c r="C195" s="8" t="s">
        <v>84</v>
      </c>
      <c r="D195" s="80" t="s">
        <v>467</v>
      </c>
      <c r="E195" s="80" t="s">
        <v>456</v>
      </c>
      <c r="G195" s="94" t="s">
        <v>322</v>
      </c>
      <c r="H195" s="78">
        <v>0</v>
      </c>
      <c r="I195" s="78"/>
      <c r="K195" s="274">
        <f t="shared" si="16"/>
        <v>0</v>
      </c>
      <c r="L195" s="274">
        <f t="shared" si="17"/>
        <v>0</v>
      </c>
    </row>
    <row r="196" spans="2:13" x14ac:dyDescent="0.2">
      <c r="C196" s="8" t="s">
        <v>88</v>
      </c>
      <c r="D196" s="80" t="s">
        <v>466</v>
      </c>
      <c r="E196" s="80" t="s">
        <v>450</v>
      </c>
      <c r="G196" s="94" t="s">
        <v>322</v>
      </c>
      <c r="H196" s="78">
        <v>369</v>
      </c>
      <c r="I196" s="78"/>
      <c r="K196" s="274">
        <f t="shared" si="16"/>
        <v>369</v>
      </c>
      <c r="L196" s="274">
        <f t="shared" si="17"/>
        <v>0</v>
      </c>
    </row>
    <row r="197" spans="2:13" x14ac:dyDescent="0.2">
      <c r="C197" s="8" t="s">
        <v>88</v>
      </c>
      <c r="D197" s="80" t="s">
        <v>467</v>
      </c>
      <c r="E197" s="80" t="s">
        <v>456</v>
      </c>
      <c r="G197" s="94" t="s">
        <v>322</v>
      </c>
      <c r="H197" s="78">
        <v>2</v>
      </c>
      <c r="I197" s="78"/>
      <c r="K197" s="274">
        <f t="shared" si="16"/>
        <v>2</v>
      </c>
      <c r="L197" s="274">
        <f t="shared" si="17"/>
        <v>0</v>
      </c>
    </row>
    <row r="198" spans="2:13" x14ac:dyDescent="0.2">
      <c r="K198" s="51"/>
      <c r="L198" s="51"/>
    </row>
    <row r="199" spans="2:13" ht="13.5" x14ac:dyDescent="0.25">
      <c r="B199" s="35" t="s">
        <v>468</v>
      </c>
      <c r="C199" s="35"/>
      <c r="D199" s="35"/>
      <c r="E199" s="35"/>
      <c r="F199" s="35"/>
      <c r="G199" s="35"/>
      <c r="H199" s="35"/>
      <c r="I199" s="35"/>
      <c r="J199" s="35"/>
      <c r="K199" s="343" t="s">
        <v>141</v>
      </c>
      <c r="L199" s="343"/>
      <c r="M199" s="35"/>
    </row>
    <row r="200" spans="2:13" x14ac:dyDescent="0.2">
      <c r="K200" s="51"/>
      <c r="L200" s="51"/>
    </row>
    <row r="201" spans="2:13" x14ac:dyDescent="0.2">
      <c r="C201" s="8" t="s">
        <v>79</v>
      </c>
      <c r="D201" s="80" t="s">
        <v>449</v>
      </c>
      <c r="E201" s="80" t="s">
        <v>450</v>
      </c>
      <c r="G201" s="73">
        <v>219</v>
      </c>
      <c r="H201" s="73">
        <v>185</v>
      </c>
      <c r="I201" s="73"/>
      <c r="K201" s="274">
        <f t="shared" ref="K201:K217" si="18">H201</f>
        <v>185</v>
      </c>
      <c r="L201" s="274">
        <f t="shared" ref="L201:L217" si="19">I201</f>
        <v>0</v>
      </c>
    </row>
    <row r="202" spans="2:13" x14ac:dyDescent="0.2">
      <c r="C202" s="8" t="s">
        <v>86</v>
      </c>
      <c r="D202" s="80" t="s">
        <v>451</v>
      </c>
      <c r="E202" s="80" t="s">
        <v>450</v>
      </c>
      <c r="G202" s="73">
        <v>105</v>
      </c>
      <c r="H202" s="73">
        <v>73</v>
      </c>
      <c r="I202" s="73"/>
      <c r="K202" s="274">
        <f t="shared" si="18"/>
        <v>73</v>
      </c>
      <c r="L202" s="274">
        <f t="shared" si="19"/>
        <v>0</v>
      </c>
    </row>
    <row r="203" spans="2:13" x14ac:dyDescent="0.2">
      <c r="C203" s="8" t="s">
        <v>109</v>
      </c>
      <c r="D203" s="80" t="s">
        <v>452</v>
      </c>
      <c r="E203" s="80" t="s">
        <v>453</v>
      </c>
      <c r="G203" s="73">
        <v>0.6</v>
      </c>
      <c r="H203" s="73">
        <v>0</v>
      </c>
      <c r="I203" s="73"/>
      <c r="K203" s="274">
        <f t="shared" si="18"/>
        <v>0</v>
      </c>
      <c r="L203" s="274">
        <f t="shared" si="19"/>
        <v>0</v>
      </c>
    </row>
    <row r="204" spans="2:13" x14ac:dyDescent="0.2">
      <c r="C204" s="8" t="s">
        <v>93</v>
      </c>
      <c r="D204" s="80" t="s">
        <v>454</v>
      </c>
      <c r="E204" s="80" t="s">
        <v>450</v>
      </c>
      <c r="G204" s="73">
        <v>131</v>
      </c>
      <c r="H204" s="73">
        <v>144</v>
      </c>
      <c r="I204" s="73"/>
      <c r="K204" s="274">
        <f t="shared" si="18"/>
        <v>144</v>
      </c>
      <c r="L204" s="274">
        <f t="shared" si="19"/>
        <v>0</v>
      </c>
    </row>
    <row r="205" spans="2:13" x14ac:dyDescent="0.2">
      <c r="C205" s="8" t="s">
        <v>93</v>
      </c>
      <c r="D205" s="80" t="s">
        <v>455</v>
      </c>
      <c r="E205" s="80" t="s">
        <v>456</v>
      </c>
      <c r="G205" s="73">
        <v>4</v>
      </c>
      <c r="H205" s="73">
        <v>7</v>
      </c>
      <c r="I205" s="73"/>
      <c r="K205" s="274">
        <f t="shared" si="18"/>
        <v>7</v>
      </c>
      <c r="L205" s="274">
        <f t="shared" si="19"/>
        <v>0</v>
      </c>
    </row>
    <row r="206" spans="2:13" x14ac:dyDescent="0.2">
      <c r="C206" s="8" t="s">
        <v>117</v>
      </c>
      <c r="D206" s="80" t="s">
        <v>457</v>
      </c>
      <c r="E206" s="80" t="s">
        <v>458</v>
      </c>
      <c r="G206" s="73">
        <v>237</v>
      </c>
      <c r="H206" s="73">
        <v>248</v>
      </c>
      <c r="I206" s="73"/>
      <c r="K206" s="274">
        <f>H206</f>
        <v>248</v>
      </c>
      <c r="L206" s="274">
        <f>I206</f>
        <v>0</v>
      </c>
    </row>
    <row r="207" spans="2:13" x14ac:dyDescent="0.2">
      <c r="C207" s="8" t="s">
        <v>117</v>
      </c>
      <c r="D207" s="80" t="s">
        <v>459</v>
      </c>
      <c r="E207" s="80" t="s">
        <v>456</v>
      </c>
      <c r="G207" s="73">
        <v>3</v>
      </c>
      <c r="H207" s="72">
        <v>2</v>
      </c>
      <c r="I207" s="72"/>
      <c r="K207" s="274">
        <f t="shared" si="18"/>
        <v>2</v>
      </c>
      <c r="L207" s="274">
        <f t="shared" si="19"/>
        <v>0</v>
      </c>
    </row>
    <row r="208" spans="2:13" x14ac:dyDescent="0.2">
      <c r="C208" s="8" t="s">
        <v>95</v>
      </c>
      <c r="D208" s="80" t="s">
        <v>460</v>
      </c>
      <c r="E208" s="80" t="s">
        <v>453</v>
      </c>
      <c r="G208" s="73">
        <v>292</v>
      </c>
      <c r="H208" s="73">
        <v>295</v>
      </c>
      <c r="I208" s="73"/>
      <c r="K208" s="274">
        <f t="shared" si="18"/>
        <v>295</v>
      </c>
      <c r="L208" s="274">
        <f t="shared" si="19"/>
        <v>0</v>
      </c>
    </row>
    <row r="209" spans="2:13" x14ac:dyDescent="0.2">
      <c r="C209" s="8" t="s">
        <v>97</v>
      </c>
      <c r="D209" s="80" t="s">
        <v>461</v>
      </c>
      <c r="E209" s="80" t="s">
        <v>450</v>
      </c>
      <c r="G209" s="73">
        <v>129</v>
      </c>
      <c r="H209" s="73">
        <v>143</v>
      </c>
      <c r="I209" s="73"/>
      <c r="K209" s="274">
        <f>H209</f>
        <v>143</v>
      </c>
      <c r="L209" s="274">
        <f>I209</f>
        <v>0</v>
      </c>
    </row>
    <row r="210" spans="2:13" x14ac:dyDescent="0.2">
      <c r="C210" s="8" t="s">
        <v>97</v>
      </c>
      <c r="D210" s="80" t="s">
        <v>462</v>
      </c>
      <c r="E210" s="80" t="s">
        <v>456</v>
      </c>
      <c r="G210" s="73">
        <v>0</v>
      </c>
      <c r="H210" s="73">
        <v>1</v>
      </c>
      <c r="I210" s="73"/>
      <c r="K210" s="274">
        <f t="shared" si="18"/>
        <v>1</v>
      </c>
      <c r="L210" s="274">
        <f t="shared" si="19"/>
        <v>0</v>
      </c>
    </row>
    <row r="211" spans="2:13" x14ac:dyDescent="0.2">
      <c r="C211" s="8" t="s">
        <v>81</v>
      </c>
      <c r="D211" s="80" t="s">
        <v>463</v>
      </c>
      <c r="E211" s="80" t="s">
        <v>450</v>
      </c>
      <c r="G211" s="73">
        <v>112</v>
      </c>
      <c r="H211" s="73">
        <v>118</v>
      </c>
      <c r="I211" s="73"/>
      <c r="K211" s="274">
        <f t="shared" si="18"/>
        <v>118</v>
      </c>
      <c r="L211" s="274">
        <f t="shared" si="19"/>
        <v>0</v>
      </c>
    </row>
    <row r="212" spans="2:13" x14ac:dyDescent="0.2">
      <c r="C212" s="8" t="s">
        <v>101</v>
      </c>
      <c r="D212" s="80" t="s">
        <v>464</v>
      </c>
      <c r="E212" s="80" t="s">
        <v>450</v>
      </c>
      <c r="G212" s="73">
        <v>202</v>
      </c>
      <c r="H212" s="73">
        <v>188</v>
      </c>
      <c r="I212" s="73"/>
      <c r="K212" s="274">
        <f>H212</f>
        <v>188</v>
      </c>
      <c r="L212" s="274">
        <f>I212</f>
        <v>0</v>
      </c>
    </row>
    <row r="213" spans="2:13" x14ac:dyDescent="0.2">
      <c r="C213" s="8" t="s">
        <v>101</v>
      </c>
      <c r="D213" s="80" t="s">
        <v>465</v>
      </c>
      <c r="E213" s="80" t="s">
        <v>456</v>
      </c>
      <c r="G213" s="73">
        <v>3</v>
      </c>
      <c r="H213" s="73">
        <v>11</v>
      </c>
      <c r="I213" s="73"/>
      <c r="K213" s="274">
        <f t="shared" si="18"/>
        <v>11</v>
      </c>
      <c r="L213" s="274">
        <f t="shared" si="19"/>
        <v>0</v>
      </c>
    </row>
    <row r="214" spans="2:13" x14ac:dyDescent="0.2">
      <c r="C214" s="8" t="s">
        <v>84</v>
      </c>
      <c r="D214" s="80" t="s">
        <v>466</v>
      </c>
      <c r="E214" s="80" t="s">
        <v>450</v>
      </c>
      <c r="G214" s="94" t="s">
        <v>322</v>
      </c>
      <c r="H214" s="78">
        <v>1</v>
      </c>
      <c r="I214" s="78"/>
      <c r="K214" s="274">
        <f t="shared" si="18"/>
        <v>1</v>
      </c>
      <c r="L214" s="274">
        <f t="shared" si="19"/>
        <v>0</v>
      </c>
    </row>
    <row r="215" spans="2:13" x14ac:dyDescent="0.2">
      <c r="C215" s="8" t="s">
        <v>84</v>
      </c>
      <c r="D215" s="80" t="s">
        <v>467</v>
      </c>
      <c r="E215" s="80" t="s">
        <v>456</v>
      </c>
      <c r="G215" s="94" t="s">
        <v>322</v>
      </c>
      <c r="H215" s="78">
        <v>0</v>
      </c>
      <c r="I215" s="78"/>
      <c r="K215" s="274">
        <f t="shared" si="18"/>
        <v>0</v>
      </c>
      <c r="L215" s="274">
        <f t="shared" si="19"/>
        <v>0</v>
      </c>
    </row>
    <row r="216" spans="2:13" x14ac:dyDescent="0.2">
      <c r="C216" s="8" t="s">
        <v>88</v>
      </c>
      <c r="D216" s="80" t="s">
        <v>466</v>
      </c>
      <c r="E216" s="80" t="s">
        <v>450</v>
      </c>
      <c r="G216" s="94" t="s">
        <v>322</v>
      </c>
      <c r="H216" s="78">
        <v>328</v>
      </c>
      <c r="I216" s="78"/>
      <c r="K216" s="274">
        <f t="shared" si="18"/>
        <v>328</v>
      </c>
      <c r="L216" s="274">
        <f t="shared" si="19"/>
        <v>0</v>
      </c>
    </row>
    <row r="217" spans="2:13" x14ac:dyDescent="0.2">
      <c r="C217" s="8" t="s">
        <v>88</v>
      </c>
      <c r="D217" s="80" t="s">
        <v>467</v>
      </c>
      <c r="E217" s="80" t="s">
        <v>456</v>
      </c>
      <c r="G217" s="94" t="s">
        <v>322</v>
      </c>
      <c r="H217" s="78">
        <v>7</v>
      </c>
      <c r="I217" s="78"/>
      <c r="K217" s="274">
        <f t="shared" si="18"/>
        <v>7</v>
      </c>
      <c r="L217" s="274">
        <f t="shared" si="19"/>
        <v>0</v>
      </c>
    </row>
    <row r="219" spans="2:13" x14ac:dyDescent="0.2">
      <c r="B219" s="20" t="s">
        <v>26</v>
      </c>
      <c r="C219" s="20"/>
      <c r="D219" s="79"/>
      <c r="E219" s="79"/>
      <c r="F219" s="20"/>
      <c r="G219" s="20"/>
      <c r="H219" s="20"/>
      <c r="I219" s="20"/>
      <c r="J219" s="20"/>
      <c r="K219" s="20"/>
      <c r="L219" s="20"/>
      <c r="M219" s="20"/>
    </row>
  </sheetData>
  <mergeCells count="12">
    <mergeCell ref="G2:I2"/>
    <mergeCell ref="K2:L2"/>
    <mergeCell ref="K7:L7"/>
    <mergeCell ref="K28:L28"/>
    <mergeCell ref="K51:L51"/>
    <mergeCell ref="K161:L161"/>
    <mergeCell ref="K179:L179"/>
    <mergeCell ref="K199:L199"/>
    <mergeCell ref="K73:L73"/>
    <mergeCell ref="K97:L97"/>
    <mergeCell ref="K120:L120"/>
    <mergeCell ref="K145:L14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85"/>
  <sheetViews>
    <sheetView showGridLines="0" workbookViewId="0">
      <pane ySplit="3" topLeftCell="A4" activePane="bottomLeft" state="frozen"/>
      <selection pane="bottomLeft" activeCell="A4" sqref="A4"/>
    </sheetView>
  </sheetViews>
  <sheetFormatPr defaultRowHeight="12.75" x14ac:dyDescent="0.2"/>
  <cols>
    <col min="1" max="2" width="2.625" style="8" customWidth="1"/>
    <col min="3" max="3" width="23.125" style="8" bestFit="1" customWidth="1"/>
    <col min="4" max="4" width="9.875" style="11" customWidth="1"/>
    <col min="5" max="9" width="8" style="8" customWidth="1"/>
    <col min="10" max="10" width="2.625" style="8" customWidth="1"/>
    <col min="11" max="16384" width="9" style="8"/>
  </cols>
  <sheetData>
    <row r="2" spans="2:11" s="21" customFormat="1" x14ac:dyDescent="0.2">
      <c r="B2" s="22"/>
      <c r="C2" s="161" t="s">
        <v>169</v>
      </c>
      <c r="D2" s="162" t="s">
        <v>170</v>
      </c>
      <c r="E2" s="163" t="s">
        <v>171</v>
      </c>
      <c r="F2" s="163" t="s">
        <v>172</v>
      </c>
      <c r="G2" s="163" t="s">
        <v>173</v>
      </c>
      <c r="H2" s="163" t="s">
        <v>150</v>
      </c>
      <c r="I2" s="163" t="s">
        <v>174</v>
      </c>
      <c r="J2" s="24"/>
      <c r="K2" s="27"/>
    </row>
    <row r="3" spans="2:11" s="21" customFormat="1" x14ac:dyDescent="0.2">
      <c r="B3" s="28"/>
      <c r="C3" s="29" t="s">
        <v>175</v>
      </c>
      <c r="D3" s="29"/>
      <c r="E3" s="29">
        <v>3</v>
      </c>
      <c r="F3" s="29">
        <v>4</v>
      </c>
      <c r="G3" s="29">
        <v>5</v>
      </c>
      <c r="H3" s="29">
        <v>6</v>
      </c>
      <c r="I3" s="29">
        <v>7</v>
      </c>
      <c r="J3" s="26"/>
      <c r="K3" s="30"/>
    </row>
    <row r="5" spans="2:11" ht="13.5" x14ac:dyDescent="0.25">
      <c r="B5" s="9" t="s">
        <v>469</v>
      </c>
      <c r="C5" s="9"/>
      <c r="D5" s="10"/>
      <c r="E5" s="9"/>
      <c r="F5" s="9"/>
      <c r="G5" s="9"/>
      <c r="H5" s="9"/>
      <c r="I5" s="9"/>
      <c r="J5" s="9"/>
    </row>
    <row r="7" spans="2:11" ht="13.5" x14ac:dyDescent="0.25">
      <c r="B7" s="36" t="s">
        <v>470</v>
      </c>
      <c r="C7" s="36"/>
      <c r="D7" s="37"/>
      <c r="E7" s="36"/>
      <c r="F7" s="36"/>
      <c r="G7" s="36"/>
      <c r="H7" s="36"/>
      <c r="I7" s="36"/>
      <c r="J7" s="36"/>
    </row>
    <row r="9" spans="2:11" x14ac:dyDescent="0.2">
      <c r="C9" s="8" t="s">
        <v>79</v>
      </c>
      <c r="D9" s="11" t="s">
        <v>126</v>
      </c>
      <c r="E9" s="15">
        <f xml:space="preserve"> SUMIFS( 'INPUTS│Wholesale Totex'!E$9:E$43, 'INPUTS│Wholesale Totex'!$C$9:$C$43, $C9 )</f>
        <v>719.30962902928763</v>
      </c>
      <c r="F9" s="15">
        <f xml:space="preserve"> SUMIFS( 'INPUTS│Wholesale Totex'!F$9:F$43, 'INPUTS│Wholesale Totex'!$C$9:$C$43, $C9 )</f>
        <v>748.80366998198474</v>
      </c>
      <c r="G9" s="15">
        <f xml:space="preserve"> SUMIFS( 'INPUTS│Wholesale Totex'!G$9:G$43, 'INPUTS│Wholesale Totex'!$C$9:$C$43, $C9 )</f>
        <v>802.02027850058403</v>
      </c>
      <c r="H9" s="15">
        <f xml:space="preserve"> SUMIFS( 'INPUTS│Wholesale Totex'!H$9:H$43, 'INPUTS│Wholesale Totex'!$C$9:$C$43, $C9 )</f>
        <v>773.83681617019806</v>
      </c>
      <c r="I9" s="15">
        <f xml:space="preserve"> SUMIFS( 'INPUTS│Wholesale Totex'!I$9:I$43, 'INPUTS│Wholesale Totex'!$C$9:$C$43, $C9 )</f>
        <v>0</v>
      </c>
    </row>
    <row r="10" spans="2:11" x14ac:dyDescent="0.2">
      <c r="C10" s="8" t="s">
        <v>81</v>
      </c>
      <c r="D10" s="11" t="s">
        <v>126</v>
      </c>
      <c r="E10" s="15">
        <f xml:space="preserve"> SUMIFS( 'INPUTS│Wholesale Totex'!E$9:E$43, 'INPUTS│Wholesale Totex'!$C$9:$C$43, $C10 )</f>
        <v>430.89400000000001</v>
      </c>
      <c r="F10" s="15">
        <f xml:space="preserve"> SUMIFS( 'INPUTS│Wholesale Totex'!F$9:F$43, 'INPUTS│Wholesale Totex'!$C$9:$C$43, $C10 )</f>
        <v>539.63300000000004</v>
      </c>
      <c r="G10" s="15">
        <f xml:space="preserve"> SUMIFS( 'INPUTS│Wholesale Totex'!G$9:G$43, 'INPUTS│Wholesale Totex'!$C$9:$C$43, $C10 )</f>
        <v>575.13</v>
      </c>
      <c r="H10" s="15">
        <f xml:space="preserve"> SUMIFS( 'INPUTS│Wholesale Totex'!H$9:H$43, 'INPUTS│Wholesale Totex'!$C$9:$C$43, $C10 )</f>
        <v>602.82400000000007</v>
      </c>
      <c r="I10" s="15">
        <f xml:space="preserve"> SUMIFS( 'INPUTS│Wholesale Totex'!I$9:I$43, 'INPUTS│Wholesale Totex'!$C$9:$C$43, $C10 )</f>
        <v>0</v>
      </c>
    </row>
    <row r="11" spans="2:11" x14ac:dyDescent="0.2">
      <c r="C11" s="8" t="s">
        <v>84</v>
      </c>
      <c r="D11" s="11" t="s">
        <v>126</v>
      </c>
      <c r="E11" s="15">
        <f xml:space="preserve"> SUMIFS( 'INPUTS│Wholesale Totex'!E$9:E$43, 'INPUTS│Wholesale Totex'!$C$9:$C$43, $C11 )</f>
        <v>15.416000000000004</v>
      </c>
      <c r="F11" s="15">
        <f xml:space="preserve"> SUMIFS( 'INPUTS│Wholesale Totex'!F$9:F$43, 'INPUTS│Wholesale Totex'!$C$9:$C$43, $C11 )</f>
        <v>19.38</v>
      </c>
      <c r="G11" s="15">
        <f xml:space="preserve"> SUMIFS( 'INPUTS│Wholesale Totex'!G$9:G$43, 'INPUTS│Wholesale Totex'!$C$9:$C$43, $C11 )</f>
        <v>24.488</v>
      </c>
      <c r="H11" s="15">
        <f xml:space="preserve"> SUMIFS( 'INPUTS│Wholesale Totex'!H$9:H$43, 'INPUTS│Wholesale Totex'!$C$9:$C$43, $C11 )</f>
        <v>26.480999999999998</v>
      </c>
      <c r="I11" s="15">
        <f xml:space="preserve"> SUMIFS( 'INPUTS│Wholesale Totex'!I$9:I$43, 'INPUTS│Wholesale Totex'!$C$9:$C$43, $C11 )</f>
        <v>0</v>
      </c>
    </row>
    <row r="12" spans="2:11" x14ac:dyDescent="0.2">
      <c r="C12" s="8" t="s">
        <v>86</v>
      </c>
      <c r="D12" s="11" t="s">
        <v>126</v>
      </c>
      <c r="E12" s="15">
        <f xml:space="preserve"> SUMIFS( 'INPUTS│Wholesale Totex'!E$9:E$43, 'INPUTS│Wholesale Totex'!$C$9:$C$43, $C12 )</f>
        <v>410.14700000000005</v>
      </c>
      <c r="F12" s="15">
        <f xml:space="preserve"> SUMIFS( 'INPUTS│Wholesale Totex'!F$9:F$43, 'INPUTS│Wholesale Totex'!$C$9:$C$43, $C12 )</f>
        <v>396.10900000000004</v>
      </c>
      <c r="G12" s="15">
        <f xml:space="preserve"> SUMIFS( 'INPUTS│Wholesale Totex'!G$9:G$43, 'INPUTS│Wholesale Totex'!$C$9:$C$43, $C12 )</f>
        <v>443.43799999999999</v>
      </c>
      <c r="H12" s="15">
        <f xml:space="preserve"> SUMIFS( 'INPUTS│Wholesale Totex'!H$9:H$43, 'INPUTS│Wholesale Totex'!$C$9:$C$43, $C12 )</f>
        <v>467.52599999999995</v>
      </c>
      <c r="I12" s="15">
        <f xml:space="preserve"> SUMIFS( 'INPUTS│Wholesale Totex'!I$9:I$43, 'INPUTS│Wholesale Totex'!$C$9:$C$43, $C12 )</f>
        <v>0</v>
      </c>
    </row>
    <row r="13" spans="2:11" x14ac:dyDescent="0.2">
      <c r="C13" s="8" t="s">
        <v>88</v>
      </c>
      <c r="D13" s="11" t="s">
        <v>126</v>
      </c>
      <c r="E13" s="15">
        <f xml:space="preserve"> SUMIFS( 'INPUTS│Wholesale Totex'!E$9:E$43, 'INPUTS│Wholesale Totex'!$C$9:$C$43, $C13 )</f>
        <v>964.01</v>
      </c>
      <c r="F13" s="15">
        <f xml:space="preserve"> SUMIFS( 'INPUTS│Wholesale Totex'!F$9:F$43, 'INPUTS│Wholesale Totex'!$C$9:$C$43, $C13 )</f>
        <v>985.49</v>
      </c>
      <c r="G13" s="15">
        <f xml:space="preserve"> SUMIFS( 'INPUTS│Wholesale Totex'!G$9:G$43, 'INPUTS│Wholesale Totex'!$C$9:$C$43, $C13 )</f>
        <v>1075.5309999999999</v>
      </c>
      <c r="H13" s="15">
        <f xml:space="preserve"> SUMIFS( 'INPUTS│Wholesale Totex'!H$9:H$43, 'INPUTS│Wholesale Totex'!$C$9:$C$43, $C13 )</f>
        <v>1200.2470000000001</v>
      </c>
      <c r="I13" s="15">
        <f xml:space="preserve"> SUMIFS( 'INPUTS│Wholesale Totex'!I$9:I$43, 'INPUTS│Wholesale Totex'!$C$9:$C$43, $C13 )</f>
        <v>0</v>
      </c>
    </row>
    <row r="14" spans="2:11" x14ac:dyDescent="0.2">
      <c r="C14" s="8" t="s">
        <v>90</v>
      </c>
      <c r="D14" s="11" t="s">
        <v>126</v>
      </c>
      <c r="E14" s="15">
        <f xml:space="preserve"> SUMIFS( 'INPUTS│Wholesale Totex'!E$9:E$43, 'INPUTS│Wholesale Totex'!$C$9:$C$43, $C14 )</f>
        <v>270.83999999999997</v>
      </c>
      <c r="F14" s="15">
        <f xml:space="preserve"> SUMIFS( 'INPUTS│Wholesale Totex'!F$9:F$43, 'INPUTS│Wholesale Totex'!$C$9:$C$43, $C14 )</f>
        <v>317.52499999999998</v>
      </c>
      <c r="G14" s="15">
        <f xml:space="preserve"> SUMIFS( 'INPUTS│Wholesale Totex'!G$9:G$43, 'INPUTS│Wholesale Totex'!$C$9:$C$43, $C14 )</f>
        <v>297.67200000000003</v>
      </c>
      <c r="H14" s="15">
        <f xml:space="preserve"> SUMIFS( 'INPUTS│Wholesale Totex'!H$9:H$43, 'INPUTS│Wholesale Totex'!$C$9:$C$43, $C14 )</f>
        <v>271.03100000000001</v>
      </c>
      <c r="I14" s="15">
        <f xml:space="preserve"> SUMIFS( 'INPUTS│Wholesale Totex'!I$9:I$43, 'INPUTS│Wholesale Totex'!$C$9:$C$43, $C14 )</f>
        <v>0</v>
      </c>
    </row>
    <row r="15" spans="2:11" x14ac:dyDescent="0.2">
      <c r="C15" s="8" t="s">
        <v>93</v>
      </c>
      <c r="D15" s="11" t="s">
        <v>126</v>
      </c>
      <c r="E15" s="15">
        <f xml:space="preserve"> SUMIFS( 'INPUTS│Wholesale Totex'!E$9:E$43, 'INPUTS│Wholesale Totex'!$C$9:$C$43, $C15 )</f>
        <v>413.47899999999998</v>
      </c>
      <c r="F15" s="15">
        <f xml:space="preserve"> SUMIFS( 'INPUTS│Wholesale Totex'!F$9:F$43, 'INPUTS│Wholesale Totex'!$C$9:$C$43, $C15 )</f>
        <v>470.17100000000005</v>
      </c>
      <c r="G15" s="15">
        <f xml:space="preserve"> SUMIFS( 'INPUTS│Wholesale Totex'!G$9:G$43, 'INPUTS│Wholesale Totex'!$C$9:$C$43, $C15 )</f>
        <v>549.97900000000004</v>
      </c>
      <c r="H15" s="15">
        <f xml:space="preserve"> SUMIFS( 'INPUTS│Wholesale Totex'!H$9:H$43, 'INPUTS│Wholesale Totex'!$C$9:$C$43, $C15 )</f>
        <v>565.33100000000002</v>
      </c>
      <c r="I15" s="15">
        <f xml:space="preserve"> SUMIFS( 'INPUTS│Wholesale Totex'!I$9:I$43, 'INPUTS│Wholesale Totex'!$C$9:$C$43, $C15 )</f>
        <v>0</v>
      </c>
    </row>
    <row r="16" spans="2:11" x14ac:dyDescent="0.2">
      <c r="C16" s="8" t="s">
        <v>95</v>
      </c>
      <c r="D16" s="11" t="s">
        <v>126</v>
      </c>
      <c r="E16" s="15">
        <f xml:space="preserve"> SUMIFS( 'INPUTS│Wholesale Totex'!E$9:E$43, 'INPUTS│Wholesale Totex'!$C$9:$C$43, $C16 )</f>
        <v>1694.2210160933671</v>
      </c>
      <c r="F16" s="15">
        <f xml:space="preserve"> SUMIFS( 'INPUTS│Wholesale Totex'!F$9:F$43, 'INPUTS│Wholesale Totex'!$C$9:$C$43, $C16 )</f>
        <v>1592.6835848098306</v>
      </c>
      <c r="G16" s="15">
        <f xml:space="preserve"> SUMIFS( 'INPUTS│Wholesale Totex'!G$9:G$43, 'INPUTS│Wholesale Totex'!$C$9:$C$43, $C16 )</f>
        <v>1596.6240394521806</v>
      </c>
      <c r="H16" s="15">
        <f xml:space="preserve"> SUMIFS( 'INPUTS│Wholesale Totex'!H$9:H$43, 'INPUTS│Wholesale Totex'!$C$9:$C$43, $C16 )</f>
        <v>1623.4619491094277</v>
      </c>
      <c r="I16" s="15">
        <f xml:space="preserve"> SUMIFS( 'INPUTS│Wholesale Totex'!I$9:I$43, 'INPUTS│Wholesale Totex'!$C$9:$C$43, $C16 )</f>
        <v>0</v>
      </c>
    </row>
    <row r="17" spans="2:10" x14ac:dyDescent="0.2">
      <c r="C17" s="8" t="s">
        <v>97</v>
      </c>
      <c r="D17" s="11" t="s">
        <v>126</v>
      </c>
      <c r="E17" s="15">
        <f xml:space="preserve"> SUMIFS( 'INPUTS│Wholesale Totex'!E$9:E$43, 'INPUTS│Wholesale Totex'!$C$9:$C$43, $C17 )</f>
        <v>1153.4729868383031</v>
      </c>
      <c r="F17" s="15">
        <f xml:space="preserve"> SUMIFS( 'INPUTS│Wholesale Totex'!F$9:F$43, 'INPUTS│Wholesale Totex'!$C$9:$C$43, $C17 )</f>
        <v>1160.992180403347</v>
      </c>
      <c r="G17" s="15">
        <f xml:space="preserve"> SUMIFS( 'INPUTS│Wholesale Totex'!G$9:G$43, 'INPUTS│Wholesale Totex'!$C$9:$C$43, $C17 )</f>
        <v>1137.7001047195899</v>
      </c>
      <c r="H17" s="15">
        <f xml:space="preserve"> SUMIFS( 'INPUTS│Wholesale Totex'!H$9:H$43, 'INPUTS│Wholesale Totex'!$C$9:$C$43, $C17 )</f>
        <v>1141.2073166654159</v>
      </c>
      <c r="I17" s="15">
        <f xml:space="preserve"> SUMIFS( 'INPUTS│Wholesale Totex'!I$9:I$43, 'INPUTS│Wholesale Totex'!$C$9:$C$43, $C17 )</f>
        <v>0</v>
      </c>
    </row>
    <row r="18" spans="2:10" x14ac:dyDescent="0.2">
      <c r="C18" s="8" t="s">
        <v>99</v>
      </c>
      <c r="D18" s="11" t="s">
        <v>126</v>
      </c>
      <c r="E18" s="15">
        <f xml:space="preserve"> SUMIFS( 'INPUTS│Wholesale Totex'!E$9:E$43, 'INPUTS│Wholesale Totex'!$C$9:$C$43, $C18 )</f>
        <v>304.44145257215308</v>
      </c>
      <c r="F18" s="15">
        <f xml:space="preserve"> SUMIFS( 'INPUTS│Wholesale Totex'!F$9:F$43, 'INPUTS│Wholesale Totex'!$C$9:$C$43, $C18 )</f>
        <v>306.50854742784702</v>
      </c>
      <c r="G18" s="15">
        <f xml:space="preserve"> SUMIFS( 'INPUTS│Wholesale Totex'!G$9:G$43, 'INPUTS│Wholesale Totex'!$C$9:$C$43, $C18 )</f>
        <v>338.42899999999997</v>
      </c>
      <c r="H18" s="15">
        <f xml:space="preserve"> SUMIFS( 'INPUTS│Wholesale Totex'!H$9:H$43, 'INPUTS│Wholesale Totex'!$C$9:$C$43, $C18 )</f>
        <v>333.91841650377802</v>
      </c>
      <c r="I18" s="15">
        <f xml:space="preserve"> SUMIFS( 'INPUTS│Wholesale Totex'!I$9:I$43, 'INPUTS│Wholesale Totex'!$C$9:$C$43, $C18 )</f>
        <v>0</v>
      </c>
    </row>
    <row r="19" spans="2:10" x14ac:dyDescent="0.2">
      <c r="C19" s="8" t="s">
        <v>101</v>
      </c>
      <c r="D19" s="11" t="s">
        <v>126</v>
      </c>
      <c r="E19" s="15">
        <f xml:space="preserve"> SUMIFS( 'INPUTS│Wholesale Totex'!E$9:E$43, 'INPUTS│Wholesale Totex'!$C$9:$C$43, $C19 )</f>
        <v>562.29300000000001</v>
      </c>
      <c r="F19" s="15">
        <f xml:space="preserve"> SUMIFS( 'INPUTS│Wholesale Totex'!F$9:F$43, 'INPUTS│Wholesale Totex'!$C$9:$C$43, $C19 )</f>
        <v>675.47900000000004</v>
      </c>
      <c r="G19" s="15">
        <f xml:space="preserve"> SUMIFS( 'INPUTS│Wholesale Totex'!G$9:G$43, 'INPUTS│Wholesale Totex'!$C$9:$C$43, $C19 )</f>
        <v>691.68600000000004</v>
      </c>
      <c r="H19" s="15">
        <f xml:space="preserve"> SUMIFS( 'INPUTS│Wholesale Totex'!H$9:H$43, 'INPUTS│Wholesale Totex'!$C$9:$C$43, $C19 )</f>
        <v>819.875</v>
      </c>
      <c r="I19" s="15">
        <f xml:space="preserve"> SUMIFS( 'INPUTS│Wholesale Totex'!I$9:I$43, 'INPUTS│Wholesale Totex'!$C$9:$C$43, $C19 )</f>
        <v>0</v>
      </c>
    </row>
    <row r="20" spans="2:10" x14ac:dyDescent="0.2">
      <c r="C20" s="8" t="s">
        <v>103</v>
      </c>
      <c r="D20" s="11" t="s">
        <v>126</v>
      </c>
      <c r="E20" s="15">
        <f xml:space="preserve"> SUMIFS( 'INPUTS│Wholesale Totex'!E$9:E$43, 'INPUTS│Wholesale Totex'!$C$9:$C$43, $C20 )</f>
        <v>216.31100000000004</v>
      </c>
      <c r="F20" s="15">
        <f xml:space="preserve"> SUMIFS( 'INPUTS│Wholesale Totex'!F$9:F$43, 'INPUTS│Wholesale Totex'!$C$9:$C$43, $C20 )</f>
        <v>239.81399999999999</v>
      </c>
      <c r="G20" s="15">
        <f xml:space="preserve"> SUMIFS( 'INPUTS│Wholesale Totex'!G$9:G$43, 'INPUTS│Wholesale Totex'!$C$9:$C$43, $C20 )</f>
        <v>223.73</v>
      </c>
      <c r="H20" s="15">
        <f xml:space="preserve"> SUMIFS( 'INPUTS│Wholesale Totex'!H$9:H$43, 'INPUTS│Wholesale Totex'!$C$9:$C$43, $C20 )</f>
        <v>207.74851372005</v>
      </c>
      <c r="I20" s="15">
        <f xml:space="preserve"> SUMIFS( 'INPUTS│Wholesale Totex'!I$9:I$43, 'INPUTS│Wholesale Totex'!$C$9:$C$43, $C20 )</f>
        <v>0</v>
      </c>
    </row>
    <row r="21" spans="2:10" x14ac:dyDescent="0.2">
      <c r="C21" s="8" t="s">
        <v>105</v>
      </c>
      <c r="D21" s="11" t="s">
        <v>126</v>
      </c>
      <c r="E21" s="15">
        <f xml:space="preserve"> SUMIFS( 'INPUTS│Wholesale Totex'!E$9:E$43, 'INPUTS│Wholesale Totex'!$C$9:$C$43, $C21 )</f>
        <v>65.168799622641501</v>
      </c>
      <c r="F21" s="15">
        <f xml:space="preserve"> SUMIFS( 'INPUTS│Wholesale Totex'!F$9:F$43, 'INPUTS│Wholesale Totex'!$C$9:$C$43, $C21 )</f>
        <v>75.324200377358494</v>
      </c>
      <c r="G21" s="15">
        <f xml:space="preserve"> SUMIFS( 'INPUTS│Wholesale Totex'!G$9:G$43, 'INPUTS│Wholesale Totex'!$C$9:$C$43, $C21 )</f>
        <v>91.09</v>
      </c>
      <c r="H21" s="15">
        <f xml:space="preserve"> SUMIFS( 'INPUTS│Wholesale Totex'!H$9:H$43, 'INPUTS│Wholesale Totex'!$C$9:$C$43, $C21 )</f>
        <v>92.876000000000005</v>
      </c>
      <c r="I21" s="15">
        <f xml:space="preserve"> SUMIFS( 'INPUTS│Wholesale Totex'!I$9:I$43, 'INPUTS│Wholesale Totex'!$C$9:$C$43, $C21 )</f>
        <v>0</v>
      </c>
    </row>
    <row r="22" spans="2:10" x14ac:dyDescent="0.2">
      <c r="C22" s="8" t="s">
        <v>107</v>
      </c>
      <c r="D22" s="11" t="s">
        <v>126</v>
      </c>
      <c r="E22" s="15">
        <f xml:space="preserve"> SUMIFS( 'INPUTS│Wholesale Totex'!E$9:E$43, 'INPUTS│Wholesale Totex'!$C$9:$C$43, $C22 )</f>
        <v>24.632999999999996</v>
      </c>
      <c r="F22" s="15">
        <f xml:space="preserve"> SUMIFS( 'INPUTS│Wholesale Totex'!F$9:F$43, 'INPUTS│Wholesale Totex'!$C$9:$C$43, $C22 )</f>
        <v>28.802</v>
      </c>
      <c r="G22" s="15">
        <f xml:space="preserve"> SUMIFS( 'INPUTS│Wholesale Totex'!G$9:G$43, 'INPUTS│Wholesale Totex'!$C$9:$C$43, $C22 )</f>
        <v>22.728000000000002</v>
      </c>
      <c r="H22" s="15">
        <f xml:space="preserve"> SUMIFS( 'INPUTS│Wholesale Totex'!H$9:H$43, 'INPUTS│Wholesale Totex'!$C$9:$C$43, $C22 )</f>
        <v>31.155000000000001</v>
      </c>
      <c r="I22" s="15">
        <f xml:space="preserve"> SUMIFS( 'INPUTS│Wholesale Totex'!I$9:I$43, 'INPUTS│Wholesale Totex'!$C$9:$C$43, $C22 )</f>
        <v>0</v>
      </c>
    </row>
    <row r="23" spans="2:10" x14ac:dyDescent="0.2">
      <c r="C23" s="8" t="s">
        <v>111</v>
      </c>
      <c r="D23" s="11" t="s">
        <v>126</v>
      </c>
      <c r="E23" s="15">
        <f xml:space="preserve"> SUMIFS( 'INPUTS│Wholesale Totex'!E$9:E$43, 'INPUTS│Wholesale Totex'!$C$9:$C$43, $C23 )</f>
        <v>143.29000000000002</v>
      </c>
      <c r="F23" s="15">
        <f xml:space="preserve"> SUMIFS( 'INPUTS│Wholesale Totex'!F$9:F$43, 'INPUTS│Wholesale Totex'!$C$9:$C$43, $C23 )</f>
        <v>142.97300000000001</v>
      </c>
      <c r="G23" s="15">
        <f xml:space="preserve"> SUMIFS( 'INPUTS│Wholesale Totex'!G$9:G$43, 'INPUTS│Wholesale Totex'!$C$9:$C$43, $C23 )</f>
        <v>148.36099999999999</v>
      </c>
      <c r="H23" s="15">
        <f xml:space="preserve"> SUMIFS( 'INPUTS│Wholesale Totex'!H$9:H$43, 'INPUTS│Wholesale Totex'!$C$9:$C$43, $C23 )</f>
        <v>154.39400000000001</v>
      </c>
      <c r="I23" s="15">
        <f xml:space="preserve"> SUMIFS( 'INPUTS│Wholesale Totex'!I$9:I$43, 'INPUTS│Wholesale Totex'!$C$9:$C$43, $C23 )</f>
        <v>0</v>
      </c>
    </row>
    <row r="24" spans="2:10" x14ac:dyDescent="0.2">
      <c r="C24" s="8" t="s">
        <v>113</v>
      </c>
      <c r="D24" s="11" t="s">
        <v>126</v>
      </c>
      <c r="E24" s="15">
        <f xml:space="preserve"> SUMIFS( 'INPUTS│Wholesale Totex'!E$9:E$43, 'INPUTS│Wholesale Totex'!$C$9:$C$43, $C24 )</f>
        <v>72.573732321234701</v>
      </c>
      <c r="F24" s="15">
        <f xml:space="preserve"> SUMIFS( 'INPUTS│Wholesale Totex'!F$9:F$43, 'INPUTS│Wholesale Totex'!$C$9:$C$43, $C24 )</f>
        <v>76.023713386785701</v>
      </c>
      <c r="G24" s="15">
        <f xml:space="preserve"> SUMIFS( 'INPUTS│Wholesale Totex'!G$9:G$43, 'INPUTS│Wholesale Totex'!$C$9:$C$43, $C24 )</f>
        <v>81.931403478126597</v>
      </c>
      <c r="H24" s="15">
        <f xml:space="preserve"> SUMIFS( 'INPUTS│Wholesale Totex'!H$9:H$43, 'INPUTS│Wholesale Totex'!$C$9:$C$43, $C24 )</f>
        <v>80.834999999999994</v>
      </c>
      <c r="I24" s="15">
        <f xml:space="preserve"> SUMIFS( 'INPUTS│Wholesale Totex'!I$9:I$43, 'INPUTS│Wholesale Totex'!$C$9:$C$43, $C24 )</f>
        <v>0</v>
      </c>
    </row>
    <row r="25" spans="2:10" x14ac:dyDescent="0.2">
      <c r="C25" s="8" t="s">
        <v>109</v>
      </c>
      <c r="D25" s="11" t="s">
        <v>126</v>
      </c>
      <c r="E25" s="15">
        <f xml:space="preserve"> SUMIFS( 'INPUTS│Wholesale Totex'!E$9:E$43, 'INPUTS│Wholesale Totex'!$C$9:$C$43, $C25 )</f>
        <v>38.804999999999993</v>
      </c>
      <c r="F25" s="15">
        <f xml:space="preserve"> SUMIFS( 'INPUTS│Wholesale Totex'!F$9:F$43, 'INPUTS│Wholesale Totex'!$C$9:$C$43, $C25 )</f>
        <v>42.835999999999999</v>
      </c>
      <c r="G25" s="15">
        <f xml:space="preserve"> SUMIFS( 'INPUTS│Wholesale Totex'!G$9:G$43, 'INPUTS│Wholesale Totex'!$C$9:$C$43, $C25 )</f>
        <v>44.158999999999999</v>
      </c>
      <c r="H25" s="15">
        <f xml:space="preserve"> SUMIFS( 'INPUTS│Wholesale Totex'!H$9:H$43, 'INPUTS│Wholesale Totex'!$C$9:$C$43, $C25 )</f>
        <v>45.481000000000002</v>
      </c>
      <c r="I25" s="15">
        <f xml:space="preserve"> SUMIFS( 'INPUTS│Wholesale Totex'!I$9:I$43, 'INPUTS│Wholesale Totex'!$C$9:$C$43, $C25 )</f>
        <v>0</v>
      </c>
    </row>
    <row r="27" spans="2:10" x14ac:dyDescent="0.2">
      <c r="C27" s="13" t="s">
        <v>257</v>
      </c>
      <c r="D27" s="14" t="s">
        <v>126</v>
      </c>
      <c r="E27" s="15">
        <f>SUM(E9:E25)</f>
        <v>7499.305616476986</v>
      </c>
      <c r="F27" s="15">
        <f>SUM(F9:F25)</f>
        <v>7818.5478963871547</v>
      </c>
      <c r="G27" s="15">
        <f>SUM(G9:G25)</f>
        <v>8144.6968261504799</v>
      </c>
      <c r="H27" s="15">
        <f>SUM(H9:H25)</f>
        <v>8438.2290121688675</v>
      </c>
      <c r="I27" s="15">
        <f>SUM(I9:I25)</f>
        <v>0</v>
      </c>
    </row>
    <row r="29" spans="2:10" ht="13.5" x14ac:dyDescent="0.25">
      <c r="B29" s="36" t="s">
        <v>471</v>
      </c>
      <c r="C29" s="36"/>
      <c r="D29" s="37"/>
      <c r="E29" s="36"/>
      <c r="F29" s="36"/>
      <c r="G29" s="36"/>
      <c r="H29" s="36"/>
      <c r="I29" s="36"/>
      <c r="J29" s="36"/>
    </row>
    <row r="31" spans="2:10" x14ac:dyDescent="0.2">
      <c r="C31" s="8" t="s">
        <v>79</v>
      </c>
      <c r="D31" s="11" t="s">
        <v>126</v>
      </c>
      <c r="E31" s="15">
        <f xml:space="preserve"> SUMIFS( 'INPUTS│Wholesale Totex'!E$89:E$123, 'INPUTS│Wholesale Totex'!$C$89:$C$123, $C31 )</f>
        <v>780.02696286598302</v>
      </c>
      <c r="F31" s="15">
        <f xml:space="preserve"> SUMIFS( 'INPUTS│Wholesale Totex'!F$89:F$123, 'INPUTS│Wholesale Totex'!$C$89:$C$123, $C31 )</f>
        <v>950.77700000000004</v>
      </c>
      <c r="G31" s="15">
        <f xml:space="preserve"> SUMIFS( 'INPUTS│Wholesale Totex'!G$89:G$123, 'INPUTS│Wholesale Totex'!$C$89:$C$123, $C31 )</f>
        <v>830.659731980017</v>
      </c>
      <c r="H31" s="15">
        <f xml:space="preserve"> SUMIFS( 'INPUTS│Wholesale Totex'!H$89:H$123, 'INPUTS│Wholesale Totex'!$C$89:$C$123, $C31 )</f>
        <v>806.57648454496393</v>
      </c>
      <c r="I31" s="15">
        <f xml:space="preserve"> SUMIFS( 'INPUTS│Wholesale Totex'!I$89:I$123, 'INPUTS│Wholesale Totex'!$C$89:$C$123, $C31 )</f>
        <v>0</v>
      </c>
    </row>
    <row r="32" spans="2:10" x14ac:dyDescent="0.2">
      <c r="C32" s="8" t="s">
        <v>81</v>
      </c>
      <c r="D32" s="11" t="s">
        <v>126</v>
      </c>
      <c r="E32" s="15">
        <f xml:space="preserve"> SUMIFS( 'INPUTS│Wholesale Totex'!E$89:E$123, 'INPUTS│Wholesale Totex'!$C$89:$C$123, $C32 )</f>
        <v>527.12000000000012</v>
      </c>
      <c r="F32" s="15">
        <f xml:space="preserve"> SUMIFS( 'INPUTS│Wholesale Totex'!F$89:F$123, 'INPUTS│Wholesale Totex'!$C$89:$C$123, $C32 )</f>
        <v>520.80099999999993</v>
      </c>
      <c r="G32" s="15">
        <f xml:space="preserve"> SUMIFS( 'INPUTS│Wholesale Totex'!G$89:G$123, 'INPUTS│Wholesale Totex'!$C$89:$C$123, $C32 )</f>
        <v>512.28300000000002</v>
      </c>
      <c r="H32" s="15">
        <f xml:space="preserve"> SUMIFS( 'INPUTS│Wholesale Totex'!H$89:H$123, 'INPUTS│Wholesale Totex'!$C$89:$C$123, $C32 )</f>
        <v>500.01300000000003</v>
      </c>
      <c r="I32" s="15">
        <f xml:space="preserve"> SUMIFS( 'INPUTS│Wholesale Totex'!I$89:I$123, 'INPUTS│Wholesale Totex'!$C$89:$C$123, $C32 )</f>
        <v>0</v>
      </c>
    </row>
    <row r="33" spans="3:9" x14ac:dyDescent="0.2">
      <c r="C33" s="8" t="s">
        <v>84</v>
      </c>
      <c r="D33" s="11" t="s">
        <v>126</v>
      </c>
      <c r="E33" s="15">
        <f xml:space="preserve"> SUMIFS( 'INPUTS│Wholesale Totex'!E$89:E$123, 'INPUTS│Wholesale Totex'!$C$89:$C$123, $C33 )</f>
        <v>20.380999999999993</v>
      </c>
      <c r="F33" s="15">
        <f xml:space="preserve"> SUMIFS( 'INPUTS│Wholesale Totex'!F$89:F$123, 'INPUTS│Wholesale Totex'!$C$89:$C$123, $C33 )</f>
        <v>24.75</v>
      </c>
      <c r="G33" s="15">
        <f xml:space="preserve"> SUMIFS( 'INPUTS│Wholesale Totex'!G$89:G$123, 'INPUTS│Wholesale Totex'!$C$89:$C$123, $C33 )</f>
        <v>21.308</v>
      </c>
      <c r="H33" s="15">
        <f xml:space="preserve"> SUMIFS( 'INPUTS│Wholesale Totex'!H$89:H$123, 'INPUTS│Wholesale Totex'!$C$89:$C$123, $C33 )</f>
        <v>22.007999999999999</v>
      </c>
      <c r="I33" s="15">
        <f xml:space="preserve"> SUMIFS( 'INPUTS│Wholesale Totex'!I$89:I$123, 'INPUTS│Wholesale Totex'!$C$89:$C$123, $C33 )</f>
        <v>0</v>
      </c>
    </row>
    <row r="34" spans="3:9" x14ac:dyDescent="0.2">
      <c r="C34" s="8" t="s">
        <v>86</v>
      </c>
      <c r="D34" s="11" t="s">
        <v>126</v>
      </c>
      <c r="E34" s="15">
        <f xml:space="preserve"> SUMIFS( 'INPUTS│Wholesale Totex'!E$89:E$123, 'INPUTS│Wholesale Totex'!$C$89:$C$123, $C34 )</f>
        <v>462.20599999999996</v>
      </c>
      <c r="F34" s="15">
        <f xml:space="preserve"> SUMIFS( 'INPUTS│Wholesale Totex'!F$89:F$123, 'INPUTS│Wholesale Totex'!$C$89:$C$123, $C34 )</f>
        <v>478.52700000000004</v>
      </c>
      <c r="G34" s="15">
        <f xml:space="preserve"> SUMIFS( 'INPUTS│Wholesale Totex'!G$89:G$123, 'INPUTS│Wholesale Totex'!$C$89:$C$123, $C34 )</f>
        <v>493.62299999999993</v>
      </c>
      <c r="H34" s="15">
        <f xml:space="preserve"> SUMIFS( 'INPUTS│Wholesale Totex'!H$89:H$123, 'INPUTS│Wholesale Totex'!$C$89:$C$123, $C34 )</f>
        <v>453.60900000000004</v>
      </c>
      <c r="I34" s="15">
        <f xml:space="preserve"> SUMIFS( 'INPUTS│Wholesale Totex'!I$89:I$123, 'INPUTS│Wholesale Totex'!$C$89:$C$123, $C34 )</f>
        <v>0</v>
      </c>
    </row>
    <row r="35" spans="3:9" x14ac:dyDescent="0.2">
      <c r="C35" s="8" t="s">
        <v>88</v>
      </c>
      <c r="D35" s="11" t="s">
        <v>126</v>
      </c>
      <c r="E35" s="15">
        <f xml:space="preserve"> SUMIFS( 'INPUTS│Wholesale Totex'!E$89:E$123, 'INPUTS│Wholesale Totex'!$C$89:$C$123, $C35 )</f>
        <v>982.63600000000019</v>
      </c>
      <c r="F35" s="15">
        <f xml:space="preserve"> SUMIFS( 'INPUTS│Wholesale Totex'!F$89:F$123, 'INPUTS│Wholesale Totex'!$C$89:$C$123, $C35 )</f>
        <v>1121.327</v>
      </c>
      <c r="G35" s="15">
        <f xml:space="preserve"> SUMIFS( 'INPUTS│Wholesale Totex'!G$89:G$123, 'INPUTS│Wholesale Totex'!$C$89:$C$123, $C35 )</f>
        <v>1175.6479999999999</v>
      </c>
      <c r="H35" s="15">
        <f xml:space="preserve"> SUMIFS( 'INPUTS│Wholesale Totex'!H$89:H$123, 'INPUTS│Wholesale Totex'!$C$89:$C$123, $C35 )</f>
        <v>1159.6469999999999</v>
      </c>
      <c r="I35" s="15">
        <f xml:space="preserve"> SUMIFS( 'INPUTS│Wholesale Totex'!I$89:I$123, 'INPUTS│Wholesale Totex'!$C$89:$C$123, $C35 )</f>
        <v>0</v>
      </c>
    </row>
    <row r="36" spans="3:9" x14ac:dyDescent="0.2">
      <c r="C36" s="8" t="s">
        <v>90</v>
      </c>
      <c r="D36" s="11" t="s">
        <v>126</v>
      </c>
      <c r="E36" s="15">
        <f xml:space="preserve"> SUMIFS( 'INPUTS│Wholesale Totex'!E$89:E$123, 'INPUTS│Wholesale Totex'!$C$89:$C$123, $C36 )</f>
        <v>343.42699999999991</v>
      </c>
      <c r="F36" s="15">
        <f xml:space="preserve"> SUMIFS( 'INPUTS│Wholesale Totex'!F$89:F$123, 'INPUTS│Wholesale Totex'!$C$89:$C$123, $C36 )</f>
        <v>378.70600000000002</v>
      </c>
      <c r="G36" s="15">
        <f xml:space="preserve"> SUMIFS( 'INPUTS│Wholesale Totex'!G$89:G$123, 'INPUTS│Wholesale Totex'!$C$89:$C$123, $C36 )</f>
        <v>348.07900000000001</v>
      </c>
      <c r="H36" s="15">
        <f xml:space="preserve"> SUMIFS( 'INPUTS│Wholesale Totex'!H$89:H$123, 'INPUTS│Wholesale Totex'!$C$89:$C$123, $C36 )</f>
        <v>313.06299999999999</v>
      </c>
      <c r="I36" s="15">
        <f xml:space="preserve"> SUMIFS( 'INPUTS│Wholesale Totex'!I$89:I$123, 'INPUTS│Wholesale Totex'!$C$89:$C$123, $C36 )</f>
        <v>0</v>
      </c>
    </row>
    <row r="37" spans="3:9" x14ac:dyDescent="0.2">
      <c r="C37" s="8" t="s">
        <v>93</v>
      </c>
      <c r="D37" s="11" t="s">
        <v>126</v>
      </c>
      <c r="E37" s="15">
        <f xml:space="preserve"> SUMIFS( 'INPUTS│Wholesale Totex'!E$89:E$123, 'INPUTS│Wholesale Totex'!$C$89:$C$123, $C37 )</f>
        <v>520.32700000000011</v>
      </c>
      <c r="F37" s="15">
        <f xml:space="preserve"> SUMIFS( 'INPUTS│Wholesale Totex'!F$89:F$123, 'INPUTS│Wholesale Totex'!$C$89:$C$123, $C37 )</f>
        <v>568.5</v>
      </c>
      <c r="G37" s="15">
        <f xml:space="preserve"> SUMIFS( 'INPUTS│Wholesale Totex'!G$89:G$123, 'INPUTS│Wholesale Totex'!$C$89:$C$123, $C37 )</f>
        <v>558.45000000000005</v>
      </c>
      <c r="H37" s="15">
        <f xml:space="preserve"> SUMIFS( 'INPUTS│Wholesale Totex'!H$89:H$123, 'INPUTS│Wholesale Totex'!$C$89:$C$123, $C37 )</f>
        <v>518.20299999999997</v>
      </c>
      <c r="I37" s="15">
        <f xml:space="preserve"> SUMIFS( 'INPUTS│Wholesale Totex'!I$89:I$123, 'INPUTS│Wholesale Totex'!$C$89:$C$123, $C37 )</f>
        <v>0</v>
      </c>
    </row>
    <row r="38" spans="3:9" x14ac:dyDescent="0.2">
      <c r="C38" s="8" t="s">
        <v>95</v>
      </c>
      <c r="D38" s="11" t="s">
        <v>126</v>
      </c>
      <c r="E38" s="15">
        <f xml:space="preserve"> SUMIFS( 'INPUTS│Wholesale Totex'!E$89:E$123, 'INPUTS│Wholesale Totex'!$C$89:$C$123, $C38 )</f>
        <v>1632.9459999999999</v>
      </c>
      <c r="F38" s="15">
        <f xml:space="preserve"> SUMIFS( 'INPUTS│Wholesale Totex'!F$89:F$123, 'INPUTS│Wholesale Totex'!$C$89:$C$123, $C38 )</f>
        <v>1519.3300000000002</v>
      </c>
      <c r="G38" s="15">
        <f xml:space="preserve"> SUMIFS( 'INPUTS│Wholesale Totex'!G$89:G$123, 'INPUTS│Wholesale Totex'!$C$89:$C$123, $C38 )</f>
        <v>1534.7890000000002</v>
      </c>
      <c r="H38" s="15">
        <f xml:space="preserve"> SUMIFS( 'INPUTS│Wholesale Totex'!H$89:H$123, 'INPUTS│Wholesale Totex'!$C$89:$C$123, $C38 )</f>
        <v>1431.4749999999999</v>
      </c>
      <c r="I38" s="15">
        <f xml:space="preserve"> SUMIFS( 'INPUTS│Wholesale Totex'!I$89:I$123, 'INPUTS│Wholesale Totex'!$C$89:$C$123, $C38 )</f>
        <v>0</v>
      </c>
    </row>
    <row r="39" spans="3:9" x14ac:dyDescent="0.2">
      <c r="C39" s="8" t="s">
        <v>97</v>
      </c>
      <c r="D39" s="11" t="s">
        <v>126</v>
      </c>
      <c r="E39" s="15">
        <f xml:space="preserve"> SUMIFS( 'INPUTS│Wholesale Totex'!E$89:E$123, 'INPUTS│Wholesale Totex'!$C$89:$C$123, $C39 )</f>
        <v>1001.9000000000003</v>
      </c>
      <c r="F39" s="15">
        <f xml:space="preserve"> SUMIFS( 'INPUTS│Wholesale Totex'!F$89:F$123, 'INPUTS│Wholesale Totex'!$C$89:$C$123, $C39 )</f>
        <v>1043.5999999999999</v>
      </c>
      <c r="G39" s="15">
        <f xml:space="preserve"> SUMIFS( 'INPUTS│Wholesale Totex'!G$89:G$123, 'INPUTS│Wholesale Totex'!$C$89:$C$123, $C39 )</f>
        <v>1097.9000000000001</v>
      </c>
      <c r="H39" s="15">
        <f xml:space="preserve"> SUMIFS( 'INPUTS│Wholesale Totex'!H$89:H$123, 'INPUTS│Wholesale Totex'!$C$89:$C$123, $C39 )</f>
        <v>1136.4000000000001</v>
      </c>
      <c r="I39" s="15">
        <f xml:space="preserve"> SUMIFS( 'INPUTS│Wholesale Totex'!I$89:I$123, 'INPUTS│Wholesale Totex'!$C$89:$C$123, $C39 )</f>
        <v>0</v>
      </c>
    </row>
    <row r="40" spans="3:9" x14ac:dyDescent="0.2">
      <c r="C40" s="8" t="s">
        <v>99</v>
      </c>
      <c r="D40" s="11" t="s">
        <v>126</v>
      </c>
      <c r="E40" s="15">
        <f xml:space="preserve"> SUMIFS( 'INPUTS│Wholesale Totex'!E$89:E$123, 'INPUTS│Wholesale Totex'!$C$89:$C$123, $C40 )</f>
        <v>336.708895594659</v>
      </c>
      <c r="F40" s="15">
        <f xml:space="preserve"> SUMIFS( 'INPUTS│Wholesale Totex'!F$89:F$123, 'INPUTS│Wholesale Totex'!$C$89:$C$123, $C40 )</f>
        <v>355.9</v>
      </c>
      <c r="G40" s="15">
        <f xml:space="preserve"> SUMIFS( 'INPUTS│Wholesale Totex'!G$89:G$123, 'INPUTS│Wholesale Totex'!$C$89:$C$123, $C40 )</f>
        <v>376.061303617661</v>
      </c>
      <c r="H40" s="15">
        <f xml:space="preserve"> SUMIFS( 'INPUTS│Wholesale Totex'!H$89:H$123, 'INPUTS│Wholesale Totex'!$C$89:$C$123, $C40 )</f>
        <v>356.9</v>
      </c>
      <c r="I40" s="15">
        <f xml:space="preserve"> SUMIFS( 'INPUTS│Wholesale Totex'!I$89:I$123, 'INPUTS│Wholesale Totex'!$C$89:$C$123, $C40 )</f>
        <v>0</v>
      </c>
    </row>
    <row r="41" spans="3:9" x14ac:dyDescent="0.2">
      <c r="C41" s="8" t="s">
        <v>101</v>
      </c>
      <c r="D41" s="11" t="s">
        <v>126</v>
      </c>
      <c r="E41" s="15">
        <f xml:space="preserve"> SUMIFS( 'INPUTS│Wholesale Totex'!E$89:E$123, 'INPUTS│Wholesale Totex'!$C$89:$C$123, $C41 )</f>
        <v>720.58</v>
      </c>
      <c r="F41" s="15">
        <f xml:space="preserve"> SUMIFS( 'INPUTS│Wholesale Totex'!F$89:F$123, 'INPUTS│Wholesale Totex'!$C$89:$C$123, $C41 )</f>
        <v>698.92000000000007</v>
      </c>
      <c r="G41" s="15">
        <f xml:space="preserve"> SUMIFS( 'INPUTS│Wholesale Totex'!G$89:G$123, 'INPUTS│Wholesale Totex'!$C$89:$C$123, $C41 )</f>
        <v>665</v>
      </c>
      <c r="H41" s="15">
        <f xml:space="preserve"> SUMIFS( 'INPUTS│Wholesale Totex'!H$89:H$123, 'INPUTS│Wholesale Totex'!$C$89:$C$123, $C41 )</f>
        <v>665.55</v>
      </c>
      <c r="I41" s="15">
        <f xml:space="preserve"> SUMIFS( 'INPUTS│Wholesale Totex'!I$89:I$123, 'INPUTS│Wholesale Totex'!$C$89:$C$123, $C41 )</f>
        <v>0</v>
      </c>
    </row>
    <row r="42" spans="3:9" x14ac:dyDescent="0.2">
      <c r="C42" s="8" t="s">
        <v>103</v>
      </c>
      <c r="D42" s="11" t="s">
        <v>126</v>
      </c>
      <c r="E42" s="15">
        <f xml:space="preserve"> SUMIFS( 'INPUTS│Wholesale Totex'!E$89:E$123, 'INPUTS│Wholesale Totex'!$C$89:$C$123, $C42 )</f>
        <v>241.79999999999995</v>
      </c>
      <c r="F42" s="15">
        <f xml:space="preserve"> SUMIFS( 'INPUTS│Wholesale Totex'!F$89:F$123, 'INPUTS│Wholesale Totex'!$C$89:$C$123, $C42 )</f>
        <v>244.3</v>
      </c>
      <c r="G42" s="15">
        <f xml:space="preserve"> SUMIFS( 'INPUTS│Wholesale Totex'!G$89:G$123, 'INPUTS│Wholesale Totex'!$C$89:$C$123, $C42 )</f>
        <v>212.3</v>
      </c>
      <c r="H42" s="15">
        <f xml:space="preserve"> SUMIFS( 'INPUTS│Wholesale Totex'!H$89:H$123, 'INPUTS│Wholesale Totex'!$C$89:$C$123, $C42 )</f>
        <v>189.554675</v>
      </c>
      <c r="I42" s="15">
        <f xml:space="preserve"> SUMIFS( 'INPUTS│Wholesale Totex'!I$89:I$123, 'INPUTS│Wholesale Totex'!$C$89:$C$123, $C42 )</f>
        <v>0</v>
      </c>
    </row>
    <row r="43" spans="3:9" x14ac:dyDescent="0.2">
      <c r="C43" s="8" t="s">
        <v>105</v>
      </c>
      <c r="D43" s="11" t="s">
        <v>126</v>
      </c>
      <c r="E43" s="15">
        <f xml:space="preserve"> SUMIFS( 'INPUTS│Wholesale Totex'!E$89:E$123, 'INPUTS│Wholesale Totex'!$C$89:$C$123, $C43 )</f>
        <v>86.699999999999989</v>
      </c>
      <c r="F43" s="15">
        <f xml:space="preserve"> SUMIFS( 'INPUTS│Wholesale Totex'!F$89:F$123, 'INPUTS│Wholesale Totex'!$C$89:$C$123, $C43 )</f>
        <v>83.9</v>
      </c>
      <c r="G43" s="15">
        <f xml:space="preserve"> SUMIFS( 'INPUTS│Wholesale Totex'!G$89:G$123, 'INPUTS│Wholesale Totex'!$C$89:$C$123, $C43 )</f>
        <v>83.7</v>
      </c>
      <c r="H43" s="15">
        <f xml:space="preserve"> SUMIFS( 'INPUTS│Wholesale Totex'!H$89:H$123, 'INPUTS│Wholesale Totex'!$C$89:$C$123, $C43 )</f>
        <v>83.064999999999998</v>
      </c>
      <c r="I43" s="15">
        <f xml:space="preserve"> SUMIFS( 'INPUTS│Wholesale Totex'!I$89:I$123, 'INPUTS│Wholesale Totex'!$C$89:$C$123, $C43 )</f>
        <v>0</v>
      </c>
    </row>
    <row r="44" spans="3:9" x14ac:dyDescent="0.2">
      <c r="C44" s="8" t="s">
        <v>107</v>
      </c>
      <c r="D44" s="11" t="s">
        <v>126</v>
      </c>
      <c r="E44" s="15">
        <f xml:space="preserve"> SUMIFS( 'INPUTS│Wholesale Totex'!E$89:E$123, 'INPUTS│Wholesale Totex'!$C$89:$C$123, $C44 )</f>
        <v>26.426999999999992</v>
      </c>
      <c r="F44" s="15">
        <f xml:space="preserve"> SUMIFS( 'INPUTS│Wholesale Totex'!F$89:F$123, 'INPUTS│Wholesale Totex'!$C$89:$C$123, $C44 )</f>
        <v>28.693000000000001</v>
      </c>
      <c r="G44" s="15">
        <f xml:space="preserve"> SUMIFS( 'INPUTS│Wholesale Totex'!G$89:G$123, 'INPUTS│Wholesale Totex'!$C$89:$C$123, $C44 )</f>
        <v>29.108000000000001</v>
      </c>
      <c r="H44" s="15">
        <f xml:space="preserve"> SUMIFS( 'INPUTS│Wholesale Totex'!H$89:H$123, 'INPUTS│Wholesale Totex'!$C$89:$C$123, $C44 )</f>
        <v>27.38</v>
      </c>
      <c r="I44" s="15">
        <f xml:space="preserve"> SUMIFS( 'INPUTS│Wholesale Totex'!I$89:I$123, 'INPUTS│Wholesale Totex'!$C$89:$C$123, $C44 )</f>
        <v>0</v>
      </c>
    </row>
    <row r="45" spans="3:9" x14ac:dyDescent="0.2">
      <c r="C45" s="8" t="s">
        <v>111</v>
      </c>
      <c r="D45" s="11" t="s">
        <v>126</v>
      </c>
      <c r="E45" s="15">
        <f xml:space="preserve"> SUMIFS( 'INPUTS│Wholesale Totex'!E$89:E$123, 'INPUTS│Wholesale Totex'!$C$89:$C$123, $C45 )</f>
        <v>147.90000000000003</v>
      </c>
      <c r="F45" s="15">
        <f xml:space="preserve"> SUMIFS( 'INPUTS│Wholesale Totex'!F$89:F$123, 'INPUTS│Wholesale Totex'!$C$89:$C$123, $C45 )</f>
        <v>155.9</v>
      </c>
      <c r="G45" s="15">
        <f xml:space="preserve"> SUMIFS( 'INPUTS│Wholesale Totex'!G$89:G$123, 'INPUTS│Wholesale Totex'!$C$89:$C$123, $C45 )</f>
        <v>165.5</v>
      </c>
      <c r="H45" s="15">
        <f xml:space="preserve"> SUMIFS( 'INPUTS│Wholesale Totex'!H$89:H$123, 'INPUTS│Wholesale Totex'!$C$89:$C$123, $C45 )</f>
        <v>159</v>
      </c>
      <c r="I45" s="15">
        <f xml:space="preserve"> SUMIFS( 'INPUTS│Wholesale Totex'!I$89:I$123, 'INPUTS│Wholesale Totex'!$C$89:$C$123, $C45 )</f>
        <v>0</v>
      </c>
    </row>
    <row r="46" spans="3:9" x14ac:dyDescent="0.2">
      <c r="C46" s="8" t="s">
        <v>113</v>
      </c>
      <c r="D46" s="11" t="s">
        <v>126</v>
      </c>
      <c r="E46" s="15">
        <f xml:space="preserve"> SUMIFS( 'INPUTS│Wholesale Totex'!E$89:E$123, 'INPUTS│Wholesale Totex'!$C$89:$C$123, $C46 )</f>
        <v>76.771426398023607</v>
      </c>
      <c r="F46" s="15">
        <f xml:space="preserve"> SUMIFS( 'INPUTS│Wholesale Totex'!F$89:F$123, 'INPUTS│Wholesale Totex'!$C$89:$C$123, $C46 )</f>
        <v>77.522471684498299</v>
      </c>
      <c r="G46" s="15">
        <f xml:space="preserve"> SUMIFS( 'INPUTS│Wholesale Totex'!G$89:G$123, 'INPUTS│Wholesale Totex'!$C$89:$C$123, $C46 )</f>
        <v>77.804401979524101</v>
      </c>
      <c r="H46" s="15">
        <f xml:space="preserve"> SUMIFS( 'INPUTS│Wholesale Totex'!H$89:H$123, 'INPUTS│Wholesale Totex'!$C$89:$C$123, $C46 )</f>
        <v>77.947000000000003</v>
      </c>
      <c r="I46" s="15">
        <f xml:space="preserve"> SUMIFS( 'INPUTS│Wholesale Totex'!I$89:I$123, 'INPUTS│Wholesale Totex'!$C$89:$C$123, $C46 )</f>
        <v>0</v>
      </c>
    </row>
    <row r="47" spans="3:9" x14ac:dyDescent="0.2">
      <c r="C47" s="8" t="s">
        <v>109</v>
      </c>
      <c r="D47" s="11" t="s">
        <v>126</v>
      </c>
      <c r="E47" s="15">
        <f xml:space="preserve"> SUMIFS( 'INPUTS│Wholesale Totex'!E$89:E$123, 'INPUTS│Wholesale Totex'!$C$89:$C$123, $C47 )</f>
        <v>41.113</v>
      </c>
      <c r="F47" s="15">
        <f xml:space="preserve"> SUMIFS( 'INPUTS│Wholesale Totex'!F$89:F$123, 'INPUTS│Wholesale Totex'!$C$89:$C$123, $C47 )</f>
        <v>45.348999999999997</v>
      </c>
      <c r="G47" s="15">
        <f xml:space="preserve"> SUMIFS( 'INPUTS│Wholesale Totex'!G$89:G$123, 'INPUTS│Wholesale Totex'!$C$89:$C$123, $C47 )</f>
        <v>47.671999999999997</v>
      </c>
      <c r="H47" s="15">
        <f xml:space="preserve"> SUMIFS( 'INPUTS│Wholesale Totex'!H$89:H$123, 'INPUTS│Wholesale Totex'!$C$89:$C$123, $C47 )</f>
        <v>44.029000000000003</v>
      </c>
      <c r="I47" s="15">
        <f xml:space="preserve"> SUMIFS( 'INPUTS│Wholesale Totex'!I$89:I$123, 'INPUTS│Wholesale Totex'!$C$89:$C$123, $C47 )</f>
        <v>0</v>
      </c>
    </row>
    <row r="49" spans="2:10" x14ac:dyDescent="0.2">
      <c r="C49" s="13" t="s">
        <v>257</v>
      </c>
      <c r="D49" s="14" t="s">
        <v>126</v>
      </c>
      <c r="E49" s="15">
        <f>SUM(E31:E47)</f>
        <v>7948.9702848586658</v>
      </c>
      <c r="F49" s="15">
        <f>SUM(F31:F47)</f>
        <v>8296.8024716844975</v>
      </c>
      <c r="G49" s="15">
        <f>SUM(G31:G47)</f>
        <v>8229.8854375772025</v>
      </c>
      <c r="H49" s="15">
        <f>SUM(H31:H47)</f>
        <v>7944.4201595449649</v>
      </c>
      <c r="I49" s="15">
        <f>SUM(I31:I47)</f>
        <v>0</v>
      </c>
    </row>
    <row r="51" spans="2:10" ht="13.5" x14ac:dyDescent="0.25">
      <c r="B51" s="36" t="s">
        <v>472</v>
      </c>
      <c r="C51" s="36"/>
      <c r="D51" s="37"/>
      <c r="E51" s="36"/>
      <c r="F51" s="36"/>
      <c r="G51" s="36"/>
      <c r="H51" s="36"/>
      <c r="I51" s="36"/>
      <c r="J51" s="36"/>
    </row>
    <row r="53" spans="2:10" x14ac:dyDescent="0.2">
      <c r="C53" s="8" t="s">
        <v>79</v>
      </c>
      <c r="D53" s="11" t="s">
        <v>126</v>
      </c>
      <c r="E53" s="15">
        <f t="shared" ref="E53:I62" si="0" xml:space="preserve"> E9 - E31</f>
        <v>-60.717333836695389</v>
      </c>
      <c r="F53" s="15">
        <f t="shared" si="0"/>
        <v>-201.9733300180153</v>
      </c>
      <c r="G53" s="15">
        <f t="shared" si="0"/>
        <v>-28.639453479432973</v>
      </c>
      <c r="H53" s="15">
        <f t="shared" si="0"/>
        <v>-32.73966837476587</v>
      </c>
      <c r="I53" s="15">
        <f t="shared" si="0"/>
        <v>0</v>
      </c>
    </row>
    <row r="54" spans="2:10" x14ac:dyDescent="0.2">
      <c r="C54" s="8" t="s">
        <v>81</v>
      </c>
      <c r="D54" s="11" t="s">
        <v>126</v>
      </c>
      <c r="E54" s="15">
        <f t="shared" si="0"/>
        <v>-96.226000000000113</v>
      </c>
      <c r="F54" s="15">
        <f t="shared" si="0"/>
        <v>18.832000000000107</v>
      </c>
      <c r="G54" s="15">
        <f t="shared" si="0"/>
        <v>62.84699999999998</v>
      </c>
      <c r="H54" s="15">
        <f t="shared" si="0"/>
        <v>102.81100000000004</v>
      </c>
      <c r="I54" s="15">
        <f t="shared" si="0"/>
        <v>0</v>
      </c>
    </row>
    <row r="55" spans="2:10" x14ac:dyDescent="0.2">
      <c r="C55" s="8" t="s">
        <v>84</v>
      </c>
      <c r="D55" s="11" t="s">
        <v>126</v>
      </c>
      <c r="E55" s="15">
        <f t="shared" si="0"/>
        <v>-4.9649999999999892</v>
      </c>
      <c r="F55" s="15">
        <f t="shared" si="0"/>
        <v>-5.370000000000001</v>
      </c>
      <c r="G55" s="15">
        <f t="shared" si="0"/>
        <v>3.1799999999999997</v>
      </c>
      <c r="H55" s="15">
        <f t="shared" si="0"/>
        <v>4.472999999999999</v>
      </c>
      <c r="I55" s="15">
        <f t="shared" si="0"/>
        <v>0</v>
      </c>
    </row>
    <row r="56" spans="2:10" x14ac:dyDescent="0.2">
      <c r="C56" s="8" t="s">
        <v>86</v>
      </c>
      <c r="D56" s="11" t="s">
        <v>126</v>
      </c>
      <c r="E56" s="15">
        <f t="shared" si="0"/>
        <v>-52.058999999999912</v>
      </c>
      <c r="F56" s="15">
        <f t="shared" si="0"/>
        <v>-82.418000000000006</v>
      </c>
      <c r="G56" s="15">
        <f t="shared" si="0"/>
        <v>-50.184999999999945</v>
      </c>
      <c r="H56" s="15">
        <f t="shared" si="0"/>
        <v>13.916999999999916</v>
      </c>
      <c r="I56" s="15">
        <f t="shared" si="0"/>
        <v>0</v>
      </c>
    </row>
    <row r="57" spans="2:10" x14ac:dyDescent="0.2">
      <c r="C57" s="8" t="s">
        <v>88</v>
      </c>
      <c r="D57" s="11" t="s">
        <v>126</v>
      </c>
      <c r="E57" s="15">
        <f t="shared" si="0"/>
        <v>-18.626000000000204</v>
      </c>
      <c r="F57" s="15">
        <f t="shared" si="0"/>
        <v>-135.83699999999999</v>
      </c>
      <c r="G57" s="15">
        <f t="shared" si="0"/>
        <v>-100.11699999999996</v>
      </c>
      <c r="H57" s="15">
        <f t="shared" si="0"/>
        <v>40.600000000000136</v>
      </c>
      <c r="I57" s="15">
        <f t="shared" si="0"/>
        <v>0</v>
      </c>
    </row>
    <row r="58" spans="2:10" x14ac:dyDescent="0.2">
      <c r="C58" s="8" t="s">
        <v>90</v>
      </c>
      <c r="D58" s="11" t="s">
        <v>126</v>
      </c>
      <c r="E58" s="15">
        <f t="shared" si="0"/>
        <v>-72.586999999999932</v>
      </c>
      <c r="F58" s="15">
        <f t="shared" si="0"/>
        <v>-61.18100000000004</v>
      </c>
      <c r="G58" s="15">
        <f t="shared" si="0"/>
        <v>-50.406999999999982</v>
      </c>
      <c r="H58" s="15">
        <f t="shared" si="0"/>
        <v>-42.031999999999982</v>
      </c>
      <c r="I58" s="15">
        <f t="shared" si="0"/>
        <v>0</v>
      </c>
    </row>
    <row r="59" spans="2:10" x14ac:dyDescent="0.2">
      <c r="C59" s="8" t="s">
        <v>93</v>
      </c>
      <c r="D59" s="11" t="s">
        <v>126</v>
      </c>
      <c r="E59" s="15">
        <f t="shared" si="0"/>
        <v>-106.84800000000013</v>
      </c>
      <c r="F59" s="15">
        <f t="shared" si="0"/>
        <v>-98.328999999999951</v>
      </c>
      <c r="G59" s="15">
        <f t="shared" si="0"/>
        <v>-8.4710000000000036</v>
      </c>
      <c r="H59" s="15">
        <f t="shared" si="0"/>
        <v>47.128000000000043</v>
      </c>
      <c r="I59" s="15">
        <f t="shared" si="0"/>
        <v>0</v>
      </c>
    </row>
    <row r="60" spans="2:10" x14ac:dyDescent="0.2">
      <c r="C60" s="8" t="s">
        <v>95</v>
      </c>
      <c r="D60" s="11" t="s">
        <v>126</v>
      </c>
      <c r="E60" s="15">
        <f t="shared" si="0"/>
        <v>61.275016093367185</v>
      </c>
      <c r="F60" s="15">
        <f t="shared" si="0"/>
        <v>73.353584809830409</v>
      </c>
      <c r="G60" s="15">
        <f t="shared" si="0"/>
        <v>61.835039452180354</v>
      </c>
      <c r="H60" s="15">
        <f t="shared" si="0"/>
        <v>191.98694910942777</v>
      </c>
      <c r="I60" s="15">
        <f t="shared" si="0"/>
        <v>0</v>
      </c>
    </row>
    <row r="61" spans="2:10" x14ac:dyDescent="0.2">
      <c r="C61" s="8" t="s">
        <v>97</v>
      </c>
      <c r="D61" s="11" t="s">
        <v>126</v>
      </c>
      <c r="E61" s="15">
        <f t="shared" si="0"/>
        <v>151.57298683830277</v>
      </c>
      <c r="F61" s="15">
        <f t="shared" si="0"/>
        <v>117.39218040334708</v>
      </c>
      <c r="G61" s="15">
        <f t="shared" si="0"/>
        <v>39.800104719589854</v>
      </c>
      <c r="H61" s="15">
        <f t="shared" si="0"/>
        <v>4.8073166654157831</v>
      </c>
      <c r="I61" s="15">
        <f t="shared" si="0"/>
        <v>0</v>
      </c>
    </row>
    <row r="62" spans="2:10" x14ac:dyDescent="0.2">
      <c r="C62" s="8" t="s">
        <v>99</v>
      </c>
      <c r="D62" s="11" t="s">
        <v>126</v>
      </c>
      <c r="E62" s="15">
        <f t="shared" si="0"/>
        <v>-32.267443022505915</v>
      </c>
      <c r="F62" s="15">
        <f t="shared" si="0"/>
        <v>-49.391452572152957</v>
      </c>
      <c r="G62" s="15">
        <f t="shared" si="0"/>
        <v>-37.632303617661023</v>
      </c>
      <c r="H62" s="15">
        <f t="shared" si="0"/>
        <v>-22.981583496221958</v>
      </c>
      <c r="I62" s="15">
        <f t="shared" si="0"/>
        <v>0</v>
      </c>
    </row>
    <row r="63" spans="2:10" x14ac:dyDescent="0.2">
      <c r="C63" s="8" t="s">
        <v>101</v>
      </c>
      <c r="D63" s="11" t="s">
        <v>126</v>
      </c>
      <c r="E63" s="15">
        <f t="shared" ref="E63:I69" si="1" xml:space="preserve"> E19 - E41</f>
        <v>-158.28700000000003</v>
      </c>
      <c r="F63" s="15">
        <f t="shared" si="1"/>
        <v>-23.441000000000031</v>
      </c>
      <c r="G63" s="15">
        <f t="shared" si="1"/>
        <v>26.686000000000035</v>
      </c>
      <c r="H63" s="15">
        <f t="shared" si="1"/>
        <v>154.32500000000005</v>
      </c>
      <c r="I63" s="15">
        <f t="shared" si="1"/>
        <v>0</v>
      </c>
    </row>
    <row r="64" spans="2:10" x14ac:dyDescent="0.2">
      <c r="C64" s="8" t="s">
        <v>103</v>
      </c>
      <c r="D64" s="11" t="s">
        <v>126</v>
      </c>
      <c r="E64" s="15">
        <f t="shared" si="1"/>
        <v>-25.488999999999919</v>
      </c>
      <c r="F64" s="15">
        <f t="shared" si="1"/>
        <v>-4.4860000000000184</v>
      </c>
      <c r="G64" s="15">
        <f t="shared" si="1"/>
        <v>11.429999999999978</v>
      </c>
      <c r="H64" s="15">
        <f t="shared" si="1"/>
        <v>18.193838720049996</v>
      </c>
      <c r="I64" s="15">
        <f t="shared" si="1"/>
        <v>0</v>
      </c>
    </row>
    <row r="65" spans="2:10" x14ac:dyDescent="0.2">
      <c r="C65" s="8" t="s">
        <v>105</v>
      </c>
      <c r="D65" s="11" t="s">
        <v>126</v>
      </c>
      <c r="E65" s="15">
        <f t="shared" si="1"/>
        <v>-21.531200377358488</v>
      </c>
      <c r="F65" s="15">
        <f t="shared" si="1"/>
        <v>-8.5757996226415116</v>
      </c>
      <c r="G65" s="15">
        <f t="shared" si="1"/>
        <v>7.3900000000000006</v>
      </c>
      <c r="H65" s="15">
        <f t="shared" si="1"/>
        <v>9.811000000000007</v>
      </c>
      <c r="I65" s="15">
        <f t="shared" si="1"/>
        <v>0</v>
      </c>
    </row>
    <row r="66" spans="2:10" x14ac:dyDescent="0.2">
      <c r="C66" s="8" t="s">
        <v>107</v>
      </c>
      <c r="D66" s="11" t="s">
        <v>126</v>
      </c>
      <c r="E66" s="15">
        <f t="shared" si="1"/>
        <v>-1.7939999999999969</v>
      </c>
      <c r="F66" s="15">
        <f t="shared" si="1"/>
        <v>0.10899999999999821</v>
      </c>
      <c r="G66" s="15">
        <f t="shared" si="1"/>
        <v>-6.379999999999999</v>
      </c>
      <c r="H66" s="15">
        <f t="shared" si="1"/>
        <v>3.7750000000000021</v>
      </c>
      <c r="I66" s="15">
        <f t="shared" si="1"/>
        <v>0</v>
      </c>
    </row>
    <row r="67" spans="2:10" x14ac:dyDescent="0.2">
      <c r="C67" s="8" t="s">
        <v>111</v>
      </c>
      <c r="D67" s="11" t="s">
        <v>126</v>
      </c>
      <c r="E67" s="15">
        <f t="shared" si="1"/>
        <v>-4.6100000000000136</v>
      </c>
      <c r="F67" s="15">
        <f t="shared" si="1"/>
        <v>-12.926999999999992</v>
      </c>
      <c r="G67" s="15">
        <f t="shared" si="1"/>
        <v>-17.13900000000001</v>
      </c>
      <c r="H67" s="15">
        <f t="shared" si="1"/>
        <v>-4.6059999999999945</v>
      </c>
      <c r="I67" s="15">
        <f t="shared" si="1"/>
        <v>0</v>
      </c>
    </row>
    <row r="68" spans="2:10" x14ac:dyDescent="0.2">
      <c r="C68" s="8" t="s">
        <v>113</v>
      </c>
      <c r="D68" s="11" t="s">
        <v>126</v>
      </c>
      <c r="E68" s="15">
        <f t="shared" si="1"/>
        <v>-4.1976940767889062</v>
      </c>
      <c r="F68" s="15">
        <f t="shared" si="1"/>
        <v>-1.4987582977125982</v>
      </c>
      <c r="G68" s="15">
        <f t="shared" si="1"/>
        <v>4.1270014986024961</v>
      </c>
      <c r="H68" s="15">
        <f t="shared" si="1"/>
        <v>2.887999999999991</v>
      </c>
      <c r="I68" s="15">
        <f t="shared" si="1"/>
        <v>0</v>
      </c>
    </row>
    <row r="69" spans="2:10" x14ac:dyDescent="0.2">
      <c r="C69" s="8" t="s">
        <v>109</v>
      </c>
      <c r="D69" s="11" t="s">
        <v>126</v>
      </c>
      <c r="E69" s="15">
        <f t="shared" si="1"/>
        <v>-2.3080000000000069</v>
      </c>
      <c r="F69" s="15">
        <f t="shared" si="1"/>
        <v>-2.5129999999999981</v>
      </c>
      <c r="G69" s="15">
        <f t="shared" si="1"/>
        <v>-3.5129999999999981</v>
      </c>
      <c r="H69" s="15">
        <f t="shared" si="1"/>
        <v>1.4519999999999982</v>
      </c>
      <c r="I69" s="15">
        <f t="shared" si="1"/>
        <v>0</v>
      </c>
    </row>
    <row r="71" spans="2:10" x14ac:dyDescent="0.2">
      <c r="C71" s="13" t="s">
        <v>257</v>
      </c>
      <c r="D71" s="14" t="s">
        <v>126</v>
      </c>
      <c r="E71" s="15">
        <f xml:space="preserve"> E27 - E49</f>
        <v>-449.6646683816798</v>
      </c>
      <c r="F71" s="15">
        <f xml:space="preserve"> F27 - F49</f>
        <v>-478.25457529734285</v>
      </c>
      <c r="G71" s="15">
        <f xml:space="preserve"> G27 - G49</f>
        <v>-85.188611426722673</v>
      </c>
      <c r="H71" s="15">
        <f xml:space="preserve"> H27 - H49</f>
        <v>493.80885262390257</v>
      </c>
      <c r="I71" s="15">
        <f xml:space="preserve"> I27 - I49</f>
        <v>0</v>
      </c>
    </row>
    <row r="73" spans="2:10" ht="13.5" x14ac:dyDescent="0.25">
      <c r="B73" s="36" t="s">
        <v>473</v>
      </c>
      <c r="C73" s="36"/>
      <c r="D73" s="37"/>
      <c r="E73" s="36"/>
      <c r="F73" s="36"/>
      <c r="G73" s="36"/>
      <c r="H73" s="36"/>
      <c r="I73" s="36"/>
      <c r="J73" s="36"/>
    </row>
    <row r="75" spans="2:10" x14ac:dyDescent="0.2">
      <c r="C75" s="8" t="s">
        <v>79</v>
      </c>
      <c r="D75" s="11" t="s">
        <v>126</v>
      </c>
      <c r="E75" s="276">
        <f t="shared" ref="E75:I84" si="2" xml:space="preserve"> IFERROR( E53 / E31, 0 )</f>
        <v>-7.7840044930763852E-2</v>
      </c>
      <c r="F75" s="276">
        <f t="shared" si="2"/>
        <v>-0.21242976009938744</v>
      </c>
      <c r="G75" s="276">
        <f t="shared" si="2"/>
        <v>-3.4477960561740517E-2</v>
      </c>
      <c r="H75" s="276">
        <f t="shared" si="2"/>
        <v>-4.0590903655263633E-2</v>
      </c>
      <c r="I75" s="276">
        <f t="shared" si="2"/>
        <v>0</v>
      </c>
    </row>
    <row r="76" spans="2:10" x14ac:dyDescent="0.2">
      <c r="C76" s="8" t="s">
        <v>81</v>
      </c>
      <c r="D76" s="11" t="s">
        <v>126</v>
      </c>
      <c r="E76" s="276">
        <f t="shared" si="2"/>
        <v>-0.18255046289270013</v>
      </c>
      <c r="F76" s="276">
        <f t="shared" si="2"/>
        <v>3.6159684793232172E-2</v>
      </c>
      <c r="G76" s="276">
        <f t="shared" si="2"/>
        <v>0.12268023729071623</v>
      </c>
      <c r="H76" s="276">
        <f t="shared" si="2"/>
        <v>0.20561665396699691</v>
      </c>
      <c r="I76" s="276">
        <f t="shared" si="2"/>
        <v>0</v>
      </c>
    </row>
    <row r="77" spans="2:10" x14ac:dyDescent="0.2">
      <c r="C77" s="8" t="s">
        <v>84</v>
      </c>
      <c r="D77" s="11" t="s">
        <v>126</v>
      </c>
      <c r="E77" s="276">
        <f t="shared" si="2"/>
        <v>-0.24360924390363528</v>
      </c>
      <c r="F77" s="276">
        <f t="shared" si="2"/>
        <v>-0.21696969696969701</v>
      </c>
      <c r="G77" s="276">
        <f t="shared" si="2"/>
        <v>0.14923972217007694</v>
      </c>
      <c r="H77" s="276">
        <f t="shared" si="2"/>
        <v>0.20324427480916027</v>
      </c>
      <c r="I77" s="276">
        <f t="shared" si="2"/>
        <v>0</v>
      </c>
    </row>
    <row r="78" spans="2:10" x14ac:dyDescent="0.2">
      <c r="C78" s="8" t="s">
        <v>86</v>
      </c>
      <c r="D78" s="11" t="s">
        <v>126</v>
      </c>
      <c r="E78" s="276">
        <f t="shared" si="2"/>
        <v>-0.11263159716663115</v>
      </c>
      <c r="F78" s="276">
        <f t="shared" si="2"/>
        <v>-0.17223270578253683</v>
      </c>
      <c r="G78" s="276">
        <f t="shared" si="2"/>
        <v>-0.10166665653747892</v>
      </c>
      <c r="H78" s="276">
        <f t="shared" si="2"/>
        <v>3.0680608188990773E-2</v>
      </c>
      <c r="I78" s="276">
        <f t="shared" si="2"/>
        <v>0</v>
      </c>
    </row>
    <row r="79" spans="2:10" x14ac:dyDescent="0.2">
      <c r="C79" s="8" t="s">
        <v>88</v>
      </c>
      <c r="D79" s="11" t="s">
        <v>126</v>
      </c>
      <c r="E79" s="276">
        <f t="shared" si="2"/>
        <v>-1.8955136998848199E-2</v>
      </c>
      <c r="F79" s="276">
        <f t="shared" si="2"/>
        <v>-0.12113950703050938</v>
      </c>
      <c r="G79" s="276">
        <f t="shared" si="2"/>
        <v>-8.5158993168023056E-2</v>
      </c>
      <c r="H79" s="276">
        <f t="shared" si="2"/>
        <v>3.5010654104223216E-2</v>
      </c>
      <c r="I79" s="276">
        <f t="shared" si="2"/>
        <v>0</v>
      </c>
    </row>
    <row r="80" spans="2:10" x14ac:dyDescent="0.2">
      <c r="C80" s="8" t="s">
        <v>90</v>
      </c>
      <c r="D80" s="11" t="s">
        <v>126</v>
      </c>
      <c r="E80" s="276">
        <f t="shared" si="2"/>
        <v>-0.2113607840967657</v>
      </c>
      <c r="F80" s="276">
        <f t="shared" si="2"/>
        <v>-0.16155276124487078</v>
      </c>
      <c r="G80" s="276">
        <f t="shared" si="2"/>
        <v>-0.14481482651926714</v>
      </c>
      <c r="H80" s="276">
        <f t="shared" si="2"/>
        <v>-0.13426051625391688</v>
      </c>
      <c r="I80" s="276">
        <f t="shared" si="2"/>
        <v>0</v>
      </c>
    </row>
    <row r="81" spans="2:10" x14ac:dyDescent="0.2">
      <c r="C81" s="8" t="s">
        <v>93</v>
      </c>
      <c r="D81" s="11" t="s">
        <v>126</v>
      </c>
      <c r="E81" s="276">
        <f t="shared" si="2"/>
        <v>-0.20534779090840971</v>
      </c>
      <c r="F81" s="276">
        <f t="shared" si="2"/>
        <v>-0.17296218117853993</v>
      </c>
      <c r="G81" s="276">
        <f t="shared" si="2"/>
        <v>-1.5168770704628888E-2</v>
      </c>
      <c r="H81" s="276">
        <f t="shared" si="2"/>
        <v>9.0945054351287136E-2</v>
      </c>
      <c r="I81" s="276">
        <f t="shared" si="2"/>
        <v>0</v>
      </c>
    </row>
    <row r="82" spans="2:10" x14ac:dyDescent="0.2">
      <c r="C82" s="8" t="s">
        <v>95</v>
      </c>
      <c r="D82" s="11" t="s">
        <v>126</v>
      </c>
      <c r="E82" s="276">
        <f t="shared" si="2"/>
        <v>3.7524214574987287E-2</v>
      </c>
      <c r="F82" s="276">
        <f t="shared" si="2"/>
        <v>4.8280218787116955E-2</v>
      </c>
      <c r="G82" s="276">
        <f t="shared" si="2"/>
        <v>4.0288951414285838E-2</v>
      </c>
      <c r="H82" s="276">
        <f t="shared" si="2"/>
        <v>0.13411826899486737</v>
      </c>
      <c r="I82" s="276">
        <f t="shared" si="2"/>
        <v>0</v>
      </c>
    </row>
    <row r="83" spans="2:10" x14ac:dyDescent="0.2">
      <c r="C83" s="8" t="s">
        <v>97</v>
      </c>
      <c r="D83" s="11" t="s">
        <v>126</v>
      </c>
      <c r="E83" s="276">
        <f t="shared" si="2"/>
        <v>0.15128554430412489</v>
      </c>
      <c r="F83" s="276">
        <f t="shared" si="2"/>
        <v>0.11248771598634255</v>
      </c>
      <c r="G83" s="276">
        <f t="shared" si="2"/>
        <v>3.6251120065206165E-2</v>
      </c>
      <c r="H83" s="276">
        <f t="shared" si="2"/>
        <v>4.2303032958604216E-3</v>
      </c>
      <c r="I83" s="276">
        <f t="shared" si="2"/>
        <v>0</v>
      </c>
    </row>
    <row r="84" spans="2:10" x14ac:dyDescent="0.2">
      <c r="C84" s="8" t="s">
        <v>99</v>
      </c>
      <c r="D84" s="11" t="s">
        <v>126</v>
      </c>
      <c r="E84" s="276">
        <f t="shared" si="2"/>
        <v>-9.5831869738750533E-2</v>
      </c>
      <c r="F84" s="276">
        <f t="shared" si="2"/>
        <v>-0.13877901818531319</v>
      </c>
      <c r="G84" s="276">
        <f t="shared" si="2"/>
        <v>-0.10006959837569869</v>
      </c>
      <c r="H84" s="276">
        <f t="shared" si="2"/>
        <v>-6.4392220499361053E-2</v>
      </c>
      <c r="I84" s="276">
        <f t="shared" si="2"/>
        <v>0</v>
      </c>
    </row>
    <row r="85" spans="2:10" x14ac:dyDescent="0.2">
      <c r="C85" s="8" t="s">
        <v>101</v>
      </c>
      <c r="D85" s="11" t="s">
        <v>126</v>
      </c>
      <c r="E85" s="276">
        <f t="shared" ref="E85:I91" si="3" xml:space="preserve"> IFERROR( E63 / E41, 0 )</f>
        <v>-0.21966610230647537</v>
      </c>
      <c r="F85" s="276">
        <f t="shared" si="3"/>
        <v>-3.3538888570938057E-2</v>
      </c>
      <c r="G85" s="276">
        <f t="shared" si="3"/>
        <v>4.012932330827073E-2</v>
      </c>
      <c r="H85" s="276">
        <f t="shared" si="3"/>
        <v>0.2318758921192999</v>
      </c>
      <c r="I85" s="276">
        <f t="shared" si="3"/>
        <v>0</v>
      </c>
    </row>
    <row r="86" spans="2:10" x14ac:dyDescent="0.2">
      <c r="C86" s="8" t="s">
        <v>103</v>
      </c>
      <c r="D86" s="11" t="s">
        <v>126</v>
      </c>
      <c r="E86" s="276">
        <f t="shared" si="3"/>
        <v>-0.10541356492969364</v>
      </c>
      <c r="F86" s="276">
        <f t="shared" si="3"/>
        <v>-1.836266884977494E-2</v>
      </c>
      <c r="G86" s="276">
        <f t="shared" si="3"/>
        <v>5.3838907206782749E-2</v>
      </c>
      <c r="H86" s="276">
        <f t="shared" si="3"/>
        <v>9.5982010045650393E-2</v>
      </c>
      <c r="I86" s="276">
        <f t="shared" si="3"/>
        <v>0</v>
      </c>
    </row>
    <row r="87" spans="2:10" x14ac:dyDescent="0.2">
      <c r="C87" s="8" t="s">
        <v>105</v>
      </c>
      <c r="D87" s="11" t="s">
        <v>126</v>
      </c>
      <c r="E87" s="276">
        <f t="shared" si="3"/>
        <v>-0.24834141150355812</v>
      </c>
      <c r="F87" s="276">
        <f t="shared" si="3"/>
        <v>-0.10221453662266401</v>
      </c>
      <c r="G87" s="276">
        <f t="shared" si="3"/>
        <v>8.8291517323775395E-2</v>
      </c>
      <c r="H87" s="276">
        <f t="shared" si="3"/>
        <v>0.11811232167579615</v>
      </c>
      <c r="I87" s="276">
        <f t="shared" si="3"/>
        <v>0</v>
      </c>
    </row>
    <row r="88" spans="2:10" x14ac:dyDescent="0.2">
      <c r="C88" s="8" t="s">
        <v>107</v>
      </c>
      <c r="D88" s="11" t="s">
        <v>126</v>
      </c>
      <c r="E88" s="276">
        <f t="shared" si="3"/>
        <v>-6.7885117493472494E-2</v>
      </c>
      <c r="F88" s="276">
        <f t="shared" si="3"/>
        <v>3.7988359530198379E-3</v>
      </c>
      <c r="G88" s="276">
        <f t="shared" si="3"/>
        <v>-0.21918372955888413</v>
      </c>
      <c r="H88" s="276">
        <f t="shared" si="3"/>
        <v>0.1378743608473339</v>
      </c>
      <c r="I88" s="276">
        <f t="shared" si="3"/>
        <v>0</v>
      </c>
    </row>
    <row r="89" spans="2:10" x14ac:dyDescent="0.2">
      <c r="C89" s="8" t="s">
        <v>111</v>
      </c>
      <c r="D89" s="11" t="s">
        <v>126</v>
      </c>
      <c r="E89" s="276">
        <f t="shared" si="3"/>
        <v>-3.1169709263015637E-2</v>
      </c>
      <c r="F89" s="276">
        <f t="shared" si="3"/>
        <v>-8.2918537524053829E-2</v>
      </c>
      <c r="G89" s="276">
        <f t="shared" si="3"/>
        <v>-0.103558912386707</v>
      </c>
      <c r="H89" s="276">
        <f t="shared" si="3"/>
        <v>-2.8968553459119462E-2</v>
      </c>
      <c r="I89" s="276">
        <f t="shared" si="3"/>
        <v>0</v>
      </c>
    </row>
    <row r="90" spans="2:10" x14ac:dyDescent="0.2">
      <c r="C90" s="8" t="s">
        <v>113</v>
      </c>
      <c r="D90" s="11" t="s">
        <v>126</v>
      </c>
      <c r="E90" s="276">
        <f t="shared" si="3"/>
        <v>-5.4677817955678505E-2</v>
      </c>
      <c r="F90" s="276">
        <f t="shared" si="3"/>
        <v>-1.9333210940593575E-2</v>
      </c>
      <c r="G90" s="276">
        <f t="shared" si="3"/>
        <v>5.304329052858224E-2</v>
      </c>
      <c r="H90" s="276">
        <f t="shared" si="3"/>
        <v>3.7050816580496887E-2</v>
      </c>
      <c r="I90" s="276">
        <f t="shared" si="3"/>
        <v>0</v>
      </c>
    </row>
    <row r="91" spans="2:10" x14ac:dyDescent="0.2">
      <c r="C91" s="8" t="s">
        <v>109</v>
      </c>
      <c r="D91" s="11" t="s">
        <v>126</v>
      </c>
      <c r="E91" s="276">
        <f t="shared" si="3"/>
        <v>-5.6137961228808576E-2</v>
      </c>
      <c r="F91" s="276">
        <f t="shared" si="3"/>
        <v>-5.5414672870405045E-2</v>
      </c>
      <c r="G91" s="276">
        <f t="shared" si="3"/>
        <v>-7.3691055546232551E-2</v>
      </c>
      <c r="H91" s="276">
        <f t="shared" si="3"/>
        <v>3.2978264325785232E-2</v>
      </c>
      <c r="I91" s="276">
        <f t="shared" si="3"/>
        <v>0</v>
      </c>
    </row>
    <row r="93" spans="2:10" x14ac:dyDescent="0.2">
      <c r="C93" s="13" t="s">
        <v>257</v>
      </c>
      <c r="D93" s="14" t="s">
        <v>126</v>
      </c>
      <c r="E93" s="276">
        <f xml:space="preserve"> IFERROR( E71 / E49, 0 )</f>
        <v>-5.6568920535306155E-2</v>
      </c>
      <c r="F93" s="276">
        <f xml:space="preserve"> IFERROR( F71 / F49, 0 )</f>
        <v>-5.7643239902304549E-2</v>
      </c>
      <c r="G93" s="276">
        <f xml:space="preserve"> IFERROR( G71 / G49, 0 )</f>
        <v>-1.0351129681314417E-2</v>
      </c>
      <c r="H93" s="276">
        <f xml:space="preserve"> IFERROR( H71 / H49, 0 )</f>
        <v>6.2157947679870269E-2</v>
      </c>
      <c r="I93" s="276">
        <f xml:space="preserve"> IFERROR( I71 / I49, 0 )</f>
        <v>0</v>
      </c>
    </row>
    <row r="95" spans="2:10" ht="13.5" x14ac:dyDescent="0.25">
      <c r="B95" s="9" t="s">
        <v>474</v>
      </c>
      <c r="C95" s="9"/>
      <c r="D95" s="10"/>
      <c r="E95" s="9"/>
      <c r="F95" s="9"/>
      <c r="G95" s="9"/>
      <c r="H95" s="9"/>
      <c r="I95" s="9"/>
      <c r="J95" s="9"/>
    </row>
    <row r="97" spans="2:10" ht="13.5" x14ac:dyDescent="0.25">
      <c r="B97" s="36" t="s">
        <v>470</v>
      </c>
      <c r="C97" s="36"/>
      <c r="D97" s="37"/>
      <c r="E97" s="36"/>
      <c r="F97" s="36"/>
      <c r="G97" s="36"/>
      <c r="H97" s="36"/>
      <c r="I97" s="36"/>
      <c r="J97" s="36"/>
    </row>
    <row r="99" spans="2:10" x14ac:dyDescent="0.2">
      <c r="C99" s="8" t="s">
        <v>79</v>
      </c>
      <c r="D99" s="11" t="s">
        <v>126</v>
      </c>
      <c r="E99" s="277">
        <f xml:space="preserve"> SUMIFS( 'INPUTS│Wholesale Totex'!E$49:E$83, 'INPUTS│Wholesale Totex'!$C$49:$C$83, $C99 )</f>
        <v>719.30962902928763</v>
      </c>
      <c r="F99" s="277">
        <f xml:space="preserve"> SUMIFS( 'INPUTS│Wholesale Totex'!F$49:F$83, 'INPUTS│Wholesale Totex'!$C$49:$C$83, $C99 )</f>
        <v>1468.1132990112724</v>
      </c>
      <c r="G99" s="277">
        <f xml:space="preserve"> SUMIFS( 'INPUTS│Wholesale Totex'!G$49:G$83, 'INPUTS│Wholesale Totex'!$C$49:$C$83, $C99 )</f>
        <v>2270.1336313117408</v>
      </c>
      <c r="H99" s="277">
        <f xml:space="preserve"> SUMIFS( 'INPUTS│Wholesale Totex'!H$49:H$83, 'INPUTS│Wholesale Totex'!$C$49:$C$83, $C99 )</f>
        <v>3043.97044748194</v>
      </c>
      <c r="I99" s="277">
        <f xml:space="preserve"> SUMIFS( 'INPUTS│Wholesale Totex'!I$49:I$83, 'INPUTS│Wholesale Totex'!$C$49:$C$83, $C99 )</f>
        <v>0</v>
      </c>
    </row>
    <row r="100" spans="2:10" x14ac:dyDescent="0.2">
      <c r="C100" s="8" t="s">
        <v>81</v>
      </c>
      <c r="D100" s="11" t="s">
        <v>126</v>
      </c>
      <c r="E100" s="277">
        <f xml:space="preserve"> SUMIFS( 'INPUTS│Wholesale Totex'!E$49:E$83, 'INPUTS│Wholesale Totex'!$C$49:$C$83, $C100 )</f>
        <v>430.89400000000001</v>
      </c>
      <c r="F100" s="277">
        <f xml:space="preserve"> SUMIFS( 'INPUTS│Wholesale Totex'!F$49:F$83, 'INPUTS│Wholesale Totex'!$C$49:$C$83, $C100 )</f>
        <v>970.52700000000004</v>
      </c>
      <c r="G100" s="277">
        <f xml:space="preserve"> SUMIFS( 'INPUTS│Wholesale Totex'!G$49:G$83, 'INPUTS│Wholesale Totex'!$C$49:$C$83, $C100 )</f>
        <v>1545.6570000000002</v>
      </c>
      <c r="H100" s="277">
        <f xml:space="preserve"> SUMIFS( 'INPUTS│Wholesale Totex'!H$49:H$83, 'INPUTS│Wholesale Totex'!$C$49:$C$83, $C100 )</f>
        <v>2148.4809999999998</v>
      </c>
      <c r="I100" s="277">
        <f xml:space="preserve"> SUMIFS( 'INPUTS│Wholesale Totex'!I$49:I$83, 'INPUTS│Wholesale Totex'!$C$49:$C$83, $C100 )</f>
        <v>0</v>
      </c>
    </row>
    <row r="101" spans="2:10" x14ac:dyDescent="0.2">
      <c r="C101" s="8" t="s">
        <v>84</v>
      </c>
      <c r="D101" s="11" t="s">
        <v>126</v>
      </c>
      <c r="E101" s="277">
        <f xml:space="preserve"> SUMIFS( 'INPUTS│Wholesale Totex'!E$49:E$83, 'INPUTS│Wholesale Totex'!$C$49:$C$83, $C101 )</f>
        <v>15.416000000000004</v>
      </c>
      <c r="F101" s="277">
        <f xml:space="preserve"> SUMIFS( 'INPUTS│Wholesale Totex'!F$49:F$83, 'INPUTS│Wholesale Totex'!$C$49:$C$83, $C101 )</f>
        <v>34.796000000000006</v>
      </c>
      <c r="G101" s="277">
        <f xml:space="preserve"> SUMIFS( 'INPUTS│Wholesale Totex'!G$49:G$83, 'INPUTS│Wholesale Totex'!$C$49:$C$83, $C101 )</f>
        <v>59.283999999999999</v>
      </c>
      <c r="H101" s="277">
        <f xml:space="preserve"> SUMIFS( 'INPUTS│Wholesale Totex'!H$49:H$83, 'INPUTS│Wholesale Totex'!$C$49:$C$83, $C101 )</f>
        <v>85.765000000000001</v>
      </c>
      <c r="I101" s="277">
        <f xml:space="preserve"> SUMIFS( 'INPUTS│Wholesale Totex'!I$49:I$83, 'INPUTS│Wholesale Totex'!$C$49:$C$83, $C101 )</f>
        <v>0</v>
      </c>
    </row>
    <row r="102" spans="2:10" x14ac:dyDescent="0.2">
      <c r="C102" s="8" t="s">
        <v>86</v>
      </c>
      <c r="D102" s="11" t="s">
        <v>126</v>
      </c>
      <c r="E102" s="277">
        <f xml:space="preserve"> SUMIFS( 'INPUTS│Wholesale Totex'!E$49:E$83, 'INPUTS│Wholesale Totex'!$C$49:$C$83, $C102 )</f>
        <v>410.14700000000005</v>
      </c>
      <c r="F102" s="277">
        <f xml:space="preserve"> SUMIFS( 'INPUTS│Wholesale Totex'!F$49:F$83, 'INPUTS│Wholesale Totex'!$C$49:$C$83, $C102 )</f>
        <v>806.25600000000009</v>
      </c>
      <c r="G102" s="277">
        <f xml:space="preserve"> SUMIFS( 'INPUTS│Wholesale Totex'!G$49:G$83, 'INPUTS│Wholesale Totex'!$C$49:$C$83, $C102 )</f>
        <v>1249.694</v>
      </c>
      <c r="H102" s="277">
        <f xml:space="preserve"> SUMIFS( 'INPUTS│Wholesale Totex'!H$49:H$83, 'INPUTS│Wholesale Totex'!$C$49:$C$83, $C102 )</f>
        <v>1717.2200000000003</v>
      </c>
      <c r="I102" s="277">
        <f xml:space="preserve"> SUMIFS( 'INPUTS│Wholesale Totex'!I$49:I$83, 'INPUTS│Wholesale Totex'!$C$49:$C$83, $C102 )</f>
        <v>0</v>
      </c>
    </row>
    <row r="103" spans="2:10" x14ac:dyDescent="0.2">
      <c r="C103" s="8" t="s">
        <v>88</v>
      </c>
      <c r="D103" s="11" t="s">
        <v>126</v>
      </c>
      <c r="E103" s="277">
        <f xml:space="preserve"> SUMIFS( 'INPUTS│Wholesale Totex'!E$49:E$83, 'INPUTS│Wholesale Totex'!$C$49:$C$83, $C103 )</f>
        <v>964.01</v>
      </c>
      <c r="F103" s="277">
        <f xml:space="preserve"> SUMIFS( 'INPUTS│Wholesale Totex'!F$49:F$83, 'INPUTS│Wholesale Totex'!$C$49:$C$83, $C103 )</f>
        <v>1949.5</v>
      </c>
      <c r="G103" s="277">
        <f xml:space="preserve"> SUMIFS( 'INPUTS│Wholesale Totex'!G$49:G$83, 'INPUTS│Wholesale Totex'!$C$49:$C$83, $C103 )</f>
        <v>3025.0309999999999</v>
      </c>
      <c r="H103" s="277">
        <f xml:space="preserve"> SUMIFS( 'INPUTS│Wholesale Totex'!H$49:H$83, 'INPUTS│Wholesale Totex'!$C$49:$C$83, $C103 )</f>
        <v>4225.2780000000002</v>
      </c>
      <c r="I103" s="277">
        <f xml:space="preserve"> SUMIFS( 'INPUTS│Wholesale Totex'!I$49:I$83, 'INPUTS│Wholesale Totex'!$C$49:$C$83, $C103 )</f>
        <v>0</v>
      </c>
    </row>
    <row r="104" spans="2:10" x14ac:dyDescent="0.2">
      <c r="C104" s="8" t="s">
        <v>90</v>
      </c>
      <c r="D104" s="11" t="s">
        <v>126</v>
      </c>
      <c r="E104" s="277">
        <f xml:space="preserve"> SUMIFS( 'INPUTS│Wholesale Totex'!E$49:E$83, 'INPUTS│Wholesale Totex'!$C$49:$C$83, $C104 )</f>
        <v>270.83999999999997</v>
      </c>
      <c r="F104" s="277">
        <f xml:space="preserve"> SUMIFS( 'INPUTS│Wholesale Totex'!F$49:F$83, 'INPUTS│Wholesale Totex'!$C$49:$C$83, $C104 )</f>
        <v>588.36500000000001</v>
      </c>
      <c r="G104" s="277">
        <f xml:space="preserve"> SUMIFS( 'INPUTS│Wholesale Totex'!G$49:G$83, 'INPUTS│Wholesale Totex'!$C$49:$C$83, $C104 )</f>
        <v>886.03700000000003</v>
      </c>
      <c r="H104" s="277">
        <f xml:space="preserve"> SUMIFS( 'INPUTS│Wholesale Totex'!H$49:H$83, 'INPUTS│Wholesale Totex'!$C$49:$C$83, $C104 )</f>
        <v>1157.07</v>
      </c>
      <c r="I104" s="277">
        <f xml:space="preserve"> SUMIFS( 'INPUTS│Wholesale Totex'!I$49:I$83, 'INPUTS│Wholesale Totex'!$C$49:$C$83, $C104 )</f>
        <v>0</v>
      </c>
    </row>
    <row r="105" spans="2:10" x14ac:dyDescent="0.2">
      <c r="C105" s="8" t="s">
        <v>93</v>
      </c>
      <c r="D105" s="11" t="s">
        <v>126</v>
      </c>
      <c r="E105" s="277">
        <f xml:space="preserve"> SUMIFS( 'INPUTS│Wholesale Totex'!E$49:E$83, 'INPUTS│Wholesale Totex'!$C$49:$C$83, $C105 )</f>
        <v>413.47899999999998</v>
      </c>
      <c r="F105" s="277">
        <f xml:space="preserve"> SUMIFS( 'INPUTS│Wholesale Totex'!F$49:F$83, 'INPUTS│Wholesale Totex'!$C$49:$C$83, $C105 )</f>
        <v>883.65000000000009</v>
      </c>
      <c r="G105" s="277">
        <f xml:space="preserve"> SUMIFS( 'INPUTS│Wholesale Totex'!G$49:G$83, 'INPUTS│Wholesale Totex'!$C$49:$C$83, $C105 )</f>
        <v>1433.6289999999999</v>
      </c>
      <c r="H105" s="277">
        <f xml:space="preserve"> SUMIFS( 'INPUTS│Wholesale Totex'!H$49:H$83, 'INPUTS│Wholesale Totex'!$C$49:$C$83, $C105 )</f>
        <v>1999.0349999999999</v>
      </c>
      <c r="I105" s="277">
        <f xml:space="preserve"> SUMIFS( 'INPUTS│Wholesale Totex'!I$49:I$83, 'INPUTS│Wholesale Totex'!$C$49:$C$83, $C105 )</f>
        <v>0</v>
      </c>
    </row>
    <row r="106" spans="2:10" x14ac:dyDescent="0.2">
      <c r="C106" s="8" t="s">
        <v>95</v>
      </c>
      <c r="D106" s="11" t="s">
        <v>126</v>
      </c>
      <c r="E106" s="277">
        <f xml:space="preserve"> SUMIFS( 'INPUTS│Wholesale Totex'!E$49:E$83, 'INPUTS│Wholesale Totex'!$C$49:$C$83, $C106 )</f>
        <v>1690.249276700142</v>
      </c>
      <c r="F106" s="277">
        <f xml:space="preserve"> SUMIFS( 'INPUTS│Wholesale Totex'!F$49:F$83, 'INPUTS│Wholesale Totex'!$C$49:$C$83, $C106 )</f>
        <v>3286.9046009031977</v>
      </c>
      <c r="G106" s="277">
        <f xml:space="preserve"> SUMIFS( 'INPUTS│Wholesale Totex'!G$49:G$83, 'INPUTS│Wholesale Totex'!$C$49:$C$83, $C106 )</f>
        <v>4883.5290691836508</v>
      </c>
      <c r="H106" s="277">
        <f xml:space="preserve"> SUMIFS( 'INPUTS│Wholesale Totex'!H$49:H$83, 'INPUTS│Wholesale Totex'!$C$49:$C$83, $C106 )</f>
        <v>6506.991</v>
      </c>
      <c r="I106" s="277">
        <f xml:space="preserve"> SUMIFS( 'INPUTS│Wholesale Totex'!I$49:I$83, 'INPUTS│Wholesale Totex'!$C$49:$C$83, $C106 )</f>
        <v>0</v>
      </c>
    </row>
    <row r="107" spans="2:10" x14ac:dyDescent="0.2">
      <c r="C107" s="8" t="s">
        <v>97</v>
      </c>
      <c r="D107" s="11" t="s">
        <v>126</v>
      </c>
      <c r="E107" s="277">
        <f xml:space="preserve"> SUMIFS( 'INPUTS│Wholesale Totex'!E$49:E$83, 'INPUTS│Wholesale Totex'!$C$49:$C$83, $C107 )</f>
        <v>1153.4729868383031</v>
      </c>
      <c r="F107" s="277">
        <f xml:space="preserve"> SUMIFS( 'INPUTS│Wholesale Totex'!F$49:F$83, 'INPUTS│Wholesale Totex'!$C$49:$C$83, $C107 )</f>
        <v>2314.4651672416503</v>
      </c>
      <c r="G107" s="277">
        <f xml:space="preserve"> SUMIFS( 'INPUTS│Wholesale Totex'!G$49:G$83, 'INPUTS│Wholesale Totex'!$C$49:$C$83, $C107 )</f>
        <v>3452.1652719612403</v>
      </c>
      <c r="H107" s="277">
        <f xml:space="preserve"> SUMIFS( 'INPUTS│Wholesale Totex'!H$49:H$83, 'INPUTS│Wholesale Totex'!$C$49:$C$83, $C107 )</f>
        <v>4593.3725886266502</v>
      </c>
      <c r="I107" s="277">
        <f xml:space="preserve"> SUMIFS( 'INPUTS│Wholesale Totex'!I$49:I$83, 'INPUTS│Wholesale Totex'!$C$49:$C$83, $C107 )</f>
        <v>0</v>
      </c>
    </row>
    <row r="108" spans="2:10" x14ac:dyDescent="0.2">
      <c r="C108" s="8" t="s">
        <v>99</v>
      </c>
      <c r="D108" s="11" t="s">
        <v>126</v>
      </c>
      <c r="E108" s="277">
        <f xml:space="preserve"> SUMIFS( 'INPUTS│Wholesale Totex'!E$49:E$83, 'INPUTS│Wholesale Totex'!$C$49:$C$83, $C108 )</f>
        <v>304.44145257215308</v>
      </c>
      <c r="F108" s="277">
        <f xml:space="preserve"> SUMIFS( 'INPUTS│Wholesale Totex'!F$49:F$83, 'INPUTS│Wholesale Totex'!$C$49:$C$83, $C108 )</f>
        <v>610.95000000000005</v>
      </c>
      <c r="G108" s="277">
        <f xml:space="preserve"> SUMIFS( 'INPUTS│Wholesale Totex'!G$49:G$83, 'INPUTS│Wholesale Totex'!$C$49:$C$83, $C108 )</f>
        <v>949.37900000000002</v>
      </c>
      <c r="H108" s="277">
        <f xml:space="preserve"> SUMIFS( 'INPUTS│Wholesale Totex'!H$49:H$83, 'INPUTS│Wholesale Totex'!$C$49:$C$83, $C108 )</f>
        <v>1283.295623237452</v>
      </c>
      <c r="I108" s="277">
        <f xml:space="preserve"> SUMIFS( 'INPUTS│Wholesale Totex'!I$49:I$83, 'INPUTS│Wholesale Totex'!$C$49:$C$83, $C108 )</f>
        <v>0</v>
      </c>
    </row>
    <row r="109" spans="2:10" x14ac:dyDescent="0.2">
      <c r="C109" s="8" t="s">
        <v>101</v>
      </c>
      <c r="D109" s="11" t="s">
        <v>126</v>
      </c>
      <c r="E109" s="277">
        <f xml:space="preserve"> SUMIFS( 'INPUTS│Wholesale Totex'!E$49:E$83, 'INPUTS│Wholesale Totex'!$C$49:$C$83, $C109 )</f>
        <v>562.29300000000001</v>
      </c>
      <c r="F109" s="277">
        <f xml:space="preserve"> SUMIFS( 'INPUTS│Wholesale Totex'!F$49:F$83, 'INPUTS│Wholesale Totex'!$C$49:$C$83, $C109 )</f>
        <v>1237.7719999999999</v>
      </c>
      <c r="G109" s="277">
        <f xml:space="preserve"> SUMIFS( 'INPUTS│Wholesale Totex'!G$49:G$83, 'INPUTS│Wholesale Totex'!$C$49:$C$83, $C109 )</f>
        <v>1929.4580000000001</v>
      </c>
      <c r="H109" s="277">
        <f xml:space="preserve"> SUMIFS( 'INPUTS│Wholesale Totex'!H$49:H$83, 'INPUTS│Wholesale Totex'!$C$49:$C$83, $C109 )</f>
        <v>2749.3330000000001</v>
      </c>
      <c r="I109" s="277">
        <f xml:space="preserve"> SUMIFS( 'INPUTS│Wholesale Totex'!I$49:I$83, 'INPUTS│Wholesale Totex'!$C$49:$C$83, $C109 )</f>
        <v>0</v>
      </c>
    </row>
    <row r="110" spans="2:10" x14ac:dyDescent="0.2">
      <c r="C110" s="8" t="s">
        <v>103</v>
      </c>
      <c r="D110" s="11" t="s">
        <v>126</v>
      </c>
      <c r="E110" s="277">
        <f xml:space="preserve"> SUMIFS( 'INPUTS│Wholesale Totex'!E$49:E$83, 'INPUTS│Wholesale Totex'!$C$49:$C$83, $C110 )</f>
        <v>216.31100000000004</v>
      </c>
      <c r="F110" s="277">
        <f xml:space="preserve"> SUMIFS( 'INPUTS│Wholesale Totex'!F$49:F$83, 'INPUTS│Wholesale Totex'!$C$49:$C$83, $C110 )</f>
        <v>456.125</v>
      </c>
      <c r="G110" s="277">
        <f xml:space="preserve"> SUMIFS( 'INPUTS│Wholesale Totex'!G$49:G$83, 'INPUTS│Wholesale Totex'!$C$49:$C$83, $C110 )</f>
        <v>679.85500000000002</v>
      </c>
      <c r="H110" s="277">
        <f xml:space="preserve"> SUMIFS( 'INPUTS│Wholesale Totex'!H$49:H$83, 'INPUTS│Wholesale Totex'!$C$49:$C$83, $C110 )</f>
        <v>885.73109060977197</v>
      </c>
      <c r="I110" s="277">
        <f xml:space="preserve"> SUMIFS( 'INPUTS│Wholesale Totex'!I$49:I$83, 'INPUTS│Wholesale Totex'!$C$49:$C$83, $C110 )</f>
        <v>0</v>
      </c>
    </row>
    <row r="111" spans="2:10" x14ac:dyDescent="0.2">
      <c r="C111" s="8" t="s">
        <v>105</v>
      </c>
      <c r="D111" s="11" t="s">
        <v>126</v>
      </c>
      <c r="E111" s="277">
        <f xml:space="preserve"> SUMIFS( 'INPUTS│Wholesale Totex'!E$49:E$83, 'INPUTS│Wholesale Totex'!$C$49:$C$83, $C111 )</f>
        <v>65.168799622641501</v>
      </c>
      <c r="F111" s="277">
        <f xml:space="preserve"> SUMIFS( 'INPUTS│Wholesale Totex'!F$49:F$83, 'INPUTS│Wholesale Totex'!$C$49:$C$83, $C111 )</f>
        <v>140.49299999999999</v>
      </c>
      <c r="G111" s="277">
        <f xml:space="preserve"> SUMIFS( 'INPUTS│Wholesale Totex'!G$49:G$83, 'INPUTS│Wholesale Totex'!$C$49:$C$83, $C111 )</f>
        <v>231.583</v>
      </c>
      <c r="H111" s="277">
        <f xml:space="preserve"> SUMIFS( 'INPUTS│Wholesale Totex'!H$49:H$83, 'INPUTS│Wholesale Totex'!$C$49:$C$83, $C111 )</f>
        <v>323.34100000000001</v>
      </c>
      <c r="I111" s="277">
        <f xml:space="preserve"> SUMIFS( 'INPUTS│Wholesale Totex'!I$49:I$83, 'INPUTS│Wholesale Totex'!$C$49:$C$83, $C111 )</f>
        <v>0</v>
      </c>
    </row>
    <row r="112" spans="2:10" x14ac:dyDescent="0.2">
      <c r="C112" s="8" t="s">
        <v>107</v>
      </c>
      <c r="D112" s="11" t="s">
        <v>126</v>
      </c>
      <c r="E112" s="277">
        <f xml:space="preserve"> SUMIFS( 'INPUTS│Wholesale Totex'!E$49:E$83, 'INPUTS│Wholesale Totex'!$C$49:$C$83, $C112 )</f>
        <v>24.632999999999996</v>
      </c>
      <c r="F112" s="277">
        <f xml:space="preserve"> SUMIFS( 'INPUTS│Wholesale Totex'!F$49:F$83, 'INPUTS│Wholesale Totex'!$C$49:$C$83, $C112 )</f>
        <v>53.434999999999995</v>
      </c>
      <c r="G112" s="277">
        <f xml:space="preserve"> SUMIFS( 'INPUTS│Wholesale Totex'!G$49:G$83, 'INPUTS│Wholesale Totex'!$C$49:$C$83, $C112 )</f>
        <v>76.162999999999997</v>
      </c>
      <c r="H112" s="277">
        <f xml:space="preserve"> SUMIFS( 'INPUTS│Wholesale Totex'!H$49:H$83, 'INPUTS│Wholesale Totex'!$C$49:$C$83, $C112 )</f>
        <v>107.31699999999999</v>
      </c>
      <c r="I112" s="277">
        <f xml:space="preserve"> SUMIFS( 'INPUTS│Wholesale Totex'!I$49:I$83, 'INPUTS│Wholesale Totex'!$C$49:$C$83, $C112 )</f>
        <v>0</v>
      </c>
    </row>
    <row r="113" spans="2:10" x14ac:dyDescent="0.2">
      <c r="C113" s="8" t="s">
        <v>111</v>
      </c>
      <c r="D113" s="11" t="s">
        <v>126</v>
      </c>
      <c r="E113" s="277">
        <f xml:space="preserve"> SUMIFS( 'INPUTS│Wholesale Totex'!E$49:E$83, 'INPUTS│Wholesale Totex'!$C$49:$C$83, $C113 )</f>
        <v>143.29000000000002</v>
      </c>
      <c r="F113" s="277">
        <f xml:space="preserve"> SUMIFS( 'INPUTS│Wholesale Totex'!F$49:F$83, 'INPUTS│Wholesale Totex'!$C$49:$C$83, $C113 )</f>
        <v>286.26300000000003</v>
      </c>
      <c r="G113" s="277">
        <f xml:space="preserve"> SUMIFS( 'INPUTS│Wholesale Totex'!G$49:G$83, 'INPUTS│Wholesale Totex'!$C$49:$C$83, $C113 )</f>
        <v>434.62400000000002</v>
      </c>
      <c r="H113" s="277">
        <f xml:space="preserve"> SUMIFS( 'INPUTS│Wholesale Totex'!H$49:H$83, 'INPUTS│Wholesale Totex'!$C$49:$C$83, $C113 )</f>
        <v>589.01800000000003</v>
      </c>
      <c r="I113" s="277">
        <f xml:space="preserve"> SUMIFS( 'INPUTS│Wholesale Totex'!I$49:I$83, 'INPUTS│Wholesale Totex'!$C$49:$C$83, $C113 )</f>
        <v>0</v>
      </c>
    </row>
    <row r="114" spans="2:10" x14ac:dyDescent="0.2">
      <c r="C114" s="8" t="s">
        <v>113</v>
      </c>
      <c r="D114" s="11" t="s">
        <v>126</v>
      </c>
      <c r="E114" s="277">
        <f xml:space="preserve"> SUMIFS( 'INPUTS│Wholesale Totex'!E$49:E$83, 'INPUTS│Wholesale Totex'!$C$49:$C$83, $C114 )</f>
        <v>72.573732321234701</v>
      </c>
      <c r="F114" s="277">
        <f xml:space="preserve"> SUMIFS( 'INPUTS│Wholesale Totex'!F$49:F$83, 'INPUTS│Wholesale Totex'!$C$49:$C$83, $C114 )</f>
        <v>148.59744570802042</v>
      </c>
      <c r="G114" s="277">
        <f xml:space="preserve"> SUMIFS( 'INPUTS│Wholesale Totex'!G$49:G$83, 'INPUTS│Wholesale Totex'!$C$49:$C$83, $C114 )</f>
        <v>230.528849186147</v>
      </c>
      <c r="H114" s="277">
        <f xml:space="preserve"> SUMIFS( 'INPUTS│Wholesale Totex'!H$49:H$83, 'INPUTS│Wholesale Totex'!$C$49:$C$83, $C114 )</f>
        <v>311.36399999999998</v>
      </c>
      <c r="I114" s="277">
        <f xml:space="preserve"> SUMIFS( 'INPUTS│Wholesale Totex'!I$49:I$83, 'INPUTS│Wholesale Totex'!$C$49:$C$83, $C114 )</f>
        <v>0</v>
      </c>
    </row>
    <row r="115" spans="2:10" x14ac:dyDescent="0.2">
      <c r="C115" s="8" t="s">
        <v>109</v>
      </c>
      <c r="D115" s="11" t="s">
        <v>126</v>
      </c>
      <c r="E115" s="277">
        <f xml:space="preserve"> SUMIFS( 'INPUTS│Wholesale Totex'!E$49:E$83, 'INPUTS│Wholesale Totex'!$C$49:$C$83, $C115 )</f>
        <v>38.804999999999993</v>
      </c>
      <c r="F115" s="277">
        <f xml:space="preserve"> SUMIFS( 'INPUTS│Wholesale Totex'!F$49:F$83, 'INPUTS│Wholesale Totex'!$C$49:$C$83, $C115 )</f>
        <v>81.640999999999991</v>
      </c>
      <c r="G115" s="277">
        <f xml:space="preserve"> SUMIFS( 'INPUTS│Wholesale Totex'!G$49:G$83, 'INPUTS│Wholesale Totex'!$C$49:$C$83, $C115 )</f>
        <v>125.8</v>
      </c>
      <c r="H115" s="277">
        <f xml:space="preserve"> SUMIFS( 'INPUTS│Wholesale Totex'!H$49:H$83, 'INPUTS│Wholesale Totex'!$C$49:$C$83, $C115 )</f>
        <v>171.28100000000001</v>
      </c>
      <c r="I115" s="277">
        <f xml:space="preserve"> SUMIFS( 'INPUTS│Wholesale Totex'!I$49:I$83, 'INPUTS│Wholesale Totex'!$C$49:$C$83, $C115 )</f>
        <v>0</v>
      </c>
    </row>
    <row r="117" spans="2:10" x14ac:dyDescent="0.2">
      <c r="C117" s="13" t="s">
        <v>257</v>
      </c>
      <c r="D117" s="14" t="s">
        <v>126</v>
      </c>
      <c r="E117" s="15">
        <f>SUM(E99:E115)</f>
        <v>7495.3338770837609</v>
      </c>
      <c r="F117" s="15">
        <f>SUM(F99:F115)</f>
        <v>15317.853512864142</v>
      </c>
      <c r="G117" s="15">
        <f>SUM(G99:G115)</f>
        <v>23462.550821642777</v>
      </c>
      <c r="H117" s="15">
        <f>SUM(H99:H115)</f>
        <v>31897.863749955817</v>
      </c>
      <c r="I117" s="15">
        <f>SUM(I99:I115)</f>
        <v>0</v>
      </c>
    </row>
    <row r="119" spans="2:10" ht="13.5" x14ac:dyDescent="0.25">
      <c r="B119" s="36" t="s">
        <v>471</v>
      </c>
      <c r="C119" s="36"/>
      <c r="D119" s="37"/>
      <c r="E119" s="36"/>
      <c r="F119" s="36"/>
      <c r="G119" s="36"/>
      <c r="H119" s="36"/>
      <c r="I119" s="36"/>
      <c r="J119" s="36"/>
    </row>
    <row r="121" spans="2:10" x14ac:dyDescent="0.2">
      <c r="C121" s="8" t="s">
        <v>79</v>
      </c>
      <c r="D121" s="11" t="s">
        <v>126</v>
      </c>
      <c r="E121" s="277">
        <f xml:space="preserve"> SUMIFS( 'INPUTS│Wholesale Totex'!E$129:E$163, 'INPUTS│Wholesale Totex'!$C$129:$C$163, $C121 )</f>
        <v>780.02696286598302</v>
      </c>
      <c r="F121" s="277">
        <f xml:space="preserve"> SUMIFS( 'INPUTS│Wholesale Totex'!F$129:F$163, 'INPUTS│Wholesale Totex'!$C$129:$C$163, $C121 )</f>
        <v>1730.8039628659831</v>
      </c>
      <c r="G121" s="277">
        <f xml:space="preserve"> SUMIFS( 'INPUTS│Wholesale Totex'!G$129:G$163, 'INPUTS│Wholesale Totex'!$C$129:$C$163, $C121 )</f>
        <v>2561.4636948460002</v>
      </c>
      <c r="H121" s="277">
        <f xml:space="preserve"> SUMIFS( 'INPUTS│Wholesale Totex'!H$129:H$163, 'INPUTS│Wholesale Totex'!$C$129:$C$163, $C121 )</f>
        <v>3368.04017939097</v>
      </c>
      <c r="I121" s="277">
        <f xml:space="preserve"> SUMIFS( 'INPUTS│Wholesale Totex'!I$129:I$163, 'INPUTS│Wholesale Totex'!$C$129:$C$163, $C121 )</f>
        <v>0</v>
      </c>
    </row>
    <row r="122" spans="2:10" x14ac:dyDescent="0.2">
      <c r="C122" s="8" t="s">
        <v>81</v>
      </c>
      <c r="D122" s="11" t="s">
        <v>126</v>
      </c>
      <c r="E122" s="277">
        <f xml:space="preserve"> SUMIFS( 'INPUTS│Wholesale Totex'!E$129:E$163, 'INPUTS│Wholesale Totex'!$C$129:$C$163, $C122 )</f>
        <v>527.12000000000012</v>
      </c>
      <c r="F122" s="277">
        <f xml:space="preserve"> SUMIFS( 'INPUTS│Wholesale Totex'!F$129:F$163, 'INPUTS│Wholesale Totex'!$C$129:$C$163, $C122 )</f>
        <v>1047.9210000000003</v>
      </c>
      <c r="G122" s="277">
        <f xml:space="preserve"> SUMIFS( 'INPUTS│Wholesale Totex'!G$129:G$163, 'INPUTS│Wholesale Totex'!$C$129:$C$163, $C122 )</f>
        <v>1560.2040000000002</v>
      </c>
      <c r="H122" s="277">
        <f xml:space="preserve"> SUMIFS( 'INPUTS│Wholesale Totex'!H$129:H$163, 'INPUTS│Wholesale Totex'!$C$129:$C$163, $C122 )</f>
        <v>2060.2190000000001</v>
      </c>
      <c r="I122" s="277">
        <f xml:space="preserve"> SUMIFS( 'INPUTS│Wholesale Totex'!I$129:I$163, 'INPUTS│Wholesale Totex'!$C$129:$C$163, $C122 )</f>
        <v>0</v>
      </c>
    </row>
    <row r="123" spans="2:10" x14ac:dyDescent="0.2">
      <c r="C123" s="8" t="s">
        <v>84</v>
      </c>
      <c r="D123" s="11" t="s">
        <v>126</v>
      </c>
      <c r="E123" s="277">
        <f xml:space="preserve"> SUMIFS( 'INPUTS│Wholesale Totex'!E$129:E$163, 'INPUTS│Wholesale Totex'!$C$129:$C$163, $C123 )</f>
        <v>20.380999999999993</v>
      </c>
      <c r="F123" s="277">
        <f xml:space="preserve"> SUMIFS( 'INPUTS│Wholesale Totex'!F$129:F$163, 'INPUTS│Wholesale Totex'!$C$129:$C$163, $C123 )</f>
        <v>45.130999999999993</v>
      </c>
      <c r="G123" s="277">
        <f xml:space="preserve"> SUMIFS( 'INPUTS│Wholesale Totex'!G$129:G$163, 'INPUTS│Wholesale Totex'!$C$129:$C$163, $C123 )</f>
        <v>66.438999999999993</v>
      </c>
      <c r="H123" s="277">
        <f xml:space="preserve"> SUMIFS( 'INPUTS│Wholesale Totex'!H$129:H$163, 'INPUTS│Wholesale Totex'!$C$129:$C$163, $C123 )</f>
        <v>88.447000000000003</v>
      </c>
      <c r="I123" s="277">
        <f xml:space="preserve"> SUMIFS( 'INPUTS│Wholesale Totex'!I$129:I$163, 'INPUTS│Wholesale Totex'!$C$129:$C$163, $C123 )</f>
        <v>0</v>
      </c>
    </row>
    <row r="124" spans="2:10" x14ac:dyDescent="0.2">
      <c r="C124" s="8" t="s">
        <v>86</v>
      </c>
      <c r="D124" s="11" t="s">
        <v>126</v>
      </c>
      <c r="E124" s="277">
        <f xml:space="preserve"> SUMIFS( 'INPUTS│Wholesale Totex'!E$129:E$163, 'INPUTS│Wholesale Totex'!$C$129:$C$163, $C124 )</f>
        <v>462.20599999999996</v>
      </c>
      <c r="F124" s="277">
        <f xml:space="preserve"> SUMIFS( 'INPUTS│Wholesale Totex'!F$129:F$163, 'INPUTS│Wholesale Totex'!$C$129:$C$163, $C124 )</f>
        <v>940.73299999999995</v>
      </c>
      <c r="G124" s="277">
        <f xml:space="preserve"> SUMIFS( 'INPUTS│Wholesale Totex'!G$129:G$163, 'INPUTS│Wholesale Totex'!$C$129:$C$163, $C124 )</f>
        <v>1434.356</v>
      </c>
      <c r="H124" s="277">
        <f xml:space="preserve"> SUMIFS( 'INPUTS│Wholesale Totex'!H$129:H$163, 'INPUTS│Wholesale Totex'!$C$129:$C$163, $C124 )</f>
        <v>1887.9650000000001</v>
      </c>
      <c r="I124" s="277">
        <f xml:space="preserve"> SUMIFS( 'INPUTS│Wholesale Totex'!I$129:I$163, 'INPUTS│Wholesale Totex'!$C$129:$C$163, $C124 )</f>
        <v>0</v>
      </c>
    </row>
    <row r="125" spans="2:10" x14ac:dyDescent="0.2">
      <c r="C125" s="8" t="s">
        <v>88</v>
      </c>
      <c r="D125" s="11" t="s">
        <v>126</v>
      </c>
      <c r="E125" s="277">
        <f xml:space="preserve"> SUMIFS( 'INPUTS│Wholesale Totex'!E$129:E$163, 'INPUTS│Wholesale Totex'!$C$129:$C$163, $C125 )</f>
        <v>982.63600000000019</v>
      </c>
      <c r="F125" s="277">
        <f xml:space="preserve"> SUMIFS( 'INPUTS│Wholesale Totex'!F$129:F$163, 'INPUTS│Wholesale Totex'!$C$129:$C$163, $C125 )</f>
        <v>2103.9630000000002</v>
      </c>
      <c r="G125" s="277">
        <f xml:space="preserve"> SUMIFS( 'INPUTS│Wholesale Totex'!G$129:G$163, 'INPUTS│Wholesale Totex'!$C$129:$C$163, $C125 )</f>
        <v>3279.6109999999999</v>
      </c>
      <c r="H125" s="277">
        <f xml:space="preserve"> SUMIFS( 'INPUTS│Wholesale Totex'!H$129:H$163, 'INPUTS│Wholesale Totex'!$C$129:$C$163, $C125 )</f>
        <v>4439.259</v>
      </c>
      <c r="I125" s="277">
        <f xml:space="preserve"> SUMIFS( 'INPUTS│Wholesale Totex'!I$129:I$163, 'INPUTS│Wholesale Totex'!$C$129:$C$163, $C125 )</f>
        <v>0</v>
      </c>
    </row>
    <row r="126" spans="2:10" x14ac:dyDescent="0.2">
      <c r="C126" s="8" t="s">
        <v>90</v>
      </c>
      <c r="D126" s="11" t="s">
        <v>126</v>
      </c>
      <c r="E126" s="277">
        <f xml:space="preserve"> SUMIFS( 'INPUTS│Wholesale Totex'!E$129:E$163, 'INPUTS│Wholesale Totex'!$C$129:$C$163, $C126 )</f>
        <v>343.42699999999991</v>
      </c>
      <c r="F126" s="277">
        <f xml:space="preserve"> SUMIFS( 'INPUTS│Wholesale Totex'!F$129:F$163, 'INPUTS│Wholesale Totex'!$C$129:$C$163, $C126 )</f>
        <v>722.13299999999981</v>
      </c>
      <c r="G126" s="277">
        <f xml:space="preserve"> SUMIFS( 'INPUTS│Wholesale Totex'!G$129:G$163, 'INPUTS│Wholesale Totex'!$C$129:$C$163, $C126 )</f>
        <v>1070.212</v>
      </c>
      <c r="H126" s="277">
        <f xml:space="preserve"> SUMIFS( 'INPUTS│Wholesale Totex'!H$129:H$163, 'INPUTS│Wholesale Totex'!$C$129:$C$163, $C126 )</f>
        <v>1383.2750000000001</v>
      </c>
      <c r="I126" s="277">
        <f xml:space="preserve"> SUMIFS( 'INPUTS│Wholesale Totex'!I$129:I$163, 'INPUTS│Wholesale Totex'!$C$129:$C$163, $C126 )</f>
        <v>0</v>
      </c>
    </row>
    <row r="127" spans="2:10" x14ac:dyDescent="0.2">
      <c r="C127" s="8" t="s">
        <v>93</v>
      </c>
      <c r="D127" s="11" t="s">
        <v>126</v>
      </c>
      <c r="E127" s="277">
        <f xml:space="preserve"> SUMIFS( 'INPUTS│Wholesale Totex'!E$129:E$163, 'INPUTS│Wholesale Totex'!$C$129:$C$163, $C127 )</f>
        <v>520.32700000000011</v>
      </c>
      <c r="F127" s="277">
        <f xml:space="preserve"> SUMIFS( 'INPUTS│Wholesale Totex'!F$129:F$163, 'INPUTS│Wholesale Totex'!$C$129:$C$163, $C127 )</f>
        <v>1088.8270000000002</v>
      </c>
      <c r="G127" s="277">
        <f xml:space="preserve"> SUMIFS( 'INPUTS│Wholesale Totex'!G$129:G$163, 'INPUTS│Wholesale Totex'!$C$129:$C$163, $C127 )</f>
        <v>1647.277</v>
      </c>
      <c r="H127" s="277">
        <f xml:space="preserve"> SUMIFS( 'INPUTS│Wholesale Totex'!H$129:H$163, 'INPUTS│Wholesale Totex'!$C$129:$C$163, $C127 )</f>
        <v>2165.48</v>
      </c>
      <c r="I127" s="277">
        <f xml:space="preserve"> SUMIFS( 'INPUTS│Wholesale Totex'!I$129:I$163, 'INPUTS│Wholesale Totex'!$C$129:$C$163, $C127 )</f>
        <v>0</v>
      </c>
    </row>
    <row r="128" spans="2:10" x14ac:dyDescent="0.2">
      <c r="C128" s="8" t="s">
        <v>95</v>
      </c>
      <c r="D128" s="11" t="s">
        <v>126</v>
      </c>
      <c r="E128" s="277">
        <f xml:space="preserve"> SUMIFS( 'INPUTS│Wholesale Totex'!E$129:E$163, 'INPUTS│Wholesale Totex'!$C$129:$C$163, $C128 )</f>
        <v>1632.9459999999999</v>
      </c>
      <c r="F128" s="277">
        <f xml:space="preserve"> SUMIFS( 'INPUTS│Wholesale Totex'!F$129:F$163, 'INPUTS│Wholesale Totex'!$C$129:$C$163, $C128 )</f>
        <v>3152.2759999999998</v>
      </c>
      <c r="G128" s="277">
        <f xml:space="preserve"> SUMIFS( 'INPUTS│Wholesale Totex'!G$129:G$163, 'INPUTS│Wholesale Totex'!$C$129:$C$163, $C128 )</f>
        <v>4687.0650000000005</v>
      </c>
      <c r="H128" s="277">
        <f xml:space="preserve"> SUMIFS( 'INPUTS│Wholesale Totex'!H$129:H$163, 'INPUTS│Wholesale Totex'!$C$129:$C$163, $C128 )</f>
        <v>6118.54</v>
      </c>
      <c r="I128" s="277">
        <f xml:space="preserve"> SUMIFS( 'INPUTS│Wholesale Totex'!I$129:I$163, 'INPUTS│Wholesale Totex'!$C$129:$C$163, $C128 )</f>
        <v>0</v>
      </c>
    </row>
    <row r="129" spans="2:10" x14ac:dyDescent="0.2">
      <c r="C129" s="8" t="s">
        <v>97</v>
      </c>
      <c r="D129" s="11" t="s">
        <v>126</v>
      </c>
      <c r="E129" s="277">
        <f xml:space="preserve"> SUMIFS( 'INPUTS│Wholesale Totex'!E$129:E$163, 'INPUTS│Wholesale Totex'!$C$129:$C$163, $C129 )</f>
        <v>1001.9000000000003</v>
      </c>
      <c r="F129" s="277">
        <f xml:space="preserve"> SUMIFS( 'INPUTS│Wholesale Totex'!F$129:F$163, 'INPUTS│Wholesale Totex'!$C$129:$C$163, $C129 )</f>
        <v>2045.5000000000005</v>
      </c>
      <c r="G129" s="277">
        <f xml:space="preserve"> SUMIFS( 'INPUTS│Wholesale Totex'!G$129:G$163, 'INPUTS│Wholesale Totex'!$C$129:$C$163, $C129 )</f>
        <v>3143.4</v>
      </c>
      <c r="H129" s="277">
        <f xml:space="preserve"> SUMIFS( 'INPUTS│Wholesale Totex'!H$129:H$163, 'INPUTS│Wholesale Totex'!$C$129:$C$163, $C129 )</f>
        <v>4279.7999999999993</v>
      </c>
      <c r="I129" s="277">
        <f xml:space="preserve"> SUMIFS( 'INPUTS│Wholesale Totex'!I$129:I$163, 'INPUTS│Wholesale Totex'!$C$129:$C$163, $C129 )</f>
        <v>0</v>
      </c>
    </row>
    <row r="130" spans="2:10" x14ac:dyDescent="0.2">
      <c r="C130" s="8" t="s">
        <v>99</v>
      </c>
      <c r="D130" s="11" t="s">
        <v>126</v>
      </c>
      <c r="E130" s="277">
        <f xml:space="preserve"> SUMIFS( 'INPUTS│Wholesale Totex'!E$129:E$163, 'INPUTS│Wholesale Totex'!$C$129:$C$163, $C130 )</f>
        <v>336.708895594659</v>
      </c>
      <c r="F130" s="277">
        <f xml:space="preserve"> SUMIFS( 'INPUTS│Wholesale Totex'!F$129:F$163, 'INPUTS│Wholesale Totex'!$C$129:$C$163, $C130 )</f>
        <v>692.60889559465909</v>
      </c>
      <c r="G130" s="277">
        <f xml:space="preserve"> SUMIFS( 'INPUTS│Wholesale Totex'!G$129:G$163, 'INPUTS│Wholesale Totex'!$C$129:$C$163, $C130 )</f>
        <v>1068.6701992123201</v>
      </c>
      <c r="H130" s="277">
        <f xml:space="preserve"> SUMIFS( 'INPUTS│Wholesale Totex'!H$129:H$163, 'INPUTS│Wholesale Totex'!$C$129:$C$163, $C130 )</f>
        <v>1425.6</v>
      </c>
      <c r="I130" s="277">
        <f xml:space="preserve"> SUMIFS( 'INPUTS│Wholesale Totex'!I$129:I$163, 'INPUTS│Wholesale Totex'!$C$129:$C$163, $C130 )</f>
        <v>0</v>
      </c>
    </row>
    <row r="131" spans="2:10" x14ac:dyDescent="0.2">
      <c r="C131" s="8" t="s">
        <v>101</v>
      </c>
      <c r="D131" s="11" t="s">
        <v>126</v>
      </c>
      <c r="E131" s="277">
        <f xml:space="preserve"> SUMIFS( 'INPUTS│Wholesale Totex'!E$129:E$163, 'INPUTS│Wholesale Totex'!$C$129:$C$163, $C131 )</f>
        <v>720.58</v>
      </c>
      <c r="F131" s="277">
        <f xml:space="preserve"> SUMIFS( 'INPUTS│Wholesale Totex'!F$129:F$163, 'INPUTS│Wholesale Totex'!$C$129:$C$163, $C131 )</f>
        <v>1419.5</v>
      </c>
      <c r="G131" s="277">
        <f xml:space="preserve"> SUMIFS( 'INPUTS│Wholesale Totex'!G$129:G$163, 'INPUTS│Wholesale Totex'!$C$129:$C$163, $C131 )</f>
        <v>2084.5</v>
      </c>
      <c r="H131" s="277">
        <f xml:space="preserve"> SUMIFS( 'INPUTS│Wholesale Totex'!H$129:H$163, 'INPUTS│Wholesale Totex'!$C$129:$C$163, $C131 )</f>
        <v>2750.038</v>
      </c>
      <c r="I131" s="277">
        <f xml:space="preserve"> SUMIFS( 'INPUTS│Wholesale Totex'!I$129:I$163, 'INPUTS│Wholesale Totex'!$C$129:$C$163, $C131 )</f>
        <v>0</v>
      </c>
    </row>
    <row r="132" spans="2:10" x14ac:dyDescent="0.2">
      <c r="C132" s="8" t="s">
        <v>103</v>
      </c>
      <c r="D132" s="11" t="s">
        <v>126</v>
      </c>
      <c r="E132" s="277">
        <f xml:space="preserve"> SUMIFS( 'INPUTS│Wholesale Totex'!E$129:E$163, 'INPUTS│Wholesale Totex'!$C$129:$C$163, $C132 )</f>
        <v>241.79999999999995</v>
      </c>
      <c r="F132" s="277">
        <f xml:space="preserve"> SUMIFS( 'INPUTS│Wholesale Totex'!F$129:F$163, 'INPUTS│Wholesale Totex'!$C$129:$C$163, $C132 )</f>
        <v>486.09999999999997</v>
      </c>
      <c r="G132" s="277">
        <f xml:space="preserve"> SUMIFS( 'INPUTS│Wholesale Totex'!G$129:G$163, 'INPUTS│Wholesale Totex'!$C$129:$C$163, $C132 )</f>
        <v>698.4</v>
      </c>
      <c r="H132" s="277">
        <f xml:space="preserve"> SUMIFS( 'INPUTS│Wholesale Totex'!H$129:H$163, 'INPUTS│Wholesale Totex'!$C$129:$C$163, $C132 )</f>
        <v>888.07500000000005</v>
      </c>
      <c r="I132" s="277">
        <f xml:space="preserve"> SUMIFS( 'INPUTS│Wholesale Totex'!I$129:I$163, 'INPUTS│Wholesale Totex'!$C$129:$C$163, $C132 )</f>
        <v>0</v>
      </c>
    </row>
    <row r="133" spans="2:10" x14ac:dyDescent="0.2">
      <c r="C133" s="8" t="s">
        <v>105</v>
      </c>
      <c r="D133" s="11" t="s">
        <v>126</v>
      </c>
      <c r="E133" s="277">
        <f xml:space="preserve"> SUMIFS( 'INPUTS│Wholesale Totex'!E$129:E$163, 'INPUTS│Wholesale Totex'!$C$129:$C$163, $C133 )</f>
        <v>86.699999999999989</v>
      </c>
      <c r="F133" s="277">
        <f xml:space="preserve"> SUMIFS( 'INPUTS│Wholesale Totex'!F$129:F$163, 'INPUTS│Wholesale Totex'!$C$129:$C$163, $C133 )</f>
        <v>170.6</v>
      </c>
      <c r="G133" s="277">
        <f xml:space="preserve"> SUMIFS( 'INPUTS│Wholesale Totex'!G$129:G$163, 'INPUTS│Wholesale Totex'!$C$129:$C$163, $C133 )</f>
        <v>254.3</v>
      </c>
      <c r="H133" s="277">
        <f xml:space="preserve"> SUMIFS( 'INPUTS│Wholesale Totex'!H$129:H$163, 'INPUTS│Wholesale Totex'!$C$129:$C$163, $C133 )</f>
        <v>337.553</v>
      </c>
      <c r="I133" s="277">
        <f xml:space="preserve"> SUMIFS( 'INPUTS│Wholesale Totex'!I$129:I$163, 'INPUTS│Wholesale Totex'!$C$129:$C$163, $C133 )</f>
        <v>0</v>
      </c>
    </row>
    <row r="134" spans="2:10" x14ac:dyDescent="0.2">
      <c r="C134" s="8" t="s">
        <v>107</v>
      </c>
      <c r="D134" s="11" t="s">
        <v>126</v>
      </c>
      <c r="E134" s="277">
        <f xml:space="preserve"> SUMIFS( 'INPUTS│Wholesale Totex'!E$129:E$163, 'INPUTS│Wholesale Totex'!$C$129:$C$163, $C134 )</f>
        <v>26.426999999999992</v>
      </c>
      <c r="F134" s="277">
        <f xml:space="preserve"> SUMIFS( 'INPUTS│Wholesale Totex'!F$129:F$163, 'INPUTS│Wholesale Totex'!$C$129:$C$163, $C134 )</f>
        <v>55.11999999999999</v>
      </c>
      <c r="G134" s="277">
        <f xml:space="preserve"> SUMIFS( 'INPUTS│Wholesale Totex'!G$129:G$163, 'INPUTS│Wholesale Totex'!$C$129:$C$163, $C134 )</f>
        <v>84.227999999999994</v>
      </c>
      <c r="H134" s="277">
        <f xml:space="preserve"> SUMIFS( 'INPUTS│Wholesale Totex'!H$129:H$163, 'INPUTS│Wholesale Totex'!$C$129:$C$163, $C134 )</f>
        <v>111.607</v>
      </c>
      <c r="I134" s="277">
        <f xml:space="preserve"> SUMIFS( 'INPUTS│Wholesale Totex'!I$129:I$163, 'INPUTS│Wholesale Totex'!$C$129:$C$163, $C134 )</f>
        <v>0</v>
      </c>
    </row>
    <row r="135" spans="2:10" x14ac:dyDescent="0.2">
      <c r="C135" s="8" t="s">
        <v>111</v>
      </c>
      <c r="D135" s="11" t="s">
        <v>126</v>
      </c>
      <c r="E135" s="277">
        <f xml:space="preserve"> SUMIFS( 'INPUTS│Wholesale Totex'!E$129:E$163, 'INPUTS│Wholesale Totex'!$C$129:$C$163, $C135 )</f>
        <v>147.90000000000003</v>
      </c>
      <c r="F135" s="277">
        <f xml:space="preserve"> SUMIFS( 'INPUTS│Wholesale Totex'!F$129:F$163, 'INPUTS│Wholesale Totex'!$C$129:$C$163, $C135 )</f>
        <v>303.80000000000007</v>
      </c>
      <c r="G135" s="277">
        <f xml:space="preserve"> SUMIFS( 'INPUTS│Wholesale Totex'!G$129:G$163, 'INPUTS│Wholesale Totex'!$C$129:$C$163, $C135 )</f>
        <v>469.3</v>
      </c>
      <c r="H135" s="277">
        <f xml:space="preserve"> SUMIFS( 'INPUTS│Wholesale Totex'!H$129:H$163, 'INPUTS│Wholesale Totex'!$C$129:$C$163, $C135 )</f>
        <v>628.29999999999995</v>
      </c>
      <c r="I135" s="277">
        <f xml:space="preserve"> SUMIFS( 'INPUTS│Wholesale Totex'!I$129:I$163, 'INPUTS│Wholesale Totex'!$C$129:$C$163, $C135 )</f>
        <v>0</v>
      </c>
    </row>
    <row r="136" spans="2:10" x14ac:dyDescent="0.2">
      <c r="C136" s="8" t="s">
        <v>113</v>
      </c>
      <c r="D136" s="11" t="s">
        <v>126</v>
      </c>
      <c r="E136" s="277">
        <f xml:space="preserve"> SUMIFS( 'INPUTS│Wholesale Totex'!E$129:E$163, 'INPUTS│Wholesale Totex'!$C$129:$C$163, $C136 )</f>
        <v>76.771426398023607</v>
      </c>
      <c r="F136" s="277">
        <f xml:space="preserve"> SUMIFS( 'INPUTS│Wholesale Totex'!F$129:F$163, 'INPUTS│Wholesale Totex'!$C$129:$C$163, $C136 )</f>
        <v>154.29389808252191</v>
      </c>
      <c r="G136" s="277">
        <f xml:space="preserve"> SUMIFS( 'INPUTS│Wholesale Totex'!G$129:G$163, 'INPUTS│Wholesale Totex'!$C$129:$C$163, $C136 )</f>
        <v>232.09830006204601</v>
      </c>
      <c r="H136" s="277">
        <f xml:space="preserve"> SUMIFS( 'INPUTS│Wholesale Totex'!H$129:H$163, 'INPUTS│Wholesale Totex'!$C$129:$C$163, $C136 )</f>
        <v>310.04500000000002</v>
      </c>
      <c r="I136" s="277">
        <f xml:space="preserve"> SUMIFS( 'INPUTS│Wholesale Totex'!I$129:I$163, 'INPUTS│Wholesale Totex'!$C$129:$C$163, $C136 )</f>
        <v>0</v>
      </c>
    </row>
    <row r="137" spans="2:10" x14ac:dyDescent="0.2">
      <c r="C137" s="8" t="s">
        <v>109</v>
      </c>
      <c r="D137" s="11" t="s">
        <v>126</v>
      </c>
      <c r="E137" s="277">
        <f xml:space="preserve"> SUMIFS( 'INPUTS│Wholesale Totex'!E$129:E$163, 'INPUTS│Wholesale Totex'!$C$129:$C$163, $C137 )</f>
        <v>41.113</v>
      </c>
      <c r="F137" s="277">
        <f xml:space="preserve"> SUMIFS( 'INPUTS│Wholesale Totex'!F$129:F$163, 'INPUTS│Wholesale Totex'!$C$129:$C$163, $C137 )</f>
        <v>86.461999999999989</v>
      </c>
      <c r="G137" s="277">
        <f xml:space="preserve"> SUMIFS( 'INPUTS│Wholesale Totex'!G$129:G$163, 'INPUTS│Wholesale Totex'!$C$129:$C$163, $C137 )</f>
        <v>134.13399999999999</v>
      </c>
      <c r="H137" s="277">
        <f xml:space="preserve"> SUMIFS( 'INPUTS│Wholesale Totex'!H$129:H$163, 'INPUTS│Wholesale Totex'!$C$129:$C$163, $C137 )</f>
        <v>178.16300000000001</v>
      </c>
      <c r="I137" s="277">
        <f xml:space="preserve"> SUMIFS( 'INPUTS│Wholesale Totex'!I$129:I$163, 'INPUTS│Wholesale Totex'!$C$129:$C$163, $C137 )</f>
        <v>0</v>
      </c>
    </row>
    <row r="139" spans="2:10" x14ac:dyDescent="0.2">
      <c r="C139" s="13" t="s">
        <v>257</v>
      </c>
      <c r="D139" s="14" t="s">
        <v>126</v>
      </c>
      <c r="E139" s="15">
        <f>SUM(E121:E137)</f>
        <v>7948.9702848586658</v>
      </c>
      <c r="F139" s="15">
        <f>SUM(F121:F137)</f>
        <v>16245.772756543165</v>
      </c>
      <c r="G139" s="15">
        <f>SUM(G121:G137)</f>
        <v>24475.658194120366</v>
      </c>
      <c r="H139" s="15">
        <f>SUM(H121:H137)</f>
        <v>32420.406179390968</v>
      </c>
      <c r="I139" s="15">
        <f>SUM(I121:I137)</f>
        <v>0</v>
      </c>
    </row>
    <row r="141" spans="2:10" ht="13.5" x14ac:dyDescent="0.25">
      <c r="B141" s="36" t="s">
        <v>472</v>
      </c>
      <c r="C141" s="36"/>
      <c r="D141" s="37"/>
      <c r="E141" s="36"/>
      <c r="F141" s="36"/>
      <c r="G141" s="36"/>
      <c r="H141" s="36"/>
      <c r="I141" s="36"/>
      <c r="J141" s="36"/>
    </row>
    <row r="143" spans="2:10" x14ac:dyDescent="0.2">
      <c r="C143" s="8" t="s">
        <v>79</v>
      </c>
      <c r="D143" s="11" t="s">
        <v>126</v>
      </c>
      <c r="E143" s="15">
        <f t="shared" ref="E143:I152" si="4" xml:space="preserve"> E99 - E121</f>
        <v>-60.717333836695389</v>
      </c>
      <c r="F143" s="15">
        <f t="shared" si="4"/>
        <v>-262.69066385471069</v>
      </c>
      <c r="G143" s="15">
        <f t="shared" si="4"/>
        <v>-291.33006353425935</v>
      </c>
      <c r="H143" s="15">
        <f t="shared" si="4"/>
        <v>-324.06973190903</v>
      </c>
      <c r="I143" s="15">
        <f t="shared" si="4"/>
        <v>0</v>
      </c>
    </row>
    <row r="144" spans="2:10" x14ac:dyDescent="0.2">
      <c r="C144" s="8" t="s">
        <v>81</v>
      </c>
      <c r="D144" s="11" t="s">
        <v>126</v>
      </c>
      <c r="E144" s="15">
        <f t="shared" si="4"/>
        <v>-96.226000000000113</v>
      </c>
      <c r="F144" s="15">
        <f t="shared" si="4"/>
        <v>-77.394000000000233</v>
      </c>
      <c r="G144" s="15">
        <f t="shared" si="4"/>
        <v>-14.547000000000025</v>
      </c>
      <c r="H144" s="15">
        <f t="shared" si="4"/>
        <v>88.261999999999716</v>
      </c>
      <c r="I144" s="15">
        <f t="shared" si="4"/>
        <v>0</v>
      </c>
    </row>
    <row r="145" spans="3:9" x14ac:dyDescent="0.2">
      <c r="C145" s="8" t="s">
        <v>84</v>
      </c>
      <c r="D145" s="11" t="s">
        <v>126</v>
      </c>
      <c r="E145" s="15">
        <f t="shared" si="4"/>
        <v>-4.9649999999999892</v>
      </c>
      <c r="F145" s="15">
        <f t="shared" si="4"/>
        <v>-10.334999999999987</v>
      </c>
      <c r="G145" s="15">
        <f t="shared" si="4"/>
        <v>-7.154999999999994</v>
      </c>
      <c r="H145" s="15">
        <f t="shared" si="4"/>
        <v>-2.6820000000000022</v>
      </c>
      <c r="I145" s="15">
        <f t="shared" si="4"/>
        <v>0</v>
      </c>
    </row>
    <row r="146" spans="3:9" x14ac:dyDescent="0.2">
      <c r="C146" s="8" t="s">
        <v>86</v>
      </c>
      <c r="D146" s="11" t="s">
        <v>126</v>
      </c>
      <c r="E146" s="15">
        <f t="shared" si="4"/>
        <v>-52.058999999999912</v>
      </c>
      <c r="F146" s="15">
        <f t="shared" si="4"/>
        <v>-134.47699999999986</v>
      </c>
      <c r="G146" s="15">
        <f t="shared" si="4"/>
        <v>-184.66200000000003</v>
      </c>
      <c r="H146" s="15">
        <f t="shared" si="4"/>
        <v>-170.74499999999989</v>
      </c>
      <c r="I146" s="15">
        <f t="shared" si="4"/>
        <v>0</v>
      </c>
    </row>
    <row r="147" spans="3:9" x14ac:dyDescent="0.2">
      <c r="C147" s="8" t="s">
        <v>88</v>
      </c>
      <c r="D147" s="11" t="s">
        <v>126</v>
      </c>
      <c r="E147" s="15">
        <f t="shared" si="4"/>
        <v>-18.626000000000204</v>
      </c>
      <c r="F147" s="15">
        <f t="shared" si="4"/>
        <v>-154.46300000000019</v>
      </c>
      <c r="G147" s="15">
        <f t="shared" si="4"/>
        <v>-254.57999999999993</v>
      </c>
      <c r="H147" s="15">
        <f t="shared" si="4"/>
        <v>-213.98099999999977</v>
      </c>
      <c r="I147" s="15">
        <f t="shared" si="4"/>
        <v>0</v>
      </c>
    </row>
    <row r="148" spans="3:9" x14ac:dyDescent="0.2">
      <c r="C148" s="8" t="s">
        <v>90</v>
      </c>
      <c r="D148" s="11" t="s">
        <v>126</v>
      </c>
      <c r="E148" s="15">
        <f t="shared" si="4"/>
        <v>-72.586999999999932</v>
      </c>
      <c r="F148" s="15">
        <f t="shared" si="4"/>
        <v>-133.7679999999998</v>
      </c>
      <c r="G148" s="15">
        <f t="shared" si="4"/>
        <v>-184.17499999999995</v>
      </c>
      <c r="H148" s="15">
        <f t="shared" si="4"/>
        <v>-226.20500000000015</v>
      </c>
      <c r="I148" s="15">
        <f t="shared" si="4"/>
        <v>0</v>
      </c>
    </row>
    <row r="149" spans="3:9" x14ac:dyDescent="0.2">
      <c r="C149" s="8" t="s">
        <v>93</v>
      </c>
      <c r="D149" s="11" t="s">
        <v>126</v>
      </c>
      <c r="E149" s="15">
        <f t="shared" si="4"/>
        <v>-106.84800000000013</v>
      </c>
      <c r="F149" s="15">
        <f t="shared" si="4"/>
        <v>-205.17700000000013</v>
      </c>
      <c r="G149" s="15">
        <f t="shared" si="4"/>
        <v>-213.64800000000014</v>
      </c>
      <c r="H149" s="15">
        <f t="shared" si="4"/>
        <v>-166.44500000000016</v>
      </c>
      <c r="I149" s="15">
        <f t="shared" si="4"/>
        <v>0</v>
      </c>
    </row>
    <row r="150" spans="3:9" x14ac:dyDescent="0.2">
      <c r="C150" s="8" t="s">
        <v>95</v>
      </c>
      <c r="D150" s="11" t="s">
        <v>126</v>
      </c>
      <c r="E150" s="15">
        <f t="shared" si="4"/>
        <v>57.303276700142078</v>
      </c>
      <c r="F150" s="15">
        <f t="shared" si="4"/>
        <v>134.62860090319782</v>
      </c>
      <c r="G150" s="15">
        <f t="shared" si="4"/>
        <v>196.46406918365028</v>
      </c>
      <c r="H150" s="15">
        <f t="shared" si="4"/>
        <v>388.45100000000002</v>
      </c>
      <c r="I150" s="15">
        <f t="shared" si="4"/>
        <v>0</v>
      </c>
    </row>
    <row r="151" spans="3:9" x14ac:dyDescent="0.2">
      <c r="C151" s="8" t="s">
        <v>97</v>
      </c>
      <c r="D151" s="11" t="s">
        <v>126</v>
      </c>
      <c r="E151" s="15">
        <f t="shared" si="4"/>
        <v>151.57298683830277</v>
      </c>
      <c r="F151" s="15">
        <f t="shared" si="4"/>
        <v>268.96516724164985</v>
      </c>
      <c r="G151" s="15">
        <f t="shared" si="4"/>
        <v>308.76527196124016</v>
      </c>
      <c r="H151" s="15">
        <f t="shared" si="4"/>
        <v>313.57258862665094</v>
      </c>
      <c r="I151" s="15">
        <f t="shared" si="4"/>
        <v>0</v>
      </c>
    </row>
    <row r="152" spans="3:9" x14ac:dyDescent="0.2">
      <c r="C152" s="8" t="s">
        <v>99</v>
      </c>
      <c r="D152" s="11" t="s">
        <v>126</v>
      </c>
      <c r="E152" s="15">
        <f t="shared" si="4"/>
        <v>-32.267443022505915</v>
      </c>
      <c r="F152" s="15">
        <f t="shared" si="4"/>
        <v>-81.658895594659043</v>
      </c>
      <c r="G152" s="15">
        <f t="shared" si="4"/>
        <v>-119.29119921232007</v>
      </c>
      <c r="H152" s="15">
        <f t="shared" si="4"/>
        <v>-142.30437676254792</v>
      </c>
      <c r="I152" s="15">
        <f t="shared" si="4"/>
        <v>0</v>
      </c>
    </row>
    <row r="153" spans="3:9" x14ac:dyDescent="0.2">
      <c r="C153" s="8" t="s">
        <v>101</v>
      </c>
      <c r="D153" s="11" t="s">
        <v>126</v>
      </c>
      <c r="E153" s="15">
        <f t="shared" ref="E153:I159" si="5" xml:space="preserve"> E109 - E131</f>
        <v>-158.28700000000003</v>
      </c>
      <c r="F153" s="15">
        <f t="shared" si="5"/>
        <v>-181.72800000000007</v>
      </c>
      <c r="G153" s="15">
        <f t="shared" si="5"/>
        <v>-155.04199999999992</v>
      </c>
      <c r="H153" s="15">
        <f t="shared" si="5"/>
        <v>-0.70499999999992724</v>
      </c>
      <c r="I153" s="15">
        <f t="shared" si="5"/>
        <v>0</v>
      </c>
    </row>
    <row r="154" spans="3:9" x14ac:dyDescent="0.2">
      <c r="C154" s="8" t="s">
        <v>103</v>
      </c>
      <c r="D154" s="11" t="s">
        <v>126</v>
      </c>
      <c r="E154" s="15">
        <f t="shared" si="5"/>
        <v>-25.488999999999919</v>
      </c>
      <c r="F154" s="15">
        <f t="shared" si="5"/>
        <v>-29.974999999999966</v>
      </c>
      <c r="G154" s="15">
        <f t="shared" si="5"/>
        <v>-18.544999999999959</v>
      </c>
      <c r="H154" s="15">
        <f t="shared" si="5"/>
        <v>-2.3439093902280774</v>
      </c>
      <c r="I154" s="15">
        <f t="shared" si="5"/>
        <v>0</v>
      </c>
    </row>
    <row r="155" spans="3:9" x14ac:dyDescent="0.2">
      <c r="C155" s="8" t="s">
        <v>105</v>
      </c>
      <c r="D155" s="11" t="s">
        <v>126</v>
      </c>
      <c r="E155" s="15">
        <f t="shared" si="5"/>
        <v>-21.531200377358488</v>
      </c>
      <c r="F155" s="15">
        <f t="shared" si="5"/>
        <v>-30.106999999999999</v>
      </c>
      <c r="G155" s="15">
        <f t="shared" si="5"/>
        <v>-22.717000000000013</v>
      </c>
      <c r="H155" s="15">
        <f t="shared" si="5"/>
        <v>-14.211999999999989</v>
      </c>
      <c r="I155" s="15">
        <f t="shared" si="5"/>
        <v>0</v>
      </c>
    </row>
    <row r="156" spans="3:9" x14ac:dyDescent="0.2">
      <c r="C156" s="8" t="s">
        <v>107</v>
      </c>
      <c r="D156" s="11" t="s">
        <v>126</v>
      </c>
      <c r="E156" s="15">
        <f t="shared" si="5"/>
        <v>-1.7939999999999969</v>
      </c>
      <c r="F156" s="15">
        <f t="shared" si="5"/>
        <v>-1.6849999999999952</v>
      </c>
      <c r="G156" s="15">
        <f t="shared" si="5"/>
        <v>-8.0649999999999977</v>
      </c>
      <c r="H156" s="15">
        <f t="shared" si="5"/>
        <v>-4.2900000000000063</v>
      </c>
      <c r="I156" s="15">
        <f t="shared" si="5"/>
        <v>0</v>
      </c>
    </row>
    <row r="157" spans="3:9" x14ac:dyDescent="0.2">
      <c r="C157" s="8" t="s">
        <v>111</v>
      </c>
      <c r="D157" s="11" t="s">
        <v>126</v>
      </c>
      <c r="E157" s="15">
        <f t="shared" si="5"/>
        <v>-4.6100000000000136</v>
      </c>
      <c r="F157" s="15">
        <f t="shared" si="5"/>
        <v>-17.537000000000035</v>
      </c>
      <c r="G157" s="15">
        <f t="shared" si="5"/>
        <v>-34.675999999999988</v>
      </c>
      <c r="H157" s="15">
        <f t="shared" si="5"/>
        <v>-39.281999999999925</v>
      </c>
      <c r="I157" s="15">
        <f t="shared" si="5"/>
        <v>0</v>
      </c>
    </row>
    <row r="158" spans="3:9" x14ac:dyDescent="0.2">
      <c r="C158" s="8" t="s">
        <v>113</v>
      </c>
      <c r="D158" s="11" t="s">
        <v>126</v>
      </c>
      <c r="E158" s="15">
        <f t="shared" si="5"/>
        <v>-4.1976940767889062</v>
      </c>
      <c r="F158" s="15">
        <f t="shared" si="5"/>
        <v>-5.6964523745014901</v>
      </c>
      <c r="G158" s="15">
        <f t="shared" si="5"/>
        <v>-1.5694508758990082</v>
      </c>
      <c r="H158" s="15">
        <f t="shared" si="5"/>
        <v>1.31899999999996</v>
      </c>
      <c r="I158" s="15">
        <f t="shared" si="5"/>
        <v>0</v>
      </c>
    </row>
    <row r="159" spans="3:9" x14ac:dyDescent="0.2">
      <c r="C159" s="8" t="s">
        <v>109</v>
      </c>
      <c r="D159" s="11" t="s">
        <v>126</v>
      </c>
      <c r="E159" s="15">
        <f t="shared" si="5"/>
        <v>-2.3080000000000069</v>
      </c>
      <c r="F159" s="15">
        <f t="shared" si="5"/>
        <v>-4.820999999999998</v>
      </c>
      <c r="G159" s="15">
        <f t="shared" si="5"/>
        <v>-8.333999999999989</v>
      </c>
      <c r="H159" s="15">
        <f t="shared" si="5"/>
        <v>-6.882000000000005</v>
      </c>
      <c r="I159" s="15">
        <f t="shared" si="5"/>
        <v>0</v>
      </c>
    </row>
    <row r="161" spans="2:10" x14ac:dyDescent="0.2">
      <c r="C161" s="13" t="s">
        <v>257</v>
      </c>
      <c r="D161" s="14" t="s">
        <v>126</v>
      </c>
      <c r="E161" s="15">
        <f xml:space="preserve"> E117 - E139</f>
        <v>-453.63640777490491</v>
      </c>
      <c r="F161" s="15">
        <f xml:space="preserve"> F117 - F139</f>
        <v>-927.91924367902357</v>
      </c>
      <c r="G161" s="15">
        <f xml:space="preserve"> G117 - G139</f>
        <v>-1013.1073724775888</v>
      </c>
      <c r="H161" s="15">
        <f xml:space="preserve"> H117 - H139</f>
        <v>-522.54242943515055</v>
      </c>
      <c r="I161" s="15">
        <f xml:space="preserve"> I117 - I139</f>
        <v>0</v>
      </c>
    </row>
    <row r="163" spans="2:10" ht="13.5" x14ac:dyDescent="0.25">
      <c r="B163" s="36" t="s">
        <v>473</v>
      </c>
      <c r="C163" s="36"/>
      <c r="D163" s="37"/>
      <c r="E163" s="36"/>
      <c r="F163" s="36"/>
      <c r="G163" s="36"/>
      <c r="H163" s="36"/>
      <c r="I163" s="36"/>
      <c r="J163" s="36"/>
    </row>
    <row r="165" spans="2:10" x14ac:dyDescent="0.2">
      <c r="C165" s="88" t="s">
        <v>79</v>
      </c>
      <c r="D165" s="129" t="s">
        <v>132</v>
      </c>
      <c r="E165" s="276">
        <f t="shared" ref="E165:I174" si="6" xml:space="preserve"> IFERROR( E143 / E121, 0 )</f>
        <v>-7.7840044930763852E-2</v>
      </c>
      <c r="F165" s="276">
        <f t="shared" si="6"/>
        <v>-0.15177378229463354</v>
      </c>
      <c r="G165" s="276">
        <f t="shared" si="6"/>
        <v>-0.11373577697800423</v>
      </c>
      <c r="H165" s="276">
        <f t="shared" si="6"/>
        <v>-9.6219081319757385E-2</v>
      </c>
      <c r="I165" s="276">
        <f t="shared" si="6"/>
        <v>0</v>
      </c>
    </row>
    <row r="166" spans="2:10" x14ac:dyDescent="0.2">
      <c r="C166" s="88" t="s">
        <v>81</v>
      </c>
      <c r="D166" s="129" t="s">
        <v>132</v>
      </c>
      <c r="E166" s="276">
        <f t="shared" si="6"/>
        <v>-0.18255046289270013</v>
      </c>
      <c r="F166" s="276">
        <f t="shared" si="6"/>
        <v>-7.3854803940373567E-2</v>
      </c>
      <c r="G166" s="276">
        <f t="shared" si="6"/>
        <v>-9.323780736365259E-3</v>
      </c>
      <c r="H166" s="276">
        <f t="shared" si="6"/>
        <v>4.2841076603991959E-2</v>
      </c>
      <c r="I166" s="276">
        <f t="shared" si="6"/>
        <v>0</v>
      </c>
    </row>
    <row r="167" spans="2:10" x14ac:dyDescent="0.2">
      <c r="C167" s="88" t="s">
        <v>84</v>
      </c>
      <c r="D167" s="129" t="s">
        <v>132</v>
      </c>
      <c r="E167" s="276">
        <f t="shared" si="6"/>
        <v>-0.24360924390363528</v>
      </c>
      <c r="F167" s="276">
        <f t="shared" si="6"/>
        <v>-0.22900002215771839</v>
      </c>
      <c r="G167" s="276">
        <f t="shared" si="6"/>
        <v>-0.10769277081232401</v>
      </c>
      <c r="H167" s="276">
        <f t="shared" si="6"/>
        <v>-3.0323244428867028E-2</v>
      </c>
      <c r="I167" s="276">
        <f t="shared" si="6"/>
        <v>0</v>
      </c>
    </row>
    <row r="168" spans="2:10" x14ac:dyDescent="0.2">
      <c r="C168" s="88" t="s">
        <v>86</v>
      </c>
      <c r="D168" s="129" t="s">
        <v>132</v>
      </c>
      <c r="E168" s="276">
        <f t="shared" si="6"/>
        <v>-0.11263159716663115</v>
      </c>
      <c r="F168" s="276">
        <f t="shared" si="6"/>
        <v>-0.14294916836126709</v>
      </c>
      <c r="G168" s="276">
        <f t="shared" si="6"/>
        <v>-0.12874209749880786</v>
      </c>
      <c r="H168" s="276">
        <f t="shared" si="6"/>
        <v>-9.0438646902882142E-2</v>
      </c>
      <c r="I168" s="276">
        <f t="shared" si="6"/>
        <v>0</v>
      </c>
    </row>
    <row r="169" spans="2:10" x14ac:dyDescent="0.2">
      <c r="C169" s="88" t="s">
        <v>88</v>
      </c>
      <c r="D169" s="129" t="s">
        <v>132</v>
      </c>
      <c r="E169" s="276">
        <f t="shared" si="6"/>
        <v>-1.8955136998848199E-2</v>
      </c>
      <c r="F169" s="276">
        <f t="shared" si="6"/>
        <v>-7.3415264431931637E-2</v>
      </c>
      <c r="G169" s="276">
        <f t="shared" si="6"/>
        <v>-7.7625059801299592E-2</v>
      </c>
      <c r="H169" s="276">
        <f t="shared" si="6"/>
        <v>-4.8201963435789572E-2</v>
      </c>
      <c r="I169" s="276">
        <f t="shared" si="6"/>
        <v>0</v>
      </c>
    </row>
    <row r="170" spans="2:10" x14ac:dyDescent="0.2">
      <c r="C170" s="88" t="s">
        <v>90</v>
      </c>
      <c r="D170" s="129" t="s">
        <v>132</v>
      </c>
      <c r="E170" s="276">
        <f t="shared" si="6"/>
        <v>-0.2113607840967657</v>
      </c>
      <c r="F170" s="276">
        <f t="shared" si="6"/>
        <v>-0.18524011504805879</v>
      </c>
      <c r="G170" s="276">
        <f t="shared" si="6"/>
        <v>-0.17209207147742686</v>
      </c>
      <c r="H170" s="276">
        <f t="shared" si="6"/>
        <v>-0.16352858253058875</v>
      </c>
      <c r="I170" s="276">
        <f t="shared" si="6"/>
        <v>0</v>
      </c>
    </row>
    <row r="171" spans="2:10" x14ac:dyDescent="0.2">
      <c r="C171" s="88" t="s">
        <v>93</v>
      </c>
      <c r="D171" s="129" t="s">
        <v>132</v>
      </c>
      <c r="E171" s="276">
        <f t="shared" si="6"/>
        <v>-0.20534779090840971</v>
      </c>
      <c r="F171" s="276">
        <f t="shared" si="6"/>
        <v>-0.18843856737571726</v>
      </c>
      <c r="G171" s="276">
        <f t="shared" si="6"/>
        <v>-0.12969767683273678</v>
      </c>
      <c r="H171" s="276">
        <f t="shared" si="6"/>
        <v>-7.6862866431460994E-2</v>
      </c>
      <c r="I171" s="276">
        <f t="shared" si="6"/>
        <v>0</v>
      </c>
    </row>
    <row r="172" spans="2:10" x14ac:dyDescent="0.2">
      <c r="C172" s="88" t="s">
        <v>95</v>
      </c>
      <c r="D172" s="129" t="s">
        <v>132</v>
      </c>
      <c r="E172" s="276">
        <f t="shared" si="6"/>
        <v>3.5091960603805684E-2</v>
      </c>
      <c r="F172" s="276">
        <f t="shared" si="6"/>
        <v>4.2708379882725314E-2</v>
      </c>
      <c r="G172" s="276">
        <f t="shared" si="6"/>
        <v>4.1916224584820194E-2</v>
      </c>
      <c r="H172" s="276">
        <f t="shared" si="6"/>
        <v>6.3487531339175687E-2</v>
      </c>
      <c r="I172" s="276">
        <f t="shared" si="6"/>
        <v>0</v>
      </c>
    </row>
    <row r="173" spans="2:10" x14ac:dyDescent="0.2">
      <c r="C173" s="88" t="s">
        <v>97</v>
      </c>
      <c r="D173" s="129" t="s">
        <v>132</v>
      </c>
      <c r="E173" s="276">
        <f t="shared" si="6"/>
        <v>0.15128554430412489</v>
      </c>
      <c r="F173" s="276">
        <f t="shared" si="6"/>
        <v>0.13149115973681241</v>
      </c>
      <c r="G173" s="276">
        <f t="shared" si="6"/>
        <v>9.8226529223528716E-2</v>
      </c>
      <c r="H173" s="276">
        <f t="shared" si="6"/>
        <v>7.3268047251425536E-2</v>
      </c>
      <c r="I173" s="276">
        <f t="shared" si="6"/>
        <v>0</v>
      </c>
    </row>
    <row r="174" spans="2:10" x14ac:dyDescent="0.2">
      <c r="C174" s="88" t="s">
        <v>99</v>
      </c>
      <c r="D174" s="129" t="s">
        <v>132</v>
      </c>
      <c r="E174" s="276">
        <f t="shared" si="6"/>
        <v>-9.5831869738750533E-2</v>
      </c>
      <c r="F174" s="276">
        <f t="shared" si="6"/>
        <v>-0.11790044296868073</v>
      </c>
      <c r="G174" s="276">
        <f t="shared" si="6"/>
        <v>-0.1116258311500082</v>
      </c>
      <c r="H174" s="276">
        <f t="shared" si="6"/>
        <v>-9.9820690770586362E-2</v>
      </c>
      <c r="I174" s="276">
        <f t="shared" si="6"/>
        <v>0</v>
      </c>
    </row>
    <row r="175" spans="2:10" x14ac:dyDescent="0.2">
      <c r="C175" s="88" t="s">
        <v>101</v>
      </c>
      <c r="D175" s="129" t="s">
        <v>132</v>
      </c>
      <c r="E175" s="276">
        <f t="shared" ref="E175:I181" si="7" xml:space="preserve"> IFERROR( E153 / E131, 0 )</f>
        <v>-0.21966610230647537</v>
      </c>
      <c r="F175" s="276">
        <f t="shared" si="7"/>
        <v>-0.12802254314899617</v>
      </c>
      <c r="G175" s="276">
        <f t="shared" si="7"/>
        <v>-7.4378508035500085E-2</v>
      </c>
      <c r="H175" s="276">
        <f t="shared" si="7"/>
        <v>-2.5636009393322103E-4</v>
      </c>
      <c r="I175" s="276">
        <f t="shared" si="7"/>
        <v>0</v>
      </c>
    </row>
    <row r="176" spans="2:10" x14ac:dyDescent="0.2">
      <c r="C176" s="88" t="s">
        <v>103</v>
      </c>
      <c r="D176" s="129" t="s">
        <v>132</v>
      </c>
      <c r="E176" s="276">
        <f t="shared" si="7"/>
        <v>-0.10541356492969364</v>
      </c>
      <c r="F176" s="276">
        <f t="shared" si="7"/>
        <v>-6.1664266611808204E-2</v>
      </c>
      <c r="G176" s="276">
        <f t="shared" si="7"/>
        <v>-2.655355097365401E-2</v>
      </c>
      <c r="H176" s="276">
        <f t="shared" si="7"/>
        <v>-2.6393146865164286E-3</v>
      </c>
      <c r="I176" s="276">
        <f t="shared" si="7"/>
        <v>0</v>
      </c>
    </row>
    <row r="177" spans="2:10" x14ac:dyDescent="0.2">
      <c r="C177" s="88" t="s">
        <v>105</v>
      </c>
      <c r="D177" s="129" t="s">
        <v>132</v>
      </c>
      <c r="E177" s="276">
        <f t="shared" si="7"/>
        <v>-0.24834141150355812</v>
      </c>
      <c r="F177" s="276">
        <f t="shared" si="7"/>
        <v>-0.17647713950762017</v>
      </c>
      <c r="G177" s="276">
        <f t="shared" si="7"/>
        <v>-8.933149823043654E-2</v>
      </c>
      <c r="H177" s="276">
        <f t="shared" si="7"/>
        <v>-4.2103017896448824E-2</v>
      </c>
      <c r="I177" s="276">
        <f t="shared" si="7"/>
        <v>0</v>
      </c>
    </row>
    <row r="178" spans="2:10" x14ac:dyDescent="0.2">
      <c r="C178" s="88" t="s">
        <v>107</v>
      </c>
      <c r="D178" s="129" t="s">
        <v>132</v>
      </c>
      <c r="E178" s="276">
        <f t="shared" si="7"/>
        <v>-6.7885117493472494E-2</v>
      </c>
      <c r="F178" s="276">
        <f t="shared" si="7"/>
        <v>-3.0569666182873649E-2</v>
      </c>
      <c r="G178" s="276">
        <f t="shared" si="7"/>
        <v>-9.5752006458659805E-2</v>
      </c>
      <c r="H178" s="276">
        <f t="shared" si="7"/>
        <v>-3.8438449201215037E-2</v>
      </c>
      <c r="I178" s="276">
        <f t="shared" si="7"/>
        <v>0</v>
      </c>
    </row>
    <row r="179" spans="2:10" x14ac:dyDescent="0.2">
      <c r="C179" s="88" t="s">
        <v>111</v>
      </c>
      <c r="D179" s="129" t="s">
        <v>132</v>
      </c>
      <c r="E179" s="276">
        <f t="shared" si="7"/>
        <v>-3.1169709263015637E-2</v>
      </c>
      <c r="F179" s="276">
        <f t="shared" si="7"/>
        <v>-5.772547728768937E-2</v>
      </c>
      <c r="G179" s="276">
        <f t="shared" si="7"/>
        <v>-7.3888770509269092E-2</v>
      </c>
      <c r="H179" s="276">
        <f t="shared" si="7"/>
        <v>-6.2521088651917758E-2</v>
      </c>
      <c r="I179" s="276">
        <f t="shared" si="7"/>
        <v>0</v>
      </c>
    </row>
    <row r="180" spans="2:10" x14ac:dyDescent="0.2">
      <c r="C180" s="88" t="s">
        <v>113</v>
      </c>
      <c r="D180" s="129" t="s">
        <v>132</v>
      </c>
      <c r="E180" s="276">
        <f t="shared" si="7"/>
        <v>-5.4677817955678505E-2</v>
      </c>
      <c r="F180" s="276">
        <f t="shared" si="7"/>
        <v>-3.691949225013956E-2</v>
      </c>
      <c r="G180" s="276">
        <f t="shared" si="7"/>
        <v>-6.7620093532759721E-3</v>
      </c>
      <c r="H180" s="276">
        <f t="shared" si="7"/>
        <v>4.2542211614441773E-3</v>
      </c>
      <c r="I180" s="276">
        <f t="shared" si="7"/>
        <v>0</v>
      </c>
    </row>
    <row r="181" spans="2:10" x14ac:dyDescent="0.2">
      <c r="C181" s="88" t="s">
        <v>109</v>
      </c>
      <c r="D181" s="129" t="s">
        <v>132</v>
      </c>
      <c r="E181" s="276">
        <f t="shared" si="7"/>
        <v>-5.6137961228808576E-2</v>
      </c>
      <c r="F181" s="276">
        <f t="shared" si="7"/>
        <v>-5.5758599153385283E-2</v>
      </c>
      <c r="G181" s="276">
        <f t="shared" si="7"/>
        <v>-6.2131897952793398E-2</v>
      </c>
      <c r="H181" s="276">
        <f t="shared" si="7"/>
        <v>-3.862754892991252E-2</v>
      </c>
      <c r="I181" s="276">
        <f t="shared" si="7"/>
        <v>0</v>
      </c>
    </row>
    <row r="183" spans="2:10" x14ac:dyDescent="0.2">
      <c r="C183" s="13" t="s">
        <v>257</v>
      </c>
      <c r="D183" s="14" t="s">
        <v>132</v>
      </c>
      <c r="E183" s="276">
        <f xml:space="preserve"> IFERROR( E161 / E139, 0 )</f>
        <v>-5.7068575113307353E-2</v>
      </c>
      <c r="F183" s="276">
        <f xml:space="preserve"> IFERROR( F161 / F139, 0 )</f>
        <v>-5.7117581144626915E-2</v>
      </c>
      <c r="G183" s="276">
        <f xml:space="preserve"> IFERROR( G161 / G139, 0 )</f>
        <v>-4.1392446505114262E-2</v>
      </c>
      <c r="H183" s="276">
        <f xml:space="preserve"> IFERROR( H161 / H139, 0 )</f>
        <v>-1.6117701503916407E-2</v>
      </c>
      <c r="I183" s="276">
        <f xml:space="preserve"> IFERROR( I161 / I139, 0 )</f>
        <v>0</v>
      </c>
    </row>
    <row r="185" spans="2:10" x14ac:dyDescent="0.2">
      <c r="B185" s="20" t="s">
        <v>26</v>
      </c>
      <c r="C185" s="20"/>
      <c r="D185" s="79"/>
      <c r="E185" s="20"/>
      <c r="F185" s="20"/>
      <c r="G185" s="20"/>
      <c r="H185" s="20"/>
      <c r="I185" s="20"/>
      <c r="J185" s="20"/>
    </row>
  </sheetData>
  <pageMargins left="0.7" right="0.7" top="0.75" bottom="0.75" header="0.3" footer="0.3"/>
  <pageSetup paperSize="9" fitToWidth="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47"/>
  <sheetViews>
    <sheetView showGridLines="0" workbookViewId="0">
      <pane ySplit="3" topLeftCell="A4" activePane="bottomLeft" state="frozen"/>
      <selection pane="bottomLeft" activeCell="A4" sqref="A4"/>
    </sheetView>
  </sheetViews>
  <sheetFormatPr defaultRowHeight="12.75" x14ac:dyDescent="0.2"/>
  <cols>
    <col min="1" max="2" width="2.625" style="8" customWidth="1"/>
    <col min="3" max="3" width="23.125" style="8" bestFit="1" customWidth="1"/>
    <col min="4" max="4" width="9.875" style="11" customWidth="1"/>
    <col min="5" max="9" width="8" style="8" customWidth="1"/>
    <col min="10" max="10" width="2.625" style="8" customWidth="1"/>
    <col min="11" max="16384" width="9" style="8"/>
  </cols>
  <sheetData>
    <row r="2" spans="2:11" s="21" customFormat="1" x14ac:dyDescent="0.2">
      <c r="B2" s="22"/>
      <c r="C2" s="161" t="s">
        <v>169</v>
      </c>
      <c r="D2" s="162" t="s">
        <v>170</v>
      </c>
      <c r="E2" s="163" t="s">
        <v>171</v>
      </c>
      <c r="F2" s="163" t="s">
        <v>172</v>
      </c>
      <c r="G2" s="163" t="s">
        <v>173</v>
      </c>
      <c r="H2" s="163" t="s">
        <v>150</v>
      </c>
      <c r="I2" s="163" t="s">
        <v>174</v>
      </c>
      <c r="J2" s="24"/>
      <c r="K2" s="27"/>
    </row>
    <row r="3" spans="2:11" s="21" customFormat="1" x14ac:dyDescent="0.2">
      <c r="B3" s="28"/>
      <c r="C3" s="29" t="s">
        <v>175</v>
      </c>
      <c r="D3" s="29"/>
      <c r="E3" s="29">
        <v>3</v>
      </c>
      <c r="F3" s="29">
        <v>4</v>
      </c>
      <c r="G3" s="29">
        <v>5</v>
      </c>
      <c r="H3" s="29">
        <v>6</v>
      </c>
      <c r="I3" s="29">
        <v>7</v>
      </c>
      <c r="J3" s="26"/>
      <c r="K3" s="30"/>
    </row>
    <row r="5" spans="2:11" ht="13.5" x14ac:dyDescent="0.25">
      <c r="B5" s="9" t="s">
        <v>475</v>
      </c>
      <c r="C5" s="9"/>
      <c r="D5" s="10"/>
      <c r="E5" s="9"/>
      <c r="F5" s="9"/>
      <c r="G5" s="9"/>
      <c r="H5" s="9"/>
      <c r="I5" s="9"/>
      <c r="J5" s="9"/>
    </row>
    <row r="7" spans="2:11" ht="13.5" x14ac:dyDescent="0.25">
      <c r="B7" s="36" t="s">
        <v>476</v>
      </c>
      <c r="C7" s="36"/>
      <c r="D7" s="37"/>
      <c r="E7" s="36"/>
      <c r="F7" s="36"/>
      <c r="G7" s="36"/>
      <c r="H7" s="36"/>
      <c r="I7" s="36"/>
      <c r="J7" s="36"/>
    </row>
    <row r="9" spans="2:11" x14ac:dyDescent="0.2">
      <c r="C9" s="8" t="s">
        <v>79</v>
      </c>
      <c r="D9" s="11" t="s">
        <v>126</v>
      </c>
      <c r="E9" s="15">
        <f xml:space="preserve"> 'INPUTS│Residential Retail'!E9 * 'INPUTS│Residential Retail'!E107 / 1000</f>
        <v>2.3306552625579613</v>
      </c>
      <c r="F9" s="15">
        <f xml:space="preserve"> 'INPUTS│Residential Retail'!F9 * 'INPUTS│Residential Retail'!F107 / 1000</f>
        <v>2.3136745426262255</v>
      </c>
      <c r="G9" s="15">
        <f xml:space="preserve"> 'INPUTS│Residential Retail'!G9 * 'INPUTS│Residential Retail'!G107 / 1000</f>
        <v>2.2706355492678894</v>
      </c>
      <c r="H9" s="15">
        <f xml:space="preserve"> 'INPUTS│Residential Retail'!H9 * 'INPUTS│Residential Retail'!H107 / 1000</f>
        <v>2.2258135167552071</v>
      </c>
      <c r="I9" s="15">
        <f xml:space="preserve"> 'INPUTS│Residential Retail'!I9 * 'INPUTS│Residential Retail'!I107 / 1000</f>
        <v>0</v>
      </c>
    </row>
    <row r="10" spans="2:11" x14ac:dyDescent="0.2">
      <c r="C10" s="8" t="s">
        <v>81</v>
      </c>
      <c r="D10" s="11" t="s">
        <v>126</v>
      </c>
      <c r="E10" s="15">
        <f xml:space="preserve"> 'INPUTS│Residential Retail'!E10 * 'INPUTS│Residential Retail'!E108 / 1000</f>
        <v>1.7570318693583999</v>
      </c>
      <c r="F10" s="15">
        <f xml:space="preserve"> 'INPUTS│Residential Retail'!F10 * 'INPUTS│Residential Retail'!F108 / 1000</f>
        <v>1.5696910101749011</v>
      </c>
      <c r="G10" s="15">
        <f xml:space="preserve"> 'INPUTS│Residential Retail'!G10 * 'INPUTS│Residential Retail'!G108 / 1000</f>
        <v>1.5167020589259976</v>
      </c>
      <c r="H10" s="15">
        <f xml:space="preserve"> 'INPUTS│Residential Retail'!H10 * 'INPUTS│Residential Retail'!H108 / 1000</f>
        <v>1.4625103788097247</v>
      </c>
      <c r="I10" s="15">
        <f xml:space="preserve"> 'INPUTS│Residential Retail'!I10 * 'INPUTS│Residential Retail'!I108 / 1000</f>
        <v>0</v>
      </c>
    </row>
    <row r="11" spans="2:11" x14ac:dyDescent="0.2">
      <c r="C11" s="8" t="s">
        <v>84</v>
      </c>
      <c r="D11" s="11" t="s">
        <v>126</v>
      </c>
      <c r="E11" s="15">
        <f xml:space="preserve"> 'INPUTS│Residential Retail'!E11 * 'INPUTS│Residential Retail'!E109 / 1000</f>
        <v>1.0815712499999999</v>
      </c>
      <c r="F11" s="15">
        <f xml:space="preserve"> 'INPUTS│Residential Retail'!F11 * 'INPUTS│Residential Retail'!F109 / 1000</f>
        <v>1.0575593599999999</v>
      </c>
      <c r="G11" s="15">
        <f xml:space="preserve"> 'INPUTS│Residential Retail'!G11 * 'INPUTS│Residential Retail'!G109 / 1000</f>
        <v>1.02510576</v>
      </c>
      <c r="H11" s="15">
        <f xml:space="preserve"> 'INPUTS│Residential Retail'!H11 * 'INPUTS│Residential Retail'!H109 / 1000</f>
        <v>0.72725800000000007</v>
      </c>
      <c r="I11" s="15">
        <f xml:space="preserve"> 'INPUTS│Residential Retail'!I11 * 'INPUTS│Residential Retail'!I109 / 1000</f>
        <v>0</v>
      </c>
    </row>
    <row r="12" spans="2:11" x14ac:dyDescent="0.2">
      <c r="C12" s="8" t="s">
        <v>86</v>
      </c>
      <c r="D12" s="11" t="s">
        <v>126</v>
      </c>
      <c r="E12" s="15">
        <f xml:space="preserve"> 'INPUTS│Residential Retail'!E12 * 'INPUTS│Residential Retail'!E110 / 1000</f>
        <v>7.6173240326156497</v>
      </c>
      <c r="F12" s="15">
        <f xml:space="preserve"> 'INPUTS│Residential Retail'!F12 * 'INPUTS│Residential Retail'!F110 / 1000</f>
        <v>7.4743599237806189</v>
      </c>
      <c r="G12" s="15">
        <f xml:space="preserve"> 'INPUTS│Residential Retail'!G12 * 'INPUTS│Residential Retail'!G110 / 1000</f>
        <v>7.2853402182107665</v>
      </c>
      <c r="H12" s="15">
        <f xml:space="preserve"> 'INPUTS│Residential Retail'!H12 * 'INPUTS│Residential Retail'!H110 / 1000</f>
        <v>7.1527631613713547</v>
      </c>
      <c r="I12" s="15">
        <f xml:space="preserve"> 'INPUTS│Residential Retail'!I12 * 'INPUTS│Residential Retail'!I110 / 1000</f>
        <v>0</v>
      </c>
    </row>
    <row r="13" spans="2:11" x14ac:dyDescent="0.2">
      <c r="C13" s="8" t="s">
        <v>88</v>
      </c>
      <c r="D13" s="11" t="s">
        <v>126</v>
      </c>
      <c r="E13" s="15">
        <f xml:space="preserve"> 'INPUTS│Residential Retail'!E13 * 'INPUTS│Residential Retail'!E111 / 1000</f>
        <v>3.2560085000000005</v>
      </c>
      <c r="F13" s="15">
        <f xml:space="preserve"> 'INPUTS│Residential Retail'!F13 * 'INPUTS│Residential Retail'!F111 / 1000</f>
        <v>3.2182042600000003</v>
      </c>
      <c r="G13" s="15">
        <f xml:space="preserve"> 'INPUTS│Residential Retail'!G13 * 'INPUTS│Residential Retail'!G111 / 1000</f>
        <v>3.2553667399999999</v>
      </c>
      <c r="H13" s="15">
        <f xml:space="preserve"> 'INPUTS│Residential Retail'!H13 * 'INPUTS│Residential Retail'!H111 / 1000</f>
        <v>3.4466745599999999</v>
      </c>
      <c r="I13" s="15">
        <f xml:space="preserve"> 'INPUTS│Residential Retail'!I13 * 'INPUTS│Residential Retail'!I111 / 1000</f>
        <v>0</v>
      </c>
    </row>
    <row r="14" spans="2:11" x14ac:dyDescent="0.2">
      <c r="C14" s="8" t="s">
        <v>90</v>
      </c>
      <c r="D14" s="11" t="s">
        <v>126</v>
      </c>
      <c r="E14" s="15">
        <f xml:space="preserve"> 'INPUTS│Residential Retail'!E14 * 'INPUTS│Residential Retail'!E112 / 1000</f>
        <v>2.3070035273099245</v>
      </c>
      <c r="F14" s="15">
        <f xml:space="preserve"> 'INPUTS│Residential Retail'!F14 * 'INPUTS│Residential Retail'!F112 / 1000</f>
        <v>2.2587990377433189</v>
      </c>
      <c r="G14" s="15">
        <f xml:space="preserve"> 'INPUTS│Residential Retail'!G14 * 'INPUTS│Residential Retail'!G112 / 1000</f>
        <v>2.2235723075374674</v>
      </c>
      <c r="H14" s="15">
        <f xml:space="preserve"> 'INPUTS│Residential Retail'!H14 * 'INPUTS│Residential Retail'!H112 / 1000</f>
        <v>2.1837869870999276</v>
      </c>
      <c r="I14" s="15">
        <f xml:space="preserve"> 'INPUTS│Residential Retail'!I14 * 'INPUTS│Residential Retail'!I112 / 1000</f>
        <v>0</v>
      </c>
    </row>
    <row r="15" spans="2:11" x14ac:dyDescent="0.2">
      <c r="C15" s="8" t="s">
        <v>93</v>
      </c>
      <c r="D15" s="11" t="s">
        <v>126</v>
      </c>
      <c r="E15" s="15">
        <f xml:space="preserve"> 'INPUTS│Residential Retail'!E15 * 'INPUTS│Residential Retail'!E113 / 1000</f>
        <v>0.52447022433268142</v>
      </c>
      <c r="F15" s="15">
        <f xml:space="preserve"> 'INPUTS│Residential Retail'!F15 * 'INPUTS│Residential Retail'!F113 / 1000</f>
        <v>0.43125837961858088</v>
      </c>
      <c r="G15" s="15">
        <f xml:space="preserve"> 'INPUTS│Residential Retail'!G15 * 'INPUTS│Residential Retail'!G113 / 1000</f>
        <v>0.38459781334198817</v>
      </c>
      <c r="H15" s="15">
        <f xml:space="preserve"> 'INPUTS│Residential Retail'!H15 * 'INPUTS│Residential Retail'!H113 / 1000</f>
        <v>0.35277440505829555</v>
      </c>
      <c r="I15" s="15">
        <f xml:space="preserve"> 'INPUTS│Residential Retail'!I15 * 'INPUTS│Residential Retail'!I113 / 1000</f>
        <v>0</v>
      </c>
    </row>
    <row r="16" spans="2:11" x14ac:dyDescent="0.2">
      <c r="C16" s="8" t="s">
        <v>95</v>
      </c>
      <c r="D16" s="11" t="s">
        <v>126</v>
      </c>
      <c r="E16" s="15">
        <f xml:space="preserve"> 'INPUTS│Residential Retail'!E16 * 'INPUTS│Residential Retail'!E114 / 1000</f>
        <v>0.60531697074792579</v>
      </c>
      <c r="F16" s="15">
        <f xml:space="preserve"> 'INPUTS│Residential Retail'!F16 * 'INPUTS│Residential Retail'!F114 / 1000</f>
        <v>0.6013146797192872</v>
      </c>
      <c r="G16" s="15">
        <f xml:space="preserve"> 'INPUTS│Residential Retail'!G16 * 'INPUTS│Residential Retail'!G114 / 1000</f>
        <v>0.60579346603386708</v>
      </c>
      <c r="H16" s="15">
        <f xml:space="preserve"> 'INPUTS│Residential Retail'!H16 * 'INPUTS│Residential Retail'!H114 / 1000</f>
        <v>0.61652245811794104</v>
      </c>
      <c r="I16" s="15">
        <f xml:space="preserve"> 'INPUTS│Residential Retail'!I16 * 'INPUTS│Residential Retail'!I114 / 1000</f>
        <v>0</v>
      </c>
    </row>
    <row r="17" spans="2:10" x14ac:dyDescent="0.2">
      <c r="C17" s="8" t="s">
        <v>97</v>
      </c>
      <c r="D17" s="11" t="s">
        <v>126</v>
      </c>
      <c r="E17" s="15">
        <f xml:space="preserve"> 'INPUTS│Residential Retail'!E17 * 'INPUTS│Residential Retail'!E115 / 1000</f>
        <v>1.4753653456572495</v>
      </c>
      <c r="F17" s="15">
        <f xml:space="preserve"> 'INPUTS│Residential Retail'!F17 * 'INPUTS│Residential Retail'!F115 / 1000</f>
        <v>1.3964536274938046</v>
      </c>
      <c r="G17" s="15">
        <f xml:space="preserve"> 'INPUTS│Residential Retail'!G17 * 'INPUTS│Residential Retail'!G115 / 1000</f>
        <v>1.307263771127539</v>
      </c>
      <c r="H17" s="15">
        <f xml:space="preserve"> 'INPUTS│Residential Retail'!H17 * 'INPUTS│Residential Retail'!H115 / 1000</f>
        <v>1.2281370032364609</v>
      </c>
      <c r="I17" s="15">
        <f xml:space="preserve"> 'INPUTS│Residential Retail'!I17 * 'INPUTS│Residential Retail'!I115 / 1000</f>
        <v>0</v>
      </c>
    </row>
    <row r="18" spans="2:10" x14ac:dyDescent="0.2">
      <c r="C18" s="8" t="s">
        <v>99</v>
      </c>
      <c r="D18" s="11" t="s">
        <v>126</v>
      </c>
      <c r="E18" s="15">
        <f xml:space="preserve"> 'INPUTS│Residential Retail'!E18 * 'INPUTS│Residential Retail'!E116 / 1000</f>
        <v>0.47791547556676883</v>
      </c>
      <c r="F18" s="15">
        <f xml:space="preserve"> 'INPUTS│Residential Retail'!F18 * 'INPUTS│Residential Retail'!F116 / 1000</f>
        <v>0.48143790904891859</v>
      </c>
      <c r="G18" s="15">
        <f xml:space="preserve"> 'INPUTS│Residential Retail'!G18 * 'INPUTS│Residential Retail'!G116 / 1000</f>
        <v>0.47669234889991047</v>
      </c>
      <c r="H18" s="15">
        <f xml:space="preserve"> 'INPUTS│Residential Retail'!H18 * 'INPUTS│Residential Retail'!H116 / 1000</f>
        <v>0.47315407078740229</v>
      </c>
      <c r="I18" s="15">
        <f xml:space="preserve"> 'INPUTS│Residential Retail'!I18 * 'INPUTS│Residential Retail'!I116 / 1000</f>
        <v>0</v>
      </c>
    </row>
    <row r="19" spans="2:10" x14ac:dyDescent="0.2">
      <c r="C19" s="8" t="s">
        <v>101</v>
      </c>
      <c r="D19" s="11" t="s">
        <v>126</v>
      </c>
      <c r="E19" s="15">
        <f xml:space="preserve"> 'INPUTS│Residential Retail'!E19 * 'INPUTS│Residential Retail'!E117 / 1000</f>
        <v>1.1494446388172299</v>
      </c>
      <c r="F19" s="15">
        <f xml:space="preserve"> 'INPUTS│Residential Retail'!F19 * 'INPUTS│Residential Retail'!F117 / 1000</f>
        <v>1.1526981409767527</v>
      </c>
      <c r="G19" s="15">
        <f xml:space="preserve"> 'INPUTS│Residential Retail'!G19 * 'INPUTS│Residential Retail'!G117 / 1000</f>
        <v>1.1437157644150817</v>
      </c>
      <c r="H19" s="15">
        <f xml:space="preserve"> 'INPUTS│Residential Retail'!H19 * 'INPUTS│Residential Retail'!H117 / 1000</f>
        <v>1.1493948895532908</v>
      </c>
      <c r="I19" s="15">
        <f xml:space="preserve"> 'INPUTS│Residential Retail'!I19 * 'INPUTS│Residential Retail'!I117 / 1000</f>
        <v>0</v>
      </c>
    </row>
    <row r="20" spans="2:10" x14ac:dyDescent="0.2">
      <c r="C20" s="8" t="s">
        <v>103</v>
      </c>
      <c r="D20" s="11" t="s">
        <v>126</v>
      </c>
      <c r="E20" s="15">
        <f xml:space="preserve"> 'INPUTS│Residential Retail'!E20 * 'INPUTS│Residential Retail'!E118 / 1000</f>
        <v>11.398315050930679</v>
      </c>
      <c r="F20" s="15">
        <f xml:space="preserve"> 'INPUTS│Residential Retail'!F20 * 'INPUTS│Residential Retail'!F118 / 1000</f>
        <v>11.043615693107911</v>
      </c>
      <c r="G20" s="15">
        <f xml:space="preserve"> 'INPUTS│Residential Retail'!G20 * 'INPUTS│Residential Retail'!G118 / 1000</f>
        <v>10.513514860400551</v>
      </c>
      <c r="H20" s="15">
        <f xml:space="preserve"> 'INPUTS│Residential Retail'!H20 * 'INPUTS│Residential Retail'!H118 / 1000</f>
        <v>9.8520420817049921</v>
      </c>
      <c r="I20" s="15">
        <f xml:space="preserve"> 'INPUTS│Residential Retail'!I20 * 'INPUTS│Residential Retail'!I118 / 1000</f>
        <v>0</v>
      </c>
    </row>
    <row r="21" spans="2:10" x14ac:dyDescent="0.2">
      <c r="C21" s="8" t="s">
        <v>105</v>
      </c>
      <c r="D21" s="11" t="s">
        <v>126</v>
      </c>
      <c r="E21" s="15">
        <f xml:space="preserve"> 'INPUTS│Residential Retail'!E21 * 'INPUTS│Residential Retail'!E119 / 1000</f>
        <v>4.5736877988734026</v>
      </c>
      <c r="F21" s="15">
        <f xml:space="preserve"> 'INPUTS│Residential Retail'!F21 * 'INPUTS│Residential Retail'!F119 / 1000</f>
        <v>4.5983845484062131</v>
      </c>
      <c r="G21" s="15">
        <f xml:space="preserve"> 'INPUTS│Residential Retail'!G21 * 'INPUTS│Residential Retail'!G119 / 1000</f>
        <v>4.5897395317403369</v>
      </c>
      <c r="H21" s="15">
        <f xml:space="preserve"> 'INPUTS│Residential Retail'!H21 * 'INPUTS│Residential Retail'!H119 / 1000</f>
        <v>4.4677140374230033</v>
      </c>
      <c r="I21" s="15">
        <f xml:space="preserve"> 'INPUTS│Residential Retail'!I21 * 'INPUTS│Residential Retail'!I119 / 1000</f>
        <v>0</v>
      </c>
    </row>
    <row r="22" spans="2:10" x14ac:dyDescent="0.2">
      <c r="C22" s="8" t="s">
        <v>107</v>
      </c>
      <c r="D22" s="11" t="s">
        <v>126</v>
      </c>
      <c r="E22" s="15">
        <f xml:space="preserve"> 'INPUTS│Residential Retail'!E22 * 'INPUTS│Residential Retail'!E120 / 1000</f>
        <v>3.026718301261786</v>
      </c>
      <c r="F22" s="15">
        <f xml:space="preserve"> 'INPUTS│Residential Retail'!F22 * 'INPUTS│Residential Retail'!F120 / 1000</f>
        <v>2.9986384511787714</v>
      </c>
      <c r="G22" s="15">
        <f xml:space="preserve"> 'INPUTS│Residential Retail'!G22 * 'INPUTS│Residential Retail'!G120 / 1000</f>
        <v>2.9657827698334684</v>
      </c>
      <c r="H22" s="15">
        <f xml:space="preserve"> 'INPUTS│Residential Retail'!H22 * 'INPUTS│Residential Retail'!H120 / 1000</f>
        <v>2.9367469141652718</v>
      </c>
      <c r="I22" s="15">
        <f xml:space="preserve"> 'INPUTS│Residential Retail'!I22 * 'INPUTS│Residential Retail'!I120 / 1000</f>
        <v>0</v>
      </c>
    </row>
    <row r="23" spans="2:10" x14ac:dyDescent="0.2">
      <c r="C23" s="8" t="s">
        <v>111</v>
      </c>
      <c r="D23" s="11" t="s">
        <v>126</v>
      </c>
      <c r="E23" s="15">
        <f xml:space="preserve"> 'INPUTS│Residential Retail'!E23 * 'INPUTS│Residential Retail'!E121 / 1000</f>
        <v>4.3806223712365746</v>
      </c>
      <c r="F23" s="15">
        <f xml:space="preserve"> 'INPUTS│Residential Retail'!F23 * 'INPUTS│Residential Retail'!F121 / 1000</f>
        <v>3.6086968826835939</v>
      </c>
      <c r="G23" s="15">
        <f xml:space="preserve"> 'INPUTS│Residential Retail'!G23 * 'INPUTS│Residential Retail'!G121 / 1000</f>
        <v>2.8289616389891541</v>
      </c>
      <c r="H23" s="15">
        <f xml:space="preserve"> 'INPUTS│Residential Retail'!H23 * 'INPUTS│Residential Retail'!H121 / 1000</f>
        <v>2.1510225464887749</v>
      </c>
      <c r="I23" s="15">
        <f xml:space="preserve"> 'INPUTS│Residential Retail'!I23 * 'INPUTS│Residential Retail'!I121 / 1000</f>
        <v>0</v>
      </c>
    </row>
    <row r="24" spans="2:10" x14ac:dyDescent="0.2">
      <c r="C24" s="8" t="s">
        <v>113</v>
      </c>
      <c r="D24" s="11" t="s">
        <v>126</v>
      </c>
      <c r="E24" s="15">
        <f xml:space="preserve"> 'INPUTS│Residential Retail'!E24 * 'INPUTS│Residential Retail'!E122 / 1000</f>
        <v>7.779551310276819</v>
      </c>
      <c r="F24" s="15">
        <f xml:space="preserve"> 'INPUTS│Residential Retail'!F24 * 'INPUTS│Residential Retail'!F122 / 1000</f>
        <v>7.6544069570983693</v>
      </c>
      <c r="G24" s="15">
        <f xml:space="preserve"> 'INPUTS│Residential Retail'!G24 * 'INPUTS│Residential Retail'!G122 / 1000</f>
        <v>7.9892035098363792</v>
      </c>
      <c r="H24" s="15">
        <f xml:space="preserve"> 'INPUTS│Residential Retail'!H24 * 'INPUTS│Residential Retail'!H122 / 1000</f>
        <v>8.2411242261167956</v>
      </c>
      <c r="I24" s="15">
        <f xml:space="preserve"> 'INPUTS│Residential Retail'!I24 * 'INPUTS│Residential Retail'!I122 / 1000</f>
        <v>0</v>
      </c>
    </row>
    <row r="25" spans="2:10" x14ac:dyDescent="0.2">
      <c r="C25" s="8" t="s">
        <v>109</v>
      </c>
      <c r="D25" s="11" t="s">
        <v>126</v>
      </c>
      <c r="E25" s="15">
        <f xml:space="preserve"> 'INPUTS│Residential Retail'!E25 * 'INPUTS│Residential Retail'!E123 / 1000</f>
        <v>2.4688329307528845</v>
      </c>
      <c r="F25" s="15">
        <f xml:space="preserve"> 'INPUTS│Residential Retail'!F25 * 'INPUTS│Residential Retail'!F123 / 1000</f>
        <v>2.3432730753464868</v>
      </c>
      <c r="G25" s="15">
        <f xml:space="preserve"> 'INPUTS│Residential Retail'!G25 * 'INPUTS│Residential Retail'!G123 / 1000</f>
        <v>2.3268873737361893</v>
      </c>
      <c r="H25" s="15">
        <f xml:space="preserve"> 'INPUTS│Residential Retail'!H25 * 'INPUTS│Residential Retail'!H123 / 1000</f>
        <v>2.2082466724158776</v>
      </c>
      <c r="I25" s="15">
        <f xml:space="preserve"> 'INPUTS│Residential Retail'!I25 * 'INPUTS│Residential Retail'!I123 / 1000</f>
        <v>0</v>
      </c>
    </row>
    <row r="27" spans="2:10" ht="13.5" x14ac:dyDescent="0.25">
      <c r="B27" s="36" t="s">
        <v>477</v>
      </c>
      <c r="C27" s="36"/>
      <c r="D27" s="37"/>
      <c r="E27" s="36"/>
      <c r="F27" s="36"/>
      <c r="G27" s="36"/>
      <c r="H27" s="36"/>
      <c r="I27" s="36"/>
      <c r="J27" s="36"/>
    </row>
    <row r="29" spans="2:10" x14ac:dyDescent="0.2">
      <c r="C29" s="8" t="s">
        <v>79</v>
      </c>
      <c r="D29" s="11" t="s">
        <v>126</v>
      </c>
      <c r="E29" s="15">
        <f xml:space="preserve"> 'INPUTS│Residential Retail'!E29 * 'INPUTS│Residential Retail'!E127 / 1000</f>
        <v>6.041607372409084</v>
      </c>
      <c r="F29" s="15">
        <f xml:space="preserve"> 'INPUTS│Residential Retail'!F29 * 'INPUTS│Residential Retail'!F127 / 1000</f>
        <v>6.0109951667145154</v>
      </c>
      <c r="G29" s="15">
        <f xml:space="preserve"> 'INPUTS│Residential Retail'!G29 * 'INPUTS│Residential Retail'!G127 / 1000</f>
        <v>5.9739983386298423</v>
      </c>
      <c r="H29" s="15">
        <f xml:space="preserve"> 'INPUTS│Residential Retail'!H29 * 'INPUTS│Residential Retail'!H127 / 1000</f>
        <v>5.7733924885291099</v>
      </c>
      <c r="I29" s="15">
        <f xml:space="preserve"> 'INPUTS│Residential Retail'!I29 * 'INPUTS│Residential Retail'!I127 / 1000</f>
        <v>0</v>
      </c>
    </row>
    <row r="30" spans="2:10" x14ac:dyDescent="0.2">
      <c r="C30" s="8" t="s">
        <v>81</v>
      </c>
      <c r="D30" s="11" t="s">
        <v>126</v>
      </c>
      <c r="E30" s="15">
        <f xml:space="preserve"> 'INPUTS│Residential Retail'!E30 * 'INPUTS│Residential Retail'!E128 / 1000</f>
        <v>1.6336993162161086</v>
      </c>
      <c r="F30" s="15">
        <f xml:space="preserve"> 'INPUTS│Residential Retail'!F30 * 'INPUTS│Residential Retail'!F128 / 1000</f>
        <v>1.5430610303189898</v>
      </c>
      <c r="G30" s="15">
        <f xml:space="preserve"> 'INPUTS│Residential Retail'!G30 * 'INPUTS│Residential Retail'!G128 / 1000</f>
        <v>1.4633469803463128</v>
      </c>
      <c r="H30" s="15">
        <f xml:space="preserve"> 'INPUTS│Residential Retail'!H30 * 'INPUTS│Residential Retail'!H128 / 1000</f>
        <v>1.3535204862826329</v>
      </c>
      <c r="I30" s="15">
        <f xml:space="preserve"> 'INPUTS│Residential Retail'!I30 * 'INPUTS│Residential Retail'!I128 / 1000</f>
        <v>0</v>
      </c>
    </row>
    <row r="31" spans="2:10" x14ac:dyDescent="0.2">
      <c r="C31" s="8" t="s">
        <v>84</v>
      </c>
      <c r="D31" s="11" t="s">
        <v>126</v>
      </c>
      <c r="E31" s="15">
        <f xml:space="preserve"> 'INPUTS│Residential Retail'!E31 * 'INPUTS│Residential Retail'!E129 / 1000</f>
        <v>0</v>
      </c>
      <c r="F31" s="15">
        <f xml:space="preserve"> 'INPUTS│Residential Retail'!F31 * 'INPUTS│Residential Retail'!F129 / 1000</f>
        <v>0</v>
      </c>
      <c r="G31" s="15">
        <f xml:space="preserve"> 'INPUTS│Residential Retail'!G31 * 'INPUTS│Residential Retail'!G129 / 1000</f>
        <v>0</v>
      </c>
      <c r="H31" s="15">
        <f xml:space="preserve"> 'INPUTS│Residential Retail'!H31 * 'INPUTS│Residential Retail'!H129 / 1000</f>
        <v>2.4838010000000001E-2</v>
      </c>
      <c r="I31" s="15">
        <f xml:space="preserve"> 'INPUTS│Residential Retail'!I31 * 'INPUTS│Residential Retail'!I129 / 1000</f>
        <v>0</v>
      </c>
    </row>
    <row r="32" spans="2:10" x14ac:dyDescent="0.2">
      <c r="C32" s="8" t="s">
        <v>86</v>
      </c>
      <c r="D32" s="11" t="s">
        <v>126</v>
      </c>
      <c r="E32" s="15">
        <f xml:space="preserve"> 'INPUTS│Residential Retail'!E32 * 'INPUTS│Residential Retail'!E130 / 1000</f>
        <v>0.83083591371682852</v>
      </c>
      <c r="F32" s="15">
        <f xml:space="preserve"> 'INPUTS│Residential Retail'!F32 * 'INPUTS│Residential Retail'!F130 / 1000</f>
        <v>0.8353032273769857</v>
      </c>
      <c r="G32" s="15">
        <f xml:space="preserve"> 'INPUTS│Residential Retail'!G32 * 'INPUTS│Residential Retail'!G130 / 1000</f>
        <v>0.82025424768666522</v>
      </c>
      <c r="H32" s="15">
        <f xml:space="preserve"> 'INPUTS│Residential Retail'!H32 * 'INPUTS│Residential Retail'!H130 / 1000</f>
        <v>0.77540532345635671</v>
      </c>
      <c r="I32" s="15">
        <f xml:space="preserve"> 'INPUTS│Residential Retail'!I32 * 'INPUTS│Residential Retail'!I130 / 1000</f>
        <v>0</v>
      </c>
    </row>
    <row r="33" spans="2:10" x14ac:dyDescent="0.2">
      <c r="C33" s="8" t="s">
        <v>88</v>
      </c>
      <c r="D33" s="11" t="s">
        <v>126</v>
      </c>
      <c r="E33" s="15">
        <f xml:space="preserve"> 'INPUTS│Residential Retail'!E33 * 'INPUTS│Residential Retail'!E131 / 1000</f>
        <v>9.6668794818245924</v>
      </c>
      <c r="F33" s="15">
        <f xml:space="preserve"> 'INPUTS│Residential Retail'!F33 * 'INPUTS│Residential Retail'!F131 / 1000</f>
        <v>10.079149570000002</v>
      </c>
      <c r="G33" s="15">
        <f xml:space="preserve"> 'INPUTS│Residential Retail'!G33 * 'INPUTS│Residential Retail'!G131 / 1000</f>
        <v>10.587526970000001</v>
      </c>
      <c r="H33" s="15">
        <f xml:space="preserve"> 'INPUTS│Residential Retail'!H33 * 'INPUTS│Residential Retail'!H131 / 1000</f>
        <v>10.28906956</v>
      </c>
      <c r="I33" s="15">
        <f xml:space="preserve"> 'INPUTS│Residential Retail'!I33 * 'INPUTS│Residential Retail'!I131 / 1000</f>
        <v>0</v>
      </c>
    </row>
    <row r="34" spans="2:10" x14ac:dyDescent="0.2">
      <c r="C34" s="8" t="s">
        <v>90</v>
      </c>
      <c r="D34" s="11" t="s">
        <v>126</v>
      </c>
      <c r="E34" s="15">
        <f xml:space="preserve"> 'INPUTS│Residential Retail'!E34 * 'INPUTS│Residential Retail'!E132 / 1000</f>
        <v>7.9920622383277254E-2</v>
      </c>
      <c r="F34" s="15">
        <f xml:space="preserve"> 'INPUTS│Residential Retail'!F34 * 'INPUTS│Residential Retail'!F132 / 1000</f>
        <v>7.7473954649596624E-2</v>
      </c>
      <c r="G34" s="15">
        <f xml:space="preserve"> 'INPUTS│Residential Retail'!G34 * 'INPUTS│Residential Retail'!G132 / 1000</f>
        <v>7.520048064540541E-2</v>
      </c>
      <c r="H34" s="15">
        <f xml:space="preserve"> 'INPUTS│Residential Retail'!H34 * 'INPUTS│Residential Retail'!H132 / 1000</f>
        <v>7.2731142792614417E-2</v>
      </c>
      <c r="I34" s="15">
        <f xml:space="preserve"> 'INPUTS│Residential Retail'!I34 * 'INPUTS│Residential Retail'!I132 / 1000</f>
        <v>0</v>
      </c>
    </row>
    <row r="35" spans="2:10" x14ac:dyDescent="0.2">
      <c r="C35" s="8" t="s">
        <v>93</v>
      </c>
      <c r="D35" s="11" t="s">
        <v>126</v>
      </c>
      <c r="E35" s="15">
        <f xml:space="preserve"> 'INPUTS│Residential Retail'!E35 * 'INPUTS│Residential Retail'!E133 / 1000</f>
        <v>9.5663374307273585</v>
      </c>
      <c r="F35" s="15">
        <f xml:space="preserve"> 'INPUTS│Residential Retail'!F35 * 'INPUTS│Residential Retail'!F133 / 1000</f>
        <v>8.680115367834869</v>
      </c>
      <c r="G35" s="15">
        <f xml:space="preserve"> 'INPUTS│Residential Retail'!G35 * 'INPUTS│Residential Retail'!G133 / 1000</f>
        <v>7.3764521252261543</v>
      </c>
      <c r="H35" s="15">
        <f xml:space="preserve"> 'INPUTS│Residential Retail'!H35 * 'INPUTS│Residential Retail'!H133 / 1000</f>
        <v>6.2336966065048447</v>
      </c>
      <c r="I35" s="15">
        <f xml:space="preserve"> 'INPUTS│Residential Retail'!I35 * 'INPUTS│Residential Retail'!I133 / 1000</f>
        <v>0</v>
      </c>
    </row>
    <row r="36" spans="2:10" x14ac:dyDescent="0.2">
      <c r="C36" s="8" t="s">
        <v>95</v>
      </c>
      <c r="D36" s="11" t="s">
        <v>126</v>
      </c>
      <c r="E36" s="15">
        <f xml:space="preserve"> 'INPUTS│Residential Retail'!E36 * 'INPUTS│Residential Retail'!E134 / 1000</f>
        <v>22.018209295138373</v>
      </c>
      <c r="F36" s="15">
        <f xml:space="preserve"> 'INPUTS│Residential Retail'!F36 * 'INPUTS│Residential Retail'!F134 / 1000</f>
        <v>21.206240953629987</v>
      </c>
      <c r="G36" s="15">
        <f xml:space="preserve"> 'INPUTS│Residential Retail'!G36 * 'INPUTS│Residential Retail'!G134 / 1000</f>
        <v>20.455786561527891</v>
      </c>
      <c r="H36" s="15">
        <f xml:space="preserve"> 'INPUTS│Residential Retail'!H36 * 'INPUTS│Residential Retail'!H134 / 1000</f>
        <v>19.407423205188248</v>
      </c>
      <c r="I36" s="15">
        <f xml:space="preserve"> 'INPUTS│Residential Retail'!I36 * 'INPUTS│Residential Retail'!I134 / 1000</f>
        <v>0</v>
      </c>
    </row>
    <row r="37" spans="2:10" x14ac:dyDescent="0.2">
      <c r="C37" s="8" t="s">
        <v>97</v>
      </c>
      <c r="D37" s="11" t="s">
        <v>126</v>
      </c>
      <c r="E37" s="15">
        <f xml:space="preserve"> 'INPUTS│Residential Retail'!E37 * 'INPUTS│Residential Retail'!E135 / 1000</f>
        <v>0.82341703843475988</v>
      </c>
      <c r="F37" s="15">
        <f xml:space="preserve"> 'INPUTS│Residential Retail'!F37 * 'INPUTS│Residential Retail'!F135 / 1000</f>
        <v>0.77251425317260425</v>
      </c>
      <c r="G37" s="15">
        <f xml:space="preserve"> 'INPUTS│Residential Retail'!G37 * 'INPUTS│Residential Retail'!G135 / 1000</f>
        <v>0.71895657815443126</v>
      </c>
      <c r="H37" s="15">
        <f xml:space="preserve"> 'INPUTS│Residential Retail'!H37 * 'INPUTS│Residential Retail'!H135 / 1000</f>
        <v>0.67492111791416121</v>
      </c>
      <c r="I37" s="15">
        <f xml:space="preserve"> 'INPUTS│Residential Retail'!I37 * 'INPUTS│Residential Retail'!I135 / 1000</f>
        <v>0</v>
      </c>
    </row>
    <row r="38" spans="2:10" x14ac:dyDescent="0.2">
      <c r="C38" s="8" t="s">
        <v>99</v>
      </c>
      <c r="D38" s="11" t="s">
        <v>126</v>
      </c>
      <c r="E38" s="15">
        <f xml:space="preserve"> 'INPUTS│Residential Retail'!E38 * 'INPUTS│Residential Retail'!E136 / 1000</f>
        <v>6.7163284748837899</v>
      </c>
      <c r="F38" s="15">
        <f xml:space="preserve"> 'INPUTS│Residential Retail'!F38 * 'INPUTS│Residential Retail'!F136 / 1000</f>
        <v>6.6700515723253444</v>
      </c>
      <c r="G38" s="15">
        <f xml:space="preserve"> 'INPUTS│Residential Retail'!G38 * 'INPUTS│Residential Retail'!G136 / 1000</f>
        <v>6.6049485849430294</v>
      </c>
      <c r="H38" s="15">
        <f xml:space="preserve"> 'INPUTS│Residential Retail'!H38 * 'INPUTS│Residential Retail'!H136 / 1000</f>
        <v>6.3675589618135788</v>
      </c>
      <c r="I38" s="15">
        <f xml:space="preserve"> 'INPUTS│Residential Retail'!I38 * 'INPUTS│Residential Retail'!I136 / 1000</f>
        <v>0</v>
      </c>
    </row>
    <row r="39" spans="2:10" x14ac:dyDescent="0.2">
      <c r="C39" s="8" t="s">
        <v>101</v>
      </c>
      <c r="D39" s="11" t="s">
        <v>126</v>
      </c>
      <c r="E39" s="15">
        <f xml:space="preserve"> 'INPUTS│Residential Retail'!E39 * 'INPUTS│Residential Retail'!E137 / 1000</f>
        <v>1.3276416936498816</v>
      </c>
      <c r="F39" s="15">
        <f xml:space="preserve"> 'INPUTS│Residential Retail'!F39 * 'INPUTS│Residential Retail'!F137 / 1000</f>
        <v>1.2704630097323288</v>
      </c>
      <c r="G39" s="15">
        <f xml:space="preserve"> 'INPUTS│Residential Retail'!G39 * 'INPUTS│Residential Retail'!G137 / 1000</f>
        <v>1.2305878892902142</v>
      </c>
      <c r="H39" s="15">
        <f xml:space="preserve"> 'INPUTS│Residential Retail'!H39 * 'INPUTS│Residential Retail'!H137 / 1000</f>
        <v>1.2282821590736255</v>
      </c>
      <c r="I39" s="15">
        <f xml:space="preserve"> 'INPUTS│Residential Retail'!I39 * 'INPUTS│Residential Retail'!I137 / 1000</f>
        <v>0</v>
      </c>
    </row>
    <row r="41" spans="2:10" ht="13.5" x14ac:dyDescent="0.25">
      <c r="B41" s="36" t="s">
        <v>478</v>
      </c>
      <c r="C41" s="36"/>
      <c r="D41" s="37"/>
      <c r="E41" s="36"/>
      <c r="F41" s="36"/>
      <c r="G41" s="36"/>
      <c r="H41" s="36"/>
      <c r="I41" s="36"/>
      <c r="J41" s="36"/>
    </row>
    <row r="43" spans="2:10" x14ac:dyDescent="0.2">
      <c r="C43" s="8" t="s">
        <v>79</v>
      </c>
      <c r="D43" s="11" t="s">
        <v>126</v>
      </c>
      <c r="E43" s="15">
        <f xml:space="preserve"> 'INPUTS│Residential Retail'!E43 * 'INPUTS│Residential Retail'!E141 / 1000</f>
        <v>9.1003491064132014</v>
      </c>
      <c r="F43" s="15">
        <f xml:space="preserve"> 'INPUTS│Residential Retail'!F43 * 'INPUTS│Residential Retail'!F141 / 1000</f>
        <v>8.7568388861319324</v>
      </c>
      <c r="G43" s="15">
        <f xml:space="preserve"> 'INPUTS│Residential Retail'!G43 * 'INPUTS│Residential Retail'!G141 / 1000</f>
        <v>8.2265046752592959</v>
      </c>
      <c r="H43" s="15">
        <f xml:space="preserve"> 'INPUTS│Residential Retail'!H43 * 'INPUTS│Residential Retail'!H141 / 1000</f>
        <v>7.7768817955815086</v>
      </c>
      <c r="I43" s="15">
        <f xml:space="preserve"> 'INPUTS│Residential Retail'!I43 * 'INPUTS│Residential Retail'!I141 / 1000</f>
        <v>0</v>
      </c>
    </row>
    <row r="44" spans="2:10" x14ac:dyDescent="0.2">
      <c r="C44" s="8" t="s">
        <v>81</v>
      </c>
      <c r="D44" s="11" t="s">
        <v>126</v>
      </c>
      <c r="E44" s="15">
        <f xml:space="preserve"> 'INPUTS│Residential Retail'!E44 * 'INPUTS│Residential Retail'!E142 / 1000</f>
        <v>27.622034504534138</v>
      </c>
      <c r="F44" s="15">
        <f xml:space="preserve"> 'INPUTS│Residential Retail'!F44 * 'INPUTS│Residential Retail'!F142 / 1000</f>
        <v>26.36574897920547</v>
      </c>
      <c r="G44" s="15">
        <f xml:space="preserve"> 'INPUTS│Residential Retail'!G44 * 'INPUTS│Residential Retail'!G142 / 1000</f>
        <v>25.103974895422983</v>
      </c>
      <c r="H44" s="15">
        <f xml:space="preserve"> 'INPUTS│Residential Retail'!H44 * 'INPUTS│Residential Retail'!H142 / 1000</f>
        <v>23.949162687159447</v>
      </c>
      <c r="I44" s="15">
        <f xml:space="preserve"> 'INPUTS│Residential Retail'!I44 * 'INPUTS│Residential Retail'!I142 / 1000</f>
        <v>0</v>
      </c>
    </row>
    <row r="45" spans="2:10" x14ac:dyDescent="0.2">
      <c r="C45" s="8" t="s">
        <v>84</v>
      </c>
      <c r="D45" s="11" t="s">
        <v>126</v>
      </c>
      <c r="E45" s="15">
        <f xml:space="preserve"> 'INPUTS│Residential Retail'!E45 * 'INPUTS│Residential Retail'!E143 / 1000</f>
        <v>0</v>
      </c>
      <c r="F45" s="15">
        <f xml:space="preserve"> 'INPUTS│Residential Retail'!F45 * 'INPUTS│Residential Retail'!F143 / 1000</f>
        <v>0</v>
      </c>
      <c r="G45" s="15">
        <f xml:space="preserve"> 'INPUTS│Residential Retail'!G45 * 'INPUTS│Residential Retail'!G143 / 1000</f>
        <v>0</v>
      </c>
      <c r="H45" s="15">
        <f xml:space="preserve"> 'INPUTS│Residential Retail'!H45 * 'INPUTS│Residential Retail'!H143 / 1000</f>
        <v>0.27572622999999996</v>
      </c>
      <c r="I45" s="15">
        <f xml:space="preserve"> 'INPUTS│Residential Retail'!I45 * 'INPUTS│Residential Retail'!I143 / 1000</f>
        <v>0</v>
      </c>
    </row>
    <row r="46" spans="2:10" x14ac:dyDescent="0.2">
      <c r="C46" s="8" t="s">
        <v>86</v>
      </c>
      <c r="D46" s="11" t="s">
        <v>126</v>
      </c>
      <c r="E46" s="15">
        <f xml:space="preserve"> 'INPUTS│Residential Retail'!E46 * 'INPUTS│Residential Retail'!E144 / 1000</f>
        <v>23.037340985677339</v>
      </c>
      <c r="F46" s="15">
        <f xml:space="preserve"> 'INPUTS│Residential Retail'!F46 * 'INPUTS│Residential Retail'!F144 / 1000</f>
        <v>22.756029797570676</v>
      </c>
      <c r="G46" s="15">
        <f xml:space="preserve"> 'INPUTS│Residential Retail'!G46 * 'INPUTS│Residential Retail'!G144 / 1000</f>
        <v>22.329631958709712</v>
      </c>
      <c r="H46" s="15">
        <f xml:space="preserve"> 'INPUTS│Residential Retail'!H46 * 'INPUTS│Residential Retail'!H144 / 1000</f>
        <v>21.827076200650279</v>
      </c>
      <c r="I46" s="15">
        <f xml:space="preserve"> 'INPUTS│Residential Retail'!I46 * 'INPUTS│Residential Retail'!I144 / 1000</f>
        <v>0</v>
      </c>
    </row>
    <row r="47" spans="2:10" x14ac:dyDescent="0.2">
      <c r="C47" s="8" t="s">
        <v>88</v>
      </c>
      <c r="D47" s="11" t="s">
        <v>126</v>
      </c>
      <c r="E47" s="15">
        <f xml:space="preserve"> 'INPUTS│Residential Retail'!E47 * 'INPUTS│Residential Retail'!E145 / 1000</f>
        <v>47.599654199999996</v>
      </c>
      <c r="F47" s="15">
        <f xml:space="preserve"> 'INPUTS│Residential Retail'!F47 * 'INPUTS│Residential Retail'!F145 / 1000</f>
        <v>48.169841099999999</v>
      </c>
      <c r="G47" s="15">
        <f xml:space="preserve"> 'INPUTS│Residential Retail'!G47 * 'INPUTS│Residential Retail'!G145 / 1000</f>
        <v>49.341382339999996</v>
      </c>
      <c r="H47" s="15">
        <f xml:space="preserve"> 'INPUTS│Residential Retail'!H47 * 'INPUTS│Residential Retail'!H145 / 1000</f>
        <v>48.957914099999996</v>
      </c>
      <c r="I47" s="15">
        <f xml:space="preserve"> 'INPUTS│Residential Retail'!I47 * 'INPUTS│Residential Retail'!I145 / 1000</f>
        <v>0</v>
      </c>
    </row>
    <row r="48" spans="2:10" x14ac:dyDescent="0.2">
      <c r="C48" s="8" t="s">
        <v>90</v>
      </c>
      <c r="D48" s="11" t="s">
        <v>126</v>
      </c>
      <c r="E48" s="15">
        <f xml:space="preserve"> 'INPUTS│Residential Retail'!E48 * 'INPUTS│Residential Retail'!E146 / 1000</f>
        <v>5.1803998479110849</v>
      </c>
      <c r="F48" s="15">
        <f xml:space="preserve"> 'INPUTS│Residential Retail'!F48 * 'INPUTS│Residential Retail'!F146 / 1000</f>
        <v>4.896899891253045</v>
      </c>
      <c r="G48" s="15">
        <f xml:space="preserve"> 'INPUTS│Residential Retail'!G48 * 'INPUTS│Residential Retail'!G146 / 1000</f>
        <v>4.6451147587901485</v>
      </c>
      <c r="H48" s="15">
        <f xml:space="preserve"> 'INPUTS│Residential Retail'!H48 * 'INPUTS│Residential Retail'!H146 / 1000</f>
        <v>4.3834432824504912</v>
      </c>
      <c r="I48" s="15">
        <f xml:space="preserve"> 'INPUTS│Residential Retail'!I48 * 'INPUTS│Residential Retail'!I146 / 1000</f>
        <v>0</v>
      </c>
    </row>
    <row r="49" spans="2:10" x14ac:dyDescent="0.2">
      <c r="C49" s="8" t="s">
        <v>93</v>
      </c>
      <c r="D49" s="11" t="s">
        <v>126</v>
      </c>
      <c r="E49" s="15">
        <f xml:space="preserve"> 'INPUTS│Residential Retail'!E49 * 'INPUTS│Residential Retail'!E147 / 1000</f>
        <v>4.6548083025775364</v>
      </c>
      <c r="F49" s="15">
        <f xml:space="preserve"> 'INPUTS│Residential Retail'!F49 * 'INPUTS│Residential Retail'!F147 / 1000</f>
        <v>4.0302639170582708</v>
      </c>
      <c r="G49" s="15">
        <f xml:space="preserve"> 'INPUTS│Residential Retail'!G49 * 'INPUTS│Residential Retail'!G147 / 1000</f>
        <v>3.5929662483475919</v>
      </c>
      <c r="H49" s="15">
        <f xml:space="preserve"> 'INPUTS│Residential Retail'!H49 * 'INPUTS│Residential Retail'!H147 / 1000</f>
        <v>3.281961921117269</v>
      </c>
      <c r="I49" s="15">
        <f xml:space="preserve"> 'INPUTS│Residential Retail'!I49 * 'INPUTS│Residential Retail'!I147 / 1000</f>
        <v>0</v>
      </c>
    </row>
    <row r="50" spans="2:10" x14ac:dyDescent="0.2">
      <c r="C50" s="8" t="s">
        <v>95</v>
      </c>
      <c r="D50" s="11" t="s">
        <v>126</v>
      </c>
      <c r="E50" s="15">
        <f xml:space="preserve"> 'INPUTS│Residential Retail'!E50 * 'INPUTS│Residential Retail'!E148 / 1000</f>
        <v>65.49990350765853</v>
      </c>
      <c r="F50" s="15">
        <f xml:space="preserve"> 'INPUTS│Residential Retail'!F50 * 'INPUTS│Residential Retail'!F148 / 1000</f>
        <v>64.690284827045403</v>
      </c>
      <c r="G50" s="15">
        <f xml:space="preserve"> 'INPUTS│Residential Retail'!G50 * 'INPUTS│Residential Retail'!G148 / 1000</f>
        <v>64.194927008694719</v>
      </c>
      <c r="H50" s="15">
        <f xml:space="preserve"> 'INPUTS│Residential Retail'!H50 * 'INPUTS│Residential Retail'!H148 / 1000</f>
        <v>62.994677682975272</v>
      </c>
      <c r="I50" s="15">
        <f xml:space="preserve"> 'INPUTS│Residential Retail'!I50 * 'INPUTS│Residential Retail'!I148 / 1000</f>
        <v>0</v>
      </c>
    </row>
    <row r="51" spans="2:10" x14ac:dyDescent="0.2">
      <c r="C51" s="8" t="s">
        <v>97</v>
      </c>
      <c r="D51" s="11" t="s">
        <v>126</v>
      </c>
      <c r="E51" s="15">
        <f xml:space="preserve"> 'INPUTS│Residential Retail'!E51 * 'INPUTS│Residential Retail'!E149 / 1000</f>
        <v>73.061938049415318</v>
      </c>
      <c r="F51" s="15">
        <f xml:space="preserve"> 'INPUTS│Residential Retail'!F51 * 'INPUTS│Residential Retail'!F149 / 1000</f>
        <v>68.720091142506305</v>
      </c>
      <c r="G51" s="15">
        <f xml:space="preserve"> 'INPUTS│Residential Retail'!G51 * 'INPUTS│Residential Retail'!G149 / 1000</f>
        <v>63.245791992912501</v>
      </c>
      <c r="H51" s="15">
        <f xml:space="preserve"> 'INPUTS│Residential Retail'!H51 * 'INPUTS│Residential Retail'!H149 / 1000</f>
        <v>59.287261917984367</v>
      </c>
      <c r="I51" s="15">
        <f xml:space="preserve"> 'INPUTS│Residential Retail'!I51 * 'INPUTS│Residential Retail'!I149 / 1000</f>
        <v>0</v>
      </c>
    </row>
    <row r="52" spans="2:10" x14ac:dyDescent="0.2">
      <c r="C52" s="8" t="s">
        <v>99</v>
      </c>
      <c r="D52" s="11" t="s">
        <v>126</v>
      </c>
      <c r="E52" s="15">
        <f xml:space="preserve"> 'INPUTS│Residential Retail'!E52 * 'INPUTS│Residential Retail'!E150 / 1000</f>
        <v>5.6576831328621831</v>
      </c>
      <c r="F52" s="15">
        <f xml:space="preserve"> 'INPUTS│Residential Retail'!F52 * 'INPUTS│Residential Retail'!F150 / 1000</f>
        <v>5.5825669647811393</v>
      </c>
      <c r="G52" s="15">
        <f xml:space="preserve"> 'INPUTS│Residential Retail'!G52 * 'INPUTS│Residential Retail'!G150 / 1000</f>
        <v>5.4541778579047806</v>
      </c>
      <c r="H52" s="15">
        <f xml:space="preserve"> 'INPUTS│Residential Retail'!H52 * 'INPUTS│Residential Retail'!H150 / 1000</f>
        <v>5.2722793539733006</v>
      </c>
      <c r="I52" s="15">
        <f xml:space="preserve"> 'INPUTS│Residential Retail'!I52 * 'INPUTS│Residential Retail'!I150 / 1000</f>
        <v>0</v>
      </c>
    </row>
    <row r="53" spans="2:10" x14ac:dyDescent="0.2">
      <c r="C53" s="8" t="s">
        <v>101</v>
      </c>
      <c r="D53" s="11" t="s">
        <v>126</v>
      </c>
      <c r="E53" s="15">
        <f xml:space="preserve"> 'INPUTS│Residential Retail'!E53 * 'INPUTS│Residential Retail'!E151 / 1000</f>
        <v>24.202275975636613</v>
      </c>
      <c r="F53" s="15">
        <f xml:space="preserve"> 'INPUTS│Residential Retail'!F53 * 'INPUTS│Residential Retail'!F151 / 1000</f>
        <v>24.03123701897249</v>
      </c>
      <c r="G53" s="15">
        <f xml:space="preserve"> 'INPUTS│Residential Retail'!G53 * 'INPUTS│Residential Retail'!G151 / 1000</f>
        <v>23.820057121655822</v>
      </c>
      <c r="H53" s="15">
        <f xml:space="preserve"> 'INPUTS│Residential Retail'!H53 * 'INPUTS│Residential Retail'!H151 / 1000</f>
        <v>23.50273757453559</v>
      </c>
      <c r="I53" s="15">
        <f xml:space="preserve"> 'INPUTS│Residential Retail'!I53 * 'INPUTS│Residential Retail'!I151 / 1000</f>
        <v>0</v>
      </c>
    </row>
    <row r="55" spans="2:10" ht="13.5" x14ac:dyDescent="0.25">
      <c r="B55" s="36" t="s">
        <v>479</v>
      </c>
      <c r="C55" s="36"/>
      <c r="D55" s="37"/>
      <c r="E55" s="36"/>
      <c r="F55" s="36"/>
      <c r="G55" s="36"/>
      <c r="H55" s="36"/>
      <c r="I55" s="36"/>
      <c r="J55" s="36"/>
    </row>
    <row r="57" spans="2:10" x14ac:dyDescent="0.2">
      <c r="C57" s="8" t="s">
        <v>79</v>
      </c>
      <c r="D57" s="11" t="s">
        <v>126</v>
      </c>
      <c r="E57" s="15">
        <f xml:space="preserve"> 'INPUTS│Residential Retail'!E57 * 'INPUTS│Residential Retail'!E155 / 1000</f>
        <v>3.1932467967483849</v>
      </c>
      <c r="F57" s="15">
        <f xml:space="preserve"> 'INPUTS│Residential Retail'!F57 * 'INPUTS│Residential Retail'!F155 / 1000</f>
        <v>3.3737652574955241</v>
      </c>
      <c r="G57" s="15">
        <f xml:space="preserve"> 'INPUTS│Residential Retail'!G57 * 'INPUTS│Residential Retail'!G155 / 1000</f>
        <v>3.5406221416748207</v>
      </c>
      <c r="H57" s="15">
        <f xml:space="preserve"> 'INPUTS│Residential Retail'!H57 * 'INPUTS│Residential Retail'!H155 / 1000</f>
        <v>3.7217381761805814</v>
      </c>
      <c r="I57" s="15">
        <f xml:space="preserve"> 'INPUTS│Residential Retail'!I57 * 'INPUTS│Residential Retail'!I155 / 1000</f>
        <v>0</v>
      </c>
    </row>
    <row r="58" spans="2:10" x14ac:dyDescent="0.2">
      <c r="C58" s="8" t="s">
        <v>81</v>
      </c>
      <c r="D58" s="11" t="s">
        <v>126</v>
      </c>
      <c r="E58" s="15">
        <f xml:space="preserve"> 'INPUTS│Residential Retail'!E58 * 'INPUTS│Residential Retail'!E156 / 1000</f>
        <v>0.90045076081423547</v>
      </c>
      <c r="F58" s="15">
        <f xml:space="preserve"> 'INPUTS│Residential Retail'!F58 * 'INPUTS│Residential Retail'!F156 / 1000</f>
        <v>1.0327388475465429</v>
      </c>
      <c r="G58" s="15">
        <f xml:space="preserve"> 'INPUTS│Residential Retail'!G58 * 'INPUTS│Residential Retail'!G156 / 1000</f>
        <v>1.0132388424393115</v>
      </c>
      <c r="H58" s="15">
        <f xml:space="preserve"> 'INPUTS│Residential Retail'!H58 * 'INPUTS│Residential Retail'!H156 / 1000</f>
        <v>1.0015819003468349</v>
      </c>
      <c r="I58" s="15">
        <f xml:space="preserve"> 'INPUTS│Residential Retail'!I58 * 'INPUTS│Residential Retail'!I156 / 1000</f>
        <v>0</v>
      </c>
    </row>
    <row r="59" spans="2:10" x14ac:dyDescent="0.2">
      <c r="C59" s="8" t="s">
        <v>84</v>
      </c>
      <c r="D59" s="11" t="s">
        <v>126</v>
      </c>
      <c r="E59" s="15">
        <f xml:space="preserve"> 'INPUTS│Residential Retail'!E59 * 'INPUTS│Residential Retail'!E157 / 1000</f>
        <v>1.7384916399999999</v>
      </c>
      <c r="F59" s="15">
        <f xml:space="preserve"> 'INPUTS│Residential Retail'!F59 * 'INPUTS│Residential Retail'!F157 / 1000</f>
        <v>1.8016308000000003</v>
      </c>
      <c r="G59" s="15">
        <f xml:space="preserve"> 'INPUTS│Residential Retail'!G59 * 'INPUTS│Residential Retail'!G157 / 1000</f>
        <v>1.8691050300000003</v>
      </c>
      <c r="H59" s="15">
        <f xml:space="preserve"> 'INPUTS│Residential Retail'!H59 * 'INPUTS│Residential Retail'!H157 / 1000</f>
        <v>1.1732114300000001</v>
      </c>
      <c r="I59" s="15">
        <f xml:space="preserve"> 'INPUTS│Residential Retail'!I59 * 'INPUTS│Residential Retail'!I157 / 1000</f>
        <v>0</v>
      </c>
    </row>
    <row r="60" spans="2:10" x14ac:dyDescent="0.2">
      <c r="C60" s="8" t="s">
        <v>86</v>
      </c>
      <c r="D60" s="11" t="s">
        <v>126</v>
      </c>
      <c r="E60" s="15">
        <f xml:space="preserve"> 'INPUTS│Residential Retail'!E60 * 'INPUTS│Residential Retail'!E158 / 1000</f>
        <v>11.681404994262104</v>
      </c>
      <c r="F60" s="15">
        <f xml:space="preserve"> 'INPUTS│Residential Retail'!F60 * 'INPUTS│Residential Retail'!F158 / 1000</f>
        <v>12.156304917964519</v>
      </c>
      <c r="G60" s="15">
        <f xml:space="preserve"> 'INPUTS│Residential Retail'!G60 * 'INPUTS│Residential Retail'!G158 / 1000</f>
        <v>12.600907854043731</v>
      </c>
      <c r="H60" s="15">
        <f xml:space="preserve"> 'INPUTS│Residential Retail'!H60 * 'INPUTS│Residential Retail'!H158 / 1000</f>
        <v>13.00541776767211</v>
      </c>
      <c r="I60" s="15">
        <f xml:space="preserve"> 'INPUTS│Residential Retail'!I60 * 'INPUTS│Residential Retail'!I158 / 1000</f>
        <v>0</v>
      </c>
    </row>
    <row r="61" spans="2:10" x14ac:dyDescent="0.2">
      <c r="C61" s="8" t="s">
        <v>88</v>
      </c>
      <c r="D61" s="11" t="s">
        <v>126</v>
      </c>
      <c r="E61" s="15">
        <f xml:space="preserve"> 'INPUTS│Residential Retail'!E61 * 'INPUTS│Residential Retail'!E159 / 1000</f>
        <v>3.4452197325</v>
      </c>
      <c r="F61" s="15">
        <f xml:space="preserve"> 'INPUTS│Residential Retail'!F61 * 'INPUTS│Residential Retail'!F159 / 1000</f>
        <v>3.6512333399999997</v>
      </c>
      <c r="G61" s="15">
        <f xml:space="preserve"> 'INPUTS│Residential Retail'!G61 * 'INPUTS│Residential Retail'!G159 / 1000</f>
        <v>3.7615581000000002</v>
      </c>
      <c r="H61" s="15">
        <f xml:space="preserve"> 'INPUTS│Residential Retail'!H61 * 'INPUTS│Residential Retail'!H159 / 1000</f>
        <v>4.5421821499999995</v>
      </c>
      <c r="I61" s="15">
        <f xml:space="preserve"> 'INPUTS│Residential Retail'!I61 * 'INPUTS│Residential Retail'!I159 / 1000</f>
        <v>0</v>
      </c>
    </row>
    <row r="62" spans="2:10" x14ac:dyDescent="0.2">
      <c r="C62" s="8" t="s">
        <v>90</v>
      </c>
      <c r="D62" s="11" t="s">
        <v>126</v>
      </c>
      <c r="E62" s="15">
        <f xml:space="preserve"> 'INPUTS│Residential Retail'!E62 * 'INPUTS│Residential Retail'!E160 / 1000</f>
        <v>4.6656108899709707</v>
      </c>
      <c r="F62" s="15">
        <f xml:space="preserve"> 'INPUTS│Residential Retail'!F62 * 'INPUTS│Residential Retail'!F160 / 1000</f>
        <v>4.8137726262264655</v>
      </c>
      <c r="G62" s="15">
        <f xml:space="preserve"> 'INPUTS│Residential Retail'!G62 * 'INPUTS│Residential Retail'!G160 / 1000</f>
        <v>5.0105598932469073</v>
      </c>
      <c r="H62" s="15">
        <f xml:space="preserve"> 'INPUTS│Residential Retail'!H62 * 'INPUTS│Residential Retail'!H160 / 1000</f>
        <v>5.0052425759186141</v>
      </c>
      <c r="I62" s="15">
        <f xml:space="preserve"> 'INPUTS│Residential Retail'!I62 * 'INPUTS│Residential Retail'!I160 / 1000</f>
        <v>0</v>
      </c>
    </row>
    <row r="63" spans="2:10" x14ac:dyDescent="0.2">
      <c r="C63" s="8" t="s">
        <v>93</v>
      </c>
      <c r="D63" s="11" t="s">
        <v>126</v>
      </c>
      <c r="E63" s="15">
        <f xml:space="preserve"> 'INPUTS│Residential Retail'!E63 * 'INPUTS│Residential Retail'!E161 / 1000</f>
        <v>1.8968858440152205</v>
      </c>
      <c r="F63" s="15">
        <f xml:space="preserve"> 'INPUTS│Residential Retail'!F63 * 'INPUTS│Residential Retail'!F161 / 1000</f>
        <v>1.9719738247204806</v>
      </c>
      <c r="G63" s="15">
        <f xml:space="preserve"> 'INPUTS│Residential Retail'!G63 * 'INPUTS│Residential Retail'!G161 / 1000</f>
        <v>1.8637304143013027</v>
      </c>
      <c r="H63" s="15">
        <f xml:space="preserve"> 'INPUTS│Residential Retail'!H63 * 'INPUTS│Residential Retail'!H161 / 1000</f>
        <v>1.8293417360645849</v>
      </c>
      <c r="I63" s="15">
        <f xml:space="preserve"> 'INPUTS│Residential Retail'!I63 * 'INPUTS│Residential Retail'!I161 / 1000</f>
        <v>0</v>
      </c>
    </row>
    <row r="64" spans="2:10" x14ac:dyDescent="0.2">
      <c r="C64" s="8" t="s">
        <v>95</v>
      </c>
      <c r="D64" s="11" t="s">
        <v>126</v>
      </c>
      <c r="E64" s="15">
        <f xml:space="preserve"> 'INPUTS│Residential Retail'!E64 * 'INPUTS│Residential Retail'!E162 / 1000</f>
        <v>0.66238299500209685</v>
      </c>
      <c r="F64" s="15">
        <f xml:space="preserve"> 'INPUTS│Residential Retail'!F64 * 'INPUTS│Residential Retail'!F162 / 1000</f>
        <v>0.66945416355490794</v>
      </c>
      <c r="G64" s="15">
        <f xml:space="preserve"> 'INPUTS│Residential Retail'!G64 * 'INPUTS│Residential Retail'!G162 / 1000</f>
        <v>0.68039879046896146</v>
      </c>
      <c r="H64" s="15">
        <f xml:space="preserve"> 'INPUTS│Residential Retail'!H64 * 'INPUTS│Residential Retail'!H162 / 1000</f>
        <v>0.68809493610409644</v>
      </c>
      <c r="I64" s="15">
        <f xml:space="preserve"> 'INPUTS│Residential Retail'!I64 * 'INPUTS│Residential Retail'!I162 / 1000</f>
        <v>0</v>
      </c>
    </row>
    <row r="65" spans="2:10" x14ac:dyDescent="0.2">
      <c r="C65" s="8" t="s">
        <v>97</v>
      </c>
      <c r="D65" s="11" t="s">
        <v>126</v>
      </c>
      <c r="E65" s="15">
        <f xml:space="preserve"> 'INPUTS│Residential Retail'!E65 * 'INPUTS│Residential Retail'!E163 / 1000</f>
        <v>0.98109984081966395</v>
      </c>
      <c r="F65" s="15">
        <f xml:space="preserve"> 'INPUTS│Residential Retail'!F65 * 'INPUTS│Residential Retail'!F163 / 1000</f>
        <v>0.98008042672940965</v>
      </c>
      <c r="G65" s="15">
        <f xml:space="preserve"> 'INPUTS│Residential Retail'!G65 * 'INPUTS│Residential Retail'!G163 / 1000</f>
        <v>0.98268449502936295</v>
      </c>
      <c r="H65" s="15">
        <f xml:space="preserve"> 'INPUTS│Residential Retail'!H65 * 'INPUTS│Residential Retail'!H163 / 1000</f>
        <v>0.95950505374524009</v>
      </c>
      <c r="I65" s="15">
        <f xml:space="preserve"> 'INPUTS│Residential Retail'!I65 * 'INPUTS│Residential Retail'!I163 / 1000</f>
        <v>0</v>
      </c>
    </row>
    <row r="66" spans="2:10" x14ac:dyDescent="0.2">
      <c r="C66" s="8" t="s">
        <v>99</v>
      </c>
      <c r="D66" s="11" t="s">
        <v>126</v>
      </c>
      <c r="E66" s="15">
        <f xml:space="preserve"> 'INPUTS│Residential Retail'!E66 * 'INPUTS│Residential Retail'!E164 / 1000</f>
        <v>0.49875933203007133</v>
      </c>
      <c r="F66" s="15">
        <f xml:space="preserve"> 'INPUTS│Residential Retail'!F66 * 'INPUTS│Residential Retail'!F164 / 1000</f>
        <v>0.52693252537406388</v>
      </c>
      <c r="G66" s="15">
        <f xml:space="preserve"> 'INPUTS│Residential Retail'!G66 * 'INPUTS│Residential Retail'!G164 / 1000</f>
        <v>0.56675100962957536</v>
      </c>
      <c r="H66" s="15">
        <f xml:space="preserve"> 'INPUTS│Residential Retail'!H66 * 'INPUTS│Residential Retail'!H164 / 1000</f>
        <v>0.60162859464192164</v>
      </c>
      <c r="I66" s="15">
        <f xml:space="preserve"> 'INPUTS│Residential Retail'!I66 * 'INPUTS│Residential Retail'!I164 / 1000</f>
        <v>0</v>
      </c>
    </row>
    <row r="67" spans="2:10" x14ac:dyDescent="0.2">
      <c r="C67" s="8" t="s">
        <v>101</v>
      </c>
      <c r="D67" s="11" t="s">
        <v>126</v>
      </c>
      <c r="E67" s="15">
        <f xml:space="preserve"> 'INPUTS│Residential Retail'!E67 * 'INPUTS│Residential Retail'!E165 / 1000</f>
        <v>1.1364248715436702</v>
      </c>
      <c r="F67" s="15">
        <f xml:space="preserve"> 'INPUTS│Residential Retail'!F67 * 'INPUTS│Residential Retail'!F165 / 1000</f>
        <v>1.23914686746773</v>
      </c>
      <c r="G67" s="15">
        <f xml:space="preserve"> 'INPUTS│Residential Retail'!G67 * 'INPUTS│Residential Retail'!G165 / 1000</f>
        <v>1.2978803124579699</v>
      </c>
      <c r="H67" s="15">
        <f xml:space="preserve"> 'INPUTS│Residential Retail'!H67 * 'INPUTS│Residential Retail'!H165 / 1000</f>
        <v>1.3936761246853648</v>
      </c>
      <c r="I67" s="15">
        <f xml:space="preserve"> 'INPUTS│Residential Retail'!I67 * 'INPUTS│Residential Retail'!I165 / 1000</f>
        <v>0</v>
      </c>
    </row>
    <row r="68" spans="2:10" x14ac:dyDescent="0.2">
      <c r="C68" s="8" t="s">
        <v>103</v>
      </c>
      <c r="D68" s="11" t="s">
        <v>126</v>
      </c>
      <c r="E68" s="15">
        <f xml:space="preserve"> 'INPUTS│Residential Retail'!E68 * 'INPUTS│Residential Retail'!E166 / 1000</f>
        <v>16.979797244689685</v>
      </c>
      <c r="F68" s="15">
        <f xml:space="preserve"> 'INPUTS│Residential Retail'!F68 * 'INPUTS│Residential Retail'!F166 / 1000</f>
        <v>17.026764313112722</v>
      </c>
      <c r="G68" s="15">
        <f xml:space="preserve"> 'INPUTS│Residential Retail'!G68 * 'INPUTS│Residential Retail'!G166 / 1000</f>
        <v>17.103144753708666</v>
      </c>
      <c r="H68" s="15">
        <f xml:space="preserve"> 'INPUTS│Residential Retail'!H68 * 'INPUTS│Residential Retail'!H166 / 1000</f>
        <v>17.426089626278472</v>
      </c>
      <c r="I68" s="15">
        <f xml:space="preserve"> 'INPUTS│Residential Retail'!I68 * 'INPUTS│Residential Retail'!I166 / 1000</f>
        <v>0</v>
      </c>
    </row>
    <row r="69" spans="2:10" x14ac:dyDescent="0.2">
      <c r="C69" s="8" t="s">
        <v>105</v>
      </c>
      <c r="D69" s="11" t="s">
        <v>126</v>
      </c>
      <c r="E69" s="15">
        <f xml:space="preserve"> 'INPUTS│Residential Retail'!E69 * 'INPUTS│Residential Retail'!E167 / 1000</f>
        <v>5.7340919520041709</v>
      </c>
      <c r="F69" s="15">
        <f xml:space="preserve"> 'INPUTS│Residential Retail'!F69 * 'INPUTS│Residential Retail'!F167 / 1000</f>
        <v>6.0160900997175695</v>
      </c>
      <c r="G69" s="15">
        <f xml:space="preserve"> 'INPUTS│Residential Retail'!G69 * 'INPUTS│Residential Retail'!G167 / 1000</f>
        <v>6.4750522391910277</v>
      </c>
      <c r="H69" s="15">
        <f xml:space="preserve"> 'INPUTS│Residential Retail'!H69 * 'INPUTS│Residential Retail'!H167 / 1000</f>
        <v>7.0489752262423027</v>
      </c>
      <c r="I69" s="15">
        <f xml:space="preserve"> 'INPUTS│Residential Retail'!I69 * 'INPUTS│Residential Retail'!I167 / 1000</f>
        <v>0</v>
      </c>
    </row>
    <row r="70" spans="2:10" x14ac:dyDescent="0.2">
      <c r="C70" s="8" t="s">
        <v>107</v>
      </c>
      <c r="D70" s="11" t="s">
        <v>126</v>
      </c>
      <c r="E70" s="15">
        <f xml:space="preserve"> 'INPUTS│Residential Retail'!E70 * 'INPUTS│Residential Retail'!E168 / 1000</f>
        <v>1.4917467603307593</v>
      </c>
      <c r="F70" s="15">
        <f xml:space="preserve"> 'INPUTS│Residential Retail'!F70 * 'INPUTS│Residential Retail'!F168 / 1000</f>
        <v>1.6075557857616425</v>
      </c>
      <c r="G70" s="15">
        <f xml:space="preserve"> 'INPUTS│Residential Retail'!G70 * 'INPUTS│Residential Retail'!G168 / 1000</f>
        <v>1.7093412853159993</v>
      </c>
      <c r="H70" s="15">
        <f xml:space="preserve"> 'INPUTS│Residential Retail'!H70 * 'INPUTS│Residential Retail'!H168 / 1000</f>
        <v>1.7835834722812125</v>
      </c>
      <c r="I70" s="15">
        <f xml:space="preserve"> 'INPUTS│Residential Retail'!I70 * 'INPUTS│Residential Retail'!I168 / 1000</f>
        <v>0</v>
      </c>
    </row>
    <row r="71" spans="2:10" x14ac:dyDescent="0.2">
      <c r="C71" s="8" t="s">
        <v>111</v>
      </c>
      <c r="D71" s="11" t="s">
        <v>126</v>
      </c>
      <c r="E71" s="15">
        <f xml:space="preserve"> 'INPUTS│Residential Retail'!E71 * 'INPUTS│Residential Retail'!E169 / 1000</f>
        <v>16.078153402734539</v>
      </c>
      <c r="F71" s="15">
        <f xml:space="preserve"> 'INPUTS│Residential Retail'!F71 * 'INPUTS│Residential Retail'!F169 / 1000</f>
        <v>17.493920922261331</v>
      </c>
      <c r="G71" s="15">
        <f xml:space="preserve"> 'INPUTS│Residential Retail'!G71 * 'INPUTS│Residential Retail'!G169 / 1000</f>
        <v>18.892829329489928</v>
      </c>
      <c r="H71" s="15">
        <f xml:space="preserve"> 'INPUTS│Residential Retail'!H71 * 'INPUTS│Residential Retail'!H169 / 1000</f>
        <v>19.99723286082169</v>
      </c>
      <c r="I71" s="15">
        <f xml:space="preserve"> 'INPUTS│Residential Retail'!I71 * 'INPUTS│Residential Retail'!I169 / 1000</f>
        <v>0</v>
      </c>
    </row>
    <row r="72" spans="2:10" x14ac:dyDescent="0.2">
      <c r="C72" s="8" t="s">
        <v>113</v>
      </c>
      <c r="D72" s="11" t="s">
        <v>126</v>
      </c>
      <c r="E72" s="15">
        <f xml:space="preserve"> 'INPUTS│Residential Retail'!E72 * 'INPUTS│Residential Retail'!E170 / 1000</f>
        <v>7.1561859309538383</v>
      </c>
      <c r="F72" s="15">
        <f xml:space="preserve"> 'INPUTS│Residential Retail'!F72 * 'INPUTS│Residential Retail'!F170 / 1000</f>
        <v>7.5017084038272666</v>
      </c>
      <c r="G72" s="15">
        <f xml:space="preserve"> 'INPUTS│Residential Retail'!G72 * 'INPUTS│Residential Retail'!G170 / 1000</f>
        <v>7.8065604893330791</v>
      </c>
      <c r="H72" s="15">
        <f xml:space="preserve"> 'INPUTS│Residential Retail'!H72 * 'INPUTS│Residential Retail'!H170 / 1000</f>
        <v>8.5210658106653572</v>
      </c>
      <c r="I72" s="15">
        <f xml:space="preserve"> 'INPUTS│Residential Retail'!I72 * 'INPUTS│Residential Retail'!I170 / 1000</f>
        <v>0</v>
      </c>
    </row>
    <row r="73" spans="2:10" x14ac:dyDescent="0.2">
      <c r="C73" s="8" t="s">
        <v>109</v>
      </c>
      <c r="D73" s="11" t="s">
        <v>126</v>
      </c>
      <c r="E73" s="15">
        <f xml:space="preserve"> 'INPUTS│Residential Retail'!E73 * 'INPUTS│Residential Retail'!E171 / 1000</f>
        <v>3.3160149409439583</v>
      </c>
      <c r="F73" s="15">
        <f xml:space="preserve"> 'INPUTS│Residential Retail'!F73 * 'INPUTS│Residential Retail'!F171 / 1000</f>
        <v>3.4690436639306079</v>
      </c>
      <c r="G73" s="15">
        <f xml:space="preserve"> 'INPUTS│Residential Retail'!G73 * 'INPUTS│Residential Retail'!G171 / 1000</f>
        <v>3.7008711338919111</v>
      </c>
      <c r="H73" s="15">
        <f xml:space="preserve"> 'INPUTS│Residential Retail'!H73 * 'INPUTS│Residential Retail'!H171 / 1000</f>
        <v>3.8162023508975027</v>
      </c>
      <c r="I73" s="15">
        <f xml:space="preserve"> 'INPUTS│Residential Retail'!I73 * 'INPUTS│Residential Retail'!I171 / 1000</f>
        <v>0</v>
      </c>
    </row>
    <row r="75" spans="2:10" ht="13.5" x14ac:dyDescent="0.25">
      <c r="B75" s="36" t="s">
        <v>480</v>
      </c>
      <c r="C75" s="36"/>
      <c r="D75" s="37"/>
      <c r="E75" s="36"/>
      <c r="F75" s="36"/>
      <c r="G75" s="36"/>
      <c r="H75" s="36"/>
      <c r="I75" s="36"/>
      <c r="J75" s="36"/>
    </row>
    <row r="77" spans="2:10" x14ac:dyDescent="0.2">
      <c r="C77" s="8" t="s">
        <v>79</v>
      </c>
      <c r="D77" s="11" t="s">
        <v>126</v>
      </c>
      <c r="E77" s="15">
        <f xml:space="preserve"> 'INPUTS│Residential Retail'!E77 * 'INPUTS│Residential Retail'!E175 / 1000</f>
        <v>13.640339616689085</v>
      </c>
      <c r="F77" s="15">
        <f xml:space="preserve"> 'INPUTS│Residential Retail'!F77 * 'INPUTS│Residential Retail'!F175 / 1000</f>
        <v>14.400966435255222</v>
      </c>
      <c r="G77" s="15">
        <f xml:space="preserve"> 'INPUTS│Residential Retail'!G77 * 'INPUTS│Residential Retail'!G175 / 1000</f>
        <v>14.962832554593819</v>
      </c>
      <c r="H77" s="15">
        <f xml:space="preserve"> 'INPUTS│Residential Retail'!H77 * 'INPUTS│Residential Retail'!H175 / 1000</f>
        <v>15.426668081888639</v>
      </c>
      <c r="I77" s="15">
        <f xml:space="preserve"> 'INPUTS│Residential Retail'!I77 * 'INPUTS│Residential Retail'!I175 / 1000</f>
        <v>0</v>
      </c>
    </row>
    <row r="78" spans="2:10" x14ac:dyDescent="0.2">
      <c r="C78" s="8" t="s">
        <v>81</v>
      </c>
      <c r="D78" s="11" t="s">
        <v>126</v>
      </c>
      <c r="E78" s="15">
        <f xml:space="preserve"> 'INPUTS│Residential Retail'!E78 * 'INPUTS│Residential Retail'!E176 / 1000</f>
        <v>2.9215597810622733</v>
      </c>
      <c r="F78" s="15">
        <f xml:space="preserve"> 'INPUTS│Residential Retail'!F78 * 'INPUTS│Residential Retail'!F176 / 1000</f>
        <v>2.8597638484282366</v>
      </c>
      <c r="G78" s="15">
        <f xml:space="preserve"> 'INPUTS│Residential Retail'!G78 * 'INPUTS│Residential Retail'!G176 / 1000</f>
        <v>2.8343715060993726</v>
      </c>
      <c r="H78" s="15">
        <f xml:space="preserve"> 'INPUTS│Residential Retail'!H78 * 'INPUTS│Residential Retail'!H176 / 1000</f>
        <v>2.6973111122045346</v>
      </c>
      <c r="I78" s="15">
        <f xml:space="preserve"> 'INPUTS│Residential Retail'!I78 * 'INPUTS│Residential Retail'!I176 / 1000</f>
        <v>0</v>
      </c>
    </row>
    <row r="79" spans="2:10" x14ac:dyDescent="0.2">
      <c r="C79" s="8" t="s">
        <v>84</v>
      </c>
      <c r="D79" s="11" t="s">
        <v>126</v>
      </c>
      <c r="E79" s="15">
        <f xml:space="preserve"> 'INPUTS│Residential Retail'!E79 * 'INPUTS│Residential Retail'!E177 / 1000</f>
        <v>0</v>
      </c>
      <c r="F79" s="15">
        <f xml:space="preserve"> 'INPUTS│Residential Retail'!F79 * 'INPUTS│Residential Retail'!F177 / 1000</f>
        <v>0</v>
      </c>
      <c r="G79" s="15">
        <f xml:space="preserve"> 'INPUTS│Residential Retail'!G79 * 'INPUTS│Residential Retail'!G177 / 1000</f>
        <v>0</v>
      </c>
      <c r="H79" s="15">
        <f xml:space="preserve"> 'INPUTS│Residential Retail'!H79 * 'INPUTS│Residential Retail'!H177 / 1000</f>
        <v>3.3946879999999999E-2</v>
      </c>
      <c r="I79" s="15">
        <f xml:space="preserve"> 'INPUTS│Residential Retail'!I79 * 'INPUTS│Residential Retail'!I177 / 1000</f>
        <v>0</v>
      </c>
    </row>
    <row r="80" spans="2:10" x14ac:dyDescent="0.2">
      <c r="C80" s="8" t="s">
        <v>86</v>
      </c>
      <c r="D80" s="11" t="s">
        <v>126</v>
      </c>
      <c r="E80" s="15">
        <f xml:space="preserve"> 'INPUTS│Residential Retail'!E80 * 'INPUTS│Residential Retail'!E178 / 1000</f>
        <v>0.86813710619554341</v>
      </c>
      <c r="F80" s="15">
        <f xml:space="preserve"> 'INPUTS│Residential Retail'!F80 * 'INPUTS│Residential Retail'!F178 / 1000</f>
        <v>0.89805040753400067</v>
      </c>
      <c r="G80" s="15">
        <f xml:space="preserve"> 'INPUTS│Residential Retail'!G80 * 'INPUTS│Residential Retail'!G178 / 1000</f>
        <v>0.92427918661667174</v>
      </c>
      <c r="H80" s="15">
        <f xml:space="preserve"> 'INPUTS│Residential Retail'!H80 * 'INPUTS│Residential Retail'!H178 / 1000</f>
        <v>0.95112550059189205</v>
      </c>
      <c r="I80" s="15">
        <f xml:space="preserve"> 'INPUTS│Residential Retail'!I80 * 'INPUTS│Residential Retail'!I178 / 1000</f>
        <v>0</v>
      </c>
    </row>
    <row r="81" spans="2:10" x14ac:dyDescent="0.2">
      <c r="C81" s="8" t="s">
        <v>88</v>
      </c>
      <c r="D81" s="11" t="s">
        <v>126</v>
      </c>
      <c r="E81" s="15">
        <f xml:space="preserve"> 'INPUTS│Residential Retail'!E81 * 'INPUTS│Residential Retail'!E179 / 1000</f>
        <v>5.6819383588102674</v>
      </c>
      <c r="F81" s="15">
        <f xml:space="preserve"> 'INPUTS│Residential Retail'!F81 * 'INPUTS│Residential Retail'!F179 / 1000</f>
        <v>6.3072736399999991</v>
      </c>
      <c r="G81" s="15">
        <f xml:space="preserve"> 'INPUTS│Residential Retail'!G81 * 'INPUTS│Residential Retail'!G179 / 1000</f>
        <v>6.5988118</v>
      </c>
      <c r="H81" s="15">
        <f xml:space="preserve"> 'INPUTS│Residential Retail'!H81 * 'INPUTS│Residential Retail'!H179 / 1000</f>
        <v>7.0503667500000002</v>
      </c>
      <c r="I81" s="15">
        <f xml:space="preserve"> 'INPUTS│Residential Retail'!I81 * 'INPUTS│Residential Retail'!I179 / 1000</f>
        <v>0</v>
      </c>
    </row>
    <row r="82" spans="2:10" x14ac:dyDescent="0.2">
      <c r="C82" s="8" t="s">
        <v>90</v>
      </c>
      <c r="D82" s="11" t="s">
        <v>126</v>
      </c>
      <c r="E82" s="15">
        <f xml:space="preserve"> 'INPUTS│Residential Retail'!E82 * 'INPUTS│Residential Retail'!E180 / 1000</f>
        <v>7.5722771510620263E-2</v>
      </c>
      <c r="F82" s="15">
        <f xml:space="preserve"> 'INPUTS│Residential Retail'!F82 * 'INPUTS│Residential Retail'!F180 / 1000</f>
        <v>8.0073751785489117E-2</v>
      </c>
      <c r="G82" s="15">
        <f xml:space="preserve"> 'INPUTS│Residential Retail'!G82 * 'INPUTS│Residential Retail'!G180 / 1000</f>
        <v>8.388248058102947E-2</v>
      </c>
      <c r="H82" s="15">
        <f xml:space="preserve"> 'INPUTS│Residential Retail'!H82 * 'INPUTS│Residential Retail'!H180 / 1000</f>
        <v>8.5269874868518475E-2</v>
      </c>
      <c r="I82" s="15">
        <f xml:space="preserve"> 'INPUTS│Residential Retail'!I82 * 'INPUTS│Residential Retail'!I180 / 1000</f>
        <v>0</v>
      </c>
    </row>
    <row r="83" spans="2:10" x14ac:dyDescent="0.2">
      <c r="C83" s="8" t="s">
        <v>93</v>
      </c>
      <c r="D83" s="11" t="s">
        <v>126</v>
      </c>
      <c r="E83" s="15">
        <f xml:space="preserve"> 'INPUTS│Residential Retail'!E83 * 'INPUTS│Residential Retail'!E181 / 1000</f>
        <v>16.834774709045188</v>
      </c>
      <c r="F83" s="15">
        <f xml:space="preserve"> 'INPUTS│Residential Retail'!F83 * 'INPUTS│Residential Retail'!F181 / 1000</f>
        <v>17.335150490984493</v>
      </c>
      <c r="G83" s="15">
        <f xml:space="preserve"> 'INPUTS│Residential Retail'!G83 * 'INPUTS│Residential Retail'!G181 / 1000</f>
        <v>17.074239842860486</v>
      </c>
      <c r="H83" s="15">
        <f xml:space="preserve"> 'INPUTS│Residential Retail'!H83 * 'INPUTS│Residential Retail'!H181 / 1000</f>
        <v>16.515105954673182</v>
      </c>
      <c r="I83" s="15">
        <f xml:space="preserve"> 'INPUTS│Residential Retail'!I83 * 'INPUTS│Residential Retail'!I181 / 1000</f>
        <v>0</v>
      </c>
    </row>
    <row r="84" spans="2:10" x14ac:dyDescent="0.2">
      <c r="C84" s="8" t="s">
        <v>95</v>
      </c>
      <c r="D84" s="11" t="s">
        <v>126</v>
      </c>
      <c r="E84" s="15">
        <f xml:space="preserve"> 'INPUTS│Residential Retail'!E84 * 'INPUTS│Residential Retail'!E182 / 1000</f>
        <v>26.75000450155467</v>
      </c>
      <c r="F84" s="15">
        <f xml:space="preserve"> 'INPUTS│Residential Retail'!F84 * 'INPUTS│Residential Retail'!F182 / 1000</f>
        <v>28.436977171189326</v>
      </c>
      <c r="G84" s="15">
        <f xml:space="preserve"> 'INPUTS│Residential Retail'!G84 * 'INPUTS│Residential Retail'!G182 / 1000</f>
        <v>30.238993523496983</v>
      </c>
      <c r="H84" s="15">
        <f xml:space="preserve"> 'INPUTS│Residential Retail'!H84 * 'INPUTS│Residential Retail'!H182 / 1000</f>
        <v>31.764007255496953</v>
      </c>
      <c r="I84" s="15">
        <f xml:space="preserve"> 'INPUTS│Residential Retail'!I84 * 'INPUTS│Residential Retail'!I182 / 1000</f>
        <v>0</v>
      </c>
    </row>
    <row r="85" spans="2:10" x14ac:dyDescent="0.2">
      <c r="C85" s="8" t="s">
        <v>97</v>
      </c>
      <c r="D85" s="11" t="s">
        <v>126</v>
      </c>
      <c r="E85" s="15">
        <f xml:space="preserve"> 'INPUTS│Residential Retail'!E85 * 'INPUTS│Residential Retail'!E183 / 1000</f>
        <v>0.6215965990503578</v>
      </c>
      <c r="F85" s="15">
        <f xml:space="preserve"> 'INPUTS│Residential Retail'!F85 * 'INPUTS│Residential Retail'!F183 / 1000</f>
        <v>1.5816973791254982</v>
      </c>
      <c r="G85" s="15">
        <f xml:space="preserve"> 'INPUTS│Residential Retail'!G85 * 'INPUTS│Residential Retail'!G183 / 1000</f>
        <v>1.6855095974220093</v>
      </c>
      <c r="H85" s="15">
        <f xml:space="preserve"> 'INPUTS│Residential Retail'!H85 * 'INPUTS│Residential Retail'!H183 / 1000</f>
        <v>1.6492390390186698</v>
      </c>
      <c r="I85" s="15">
        <f xml:space="preserve"> 'INPUTS│Residential Retail'!I85 * 'INPUTS│Residential Retail'!I183 / 1000</f>
        <v>0</v>
      </c>
    </row>
    <row r="86" spans="2:10" x14ac:dyDescent="0.2">
      <c r="C86" s="8" t="s">
        <v>99</v>
      </c>
      <c r="D86" s="11" t="s">
        <v>126</v>
      </c>
      <c r="E86" s="15">
        <f xml:space="preserve"> 'INPUTS│Residential Retail'!E86 * 'INPUTS│Residential Retail'!E184 / 1000</f>
        <v>8.9345635360353857</v>
      </c>
      <c r="F86" s="15">
        <f xml:space="preserve"> 'INPUTS│Residential Retail'!F86 * 'INPUTS│Residential Retail'!F184 / 1000</f>
        <v>9.3745130918493871</v>
      </c>
      <c r="G86" s="15">
        <f xml:space="preserve"> 'INPUTS│Residential Retail'!G86 * 'INPUTS│Residential Retail'!G184 / 1000</f>
        <v>9.9810017389321857</v>
      </c>
      <c r="H86" s="15">
        <f xml:space="preserve"> 'INPUTS│Residential Retail'!H86 * 'INPUTS│Residential Retail'!H184 / 1000</f>
        <v>10.700651026472743</v>
      </c>
      <c r="I86" s="15">
        <f xml:space="preserve"> 'INPUTS│Residential Retail'!I86 * 'INPUTS│Residential Retail'!I184 / 1000</f>
        <v>0</v>
      </c>
    </row>
    <row r="87" spans="2:10" x14ac:dyDescent="0.2">
      <c r="C87" s="8" t="s">
        <v>101</v>
      </c>
      <c r="D87" s="11" t="s">
        <v>126</v>
      </c>
      <c r="E87" s="15">
        <f xml:space="preserve"> 'INPUTS│Residential Retail'!E87 * 'INPUTS│Residential Retail'!E185 / 1000</f>
        <v>1.1966989833948081</v>
      </c>
      <c r="F87" s="15">
        <f xml:space="preserve"> 'INPUTS│Residential Retail'!F87 * 'INPUTS│Residential Retail'!F185 / 1000</f>
        <v>1.2602025594704205</v>
      </c>
      <c r="G87" s="15">
        <f xml:space="preserve"> 'INPUTS│Residential Retail'!G87 * 'INPUTS│Residential Retail'!G185 / 1000</f>
        <v>1.2512431399261337</v>
      </c>
      <c r="H87" s="15">
        <f xml:space="preserve"> 'INPUTS│Residential Retail'!H87 * 'INPUTS│Residential Retail'!H185 / 1000</f>
        <v>1.3355829890338693</v>
      </c>
      <c r="I87" s="15">
        <f xml:space="preserve"> 'INPUTS│Residential Retail'!I87 * 'INPUTS│Residential Retail'!I185 / 1000</f>
        <v>0</v>
      </c>
    </row>
    <row r="89" spans="2:10" ht="13.5" x14ac:dyDescent="0.25">
      <c r="B89" s="36" t="s">
        <v>481</v>
      </c>
      <c r="C89" s="36"/>
      <c r="D89" s="37"/>
      <c r="E89" s="36"/>
      <c r="F89" s="36"/>
      <c r="G89" s="36"/>
      <c r="H89" s="36"/>
      <c r="I89" s="36"/>
      <c r="J89" s="36"/>
    </row>
    <row r="91" spans="2:10" x14ac:dyDescent="0.2">
      <c r="C91" s="8" t="s">
        <v>79</v>
      </c>
      <c r="D91" s="11" t="s">
        <v>126</v>
      </c>
      <c r="E91" s="15">
        <f xml:space="preserve"> 'INPUTS│Residential Retail'!E91 * 'INPUTS│Residential Retail'!E189 / 1000</f>
        <v>45.331464878920151</v>
      </c>
      <c r="F91" s="15">
        <f xml:space="preserve"> 'INPUTS│Residential Retail'!F91 * 'INPUTS│Residential Retail'!F189 / 1000</f>
        <v>47.892597512859503</v>
      </c>
      <c r="G91" s="15">
        <f xml:space="preserve"> 'INPUTS│Residential Retail'!G91 * 'INPUTS│Residential Retail'!G189 / 1000</f>
        <v>49.791547599907815</v>
      </c>
      <c r="H91" s="15">
        <f xml:space="preserve"> 'INPUTS│Residential Retail'!H91 * 'INPUTS│Residential Retail'!H189 / 1000</f>
        <v>51.764970387821919</v>
      </c>
      <c r="I91" s="15">
        <f xml:space="preserve"> 'INPUTS│Residential Retail'!I91 * 'INPUTS│Residential Retail'!I189 / 1000</f>
        <v>0</v>
      </c>
    </row>
    <row r="92" spans="2:10" x14ac:dyDescent="0.2">
      <c r="C92" s="8" t="s">
        <v>81</v>
      </c>
      <c r="D92" s="11" t="s">
        <v>126</v>
      </c>
      <c r="E92" s="15">
        <f xml:space="preserve"> 'INPUTS│Residential Retail'!E92 * 'INPUTS│Residential Retail'!E190 / 1000</f>
        <v>21.967533384759903</v>
      </c>
      <c r="F92" s="15">
        <f xml:space="preserve"> 'INPUTS│Residential Retail'!F92 * 'INPUTS│Residential Retail'!F190 / 1000</f>
        <v>22.470772299906926</v>
      </c>
      <c r="G92" s="15">
        <f xml:space="preserve"> 'INPUTS│Residential Retail'!G92 * 'INPUTS│Residential Retail'!G190 / 1000</f>
        <v>22.734860019168341</v>
      </c>
      <c r="H92" s="15">
        <f xml:space="preserve"> 'INPUTS│Residential Retail'!H92 * 'INPUTS│Residential Retail'!H190 / 1000</f>
        <v>22.759302298953603</v>
      </c>
      <c r="I92" s="15">
        <f xml:space="preserve"> 'INPUTS│Residential Retail'!I92 * 'INPUTS│Residential Retail'!I190 / 1000</f>
        <v>0</v>
      </c>
    </row>
    <row r="93" spans="2:10" x14ac:dyDescent="0.2">
      <c r="C93" s="8" t="s">
        <v>84</v>
      </c>
      <c r="D93" s="11" t="s">
        <v>126</v>
      </c>
      <c r="E93" s="15">
        <f xml:space="preserve"> 'INPUTS│Residential Retail'!E93 * 'INPUTS│Residential Retail'!E191 / 1000</f>
        <v>0</v>
      </c>
      <c r="F93" s="15">
        <f xml:space="preserve"> 'INPUTS│Residential Retail'!F93 * 'INPUTS│Residential Retail'!F191 / 1000</f>
        <v>0</v>
      </c>
      <c r="G93" s="15">
        <f xml:space="preserve"> 'INPUTS│Residential Retail'!G93 * 'INPUTS│Residential Retail'!G191 / 1000</f>
        <v>0</v>
      </c>
      <c r="H93" s="15">
        <f xml:space="preserve"> 'INPUTS│Residential Retail'!H93 * 'INPUTS│Residential Retail'!H191 / 1000</f>
        <v>0.27435181999999997</v>
      </c>
      <c r="I93" s="15">
        <f xml:space="preserve"> 'INPUTS│Residential Retail'!I93 * 'INPUTS│Residential Retail'!I191 / 1000</f>
        <v>0</v>
      </c>
    </row>
    <row r="94" spans="2:10" x14ac:dyDescent="0.2">
      <c r="C94" s="8" t="s">
        <v>86</v>
      </c>
      <c r="D94" s="11" t="s">
        <v>126</v>
      </c>
      <c r="E94" s="15">
        <f xml:space="preserve"> 'INPUTS│Residential Retail'!E94 * 'INPUTS│Residential Retail'!E192 / 1000</f>
        <v>12.920617467964187</v>
      </c>
      <c r="F94" s="15">
        <f xml:space="preserve"> 'INPUTS│Residential Retail'!F94 * 'INPUTS│Residential Retail'!F192 / 1000</f>
        <v>13.836794408717228</v>
      </c>
      <c r="G94" s="15">
        <f xml:space="preserve"> 'INPUTS│Residential Retail'!G94 * 'INPUTS│Residential Retail'!G192 / 1000</f>
        <v>14.808334525533049</v>
      </c>
      <c r="H94" s="15">
        <f xml:space="preserve"> 'INPUTS│Residential Retail'!H94 * 'INPUTS│Residential Retail'!H192 / 1000</f>
        <v>15.832127077616892</v>
      </c>
      <c r="I94" s="15">
        <f xml:space="preserve"> 'INPUTS│Residential Retail'!I94 * 'INPUTS│Residential Retail'!I192 / 1000</f>
        <v>0</v>
      </c>
    </row>
    <row r="95" spans="2:10" x14ac:dyDescent="0.2">
      <c r="C95" s="8" t="s">
        <v>88</v>
      </c>
      <c r="D95" s="11" t="s">
        <v>126</v>
      </c>
      <c r="E95" s="15">
        <f xml:space="preserve"> 'INPUTS│Residential Retail'!E95 * 'INPUTS│Residential Retail'!E193 / 1000</f>
        <v>46.55261027625</v>
      </c>
      <c r="F95" s="15">
        <f xml:space="preserve"> 'INPUTS│Residential Retail'!F95 * 'INPUTS│Residential Retail'!F193 / 1000</f>
        <v>47.221410159999998</v>
      </c>
      <c r="G95" s="15">
        <f xml:space="preserve"> 'INPUTS│Residential Retail'!G95 * 'INPUTS│Residential Retail'!G193 / 1000</f>
        <v>50.021724020000001</v>
      </c>
      <c r="H95" s="15">
        <f xml:space="preserve"> 'INPUTS│Residential Retail'!H95 * 'INPUTS│Residential Retail'!H193 / 1000</f>
        <v>51.070415090000004</v>
      </c>
      <c r="I95" s="15">
        <f xml:space="preserve"> 'INPUTS│Residential Retail'!I95 * 'INPUTS│Residential Retail'!I193 / 1000</f>
        <v>0</v>
      </c>
    </row>
    <row r="96" spans="2:10" x14ac:dyDescent="0.2">
      <c r="C96" s="8" t="s">
        <v>90</v>
      </c>
      <c r="D96" s="11" t="s">
        <v>126</v>
      </c>
      <c r="E96" s="15">
        <f xml:space="preserve"> 'INPUTS│Residential Retail'!E96 * 'INPUTS│Residential Retail'!E194 / 1000</f>
        <v>24.41467160728973</v>
      </c>
      <c r="F96" s="15">
        <f xml:space="preserve"> 'INPUTS│Residential Retail'!F96 * 'INPUTS│Residential Retail'!F194 / 1000</f>
        <v>25.268159298396895</v>
      </c>
      <c r="G96" s="15">
        <f xml:space="preserve"> 'INPUTS│Residential Retail'!G96 * 'INPUTS│Residential Retail'!G194 / 1000</f>
        <v>26.462583032353514</v>
      </c>
      <c r="H96" s="15">
        <f xml:space="preserve"> 'INPUTS│Residential Retail'!H96 * 'INPUTS│Residential Retail'!H194 / 1000</f>
        <v>27.094854832077345</v>
      </c>
      <c r="I96" s="15">
        <f xml:space="preserve"> 'INPUTS│Residential Retail'!I96 * 'INPUTS│Residential Retail'!I194 / 1000</f>
        <v>0</v>
      </c>
    </row>
    <row r="97" spans="2:10" x14ac:dyDescent="0.2">
      <c r="C97" s="8" t="s">
        <v>93</v>
      </c>
      <c r="D97" s="11" t="s">
        <v>126</v>
      </c>
      <c r="E97" s="15">
        <f xml:space="preserve"> 'INPUTS│Residential Retail'!E97 * 'INPUTS│Residential Retail'!E195 / 1000</f>
        <v>30.933128754650923</v>
      </c>
      <c r="F97" s="15">
        <f xml:space="preserve"> 'INPUTS│Residential Retail'!F97 * 'INPUTS│Residential Retail'!F195 / 1000</f>
        <v>31.151588586695514</v>
      </c>
      <c r="G97" s="15">
        <f xml:space="preserve"> 'INPUTS│Residential Retail'!G97 * 'INPUTS│Residential Retail'!G195 / 1000</f>
        <v>29.182906535937335</v>
      </c>
      <c r="H97" s="15">
        <f xml:space="preserve"> 'INPUTS│Residential Retail'!H97 * 'INPUTS│Residential Retail'!H195 / 1000</f>
        <v>27.375390200369438</v>
      </c>
      <c r="I97" s="15">
        <f xml:space="preserve"> 'INPUTS│Residential Retail'!I97 * 'INPUTS│Residential Retail'!I195 / 1000</f>
        <v>0</v>
      </c>
    </row>
    <row r="98" spans="2:10" x14ac:dyDescent="0.2">
      <c r="C98" s="8" t="s">
        <v>95</v>
      </c>
      <c r="D98" s="11" t="s">
        <v>126</v>
      </c>
      <c r="E98" s="15">
        <f xml:space="preserve"> 'INPUTS│Residential Retail'!E98 * 'INPUTS│Residential Retail'!E196 / 1000</f>
        <v>49.842631878709462</v>
      </c>
      <c r="F98" s="15">
        <f xml:space="preserve"> 'INPUTS│Residential Retail'!F98 * 'INPUTS│Residential Retail'!F196 / 1000</f>
        <v>50.602648643447587</v>
      </c>
      <c r="G98" s="15">
        <f xml:space="preserve"> 'INPUTS│Residential Retail'!G98 * 'INPUTS│Residential Retail'!G196 / 1000</f>
        <v>52.295382594673036</v>
      </c>
      <c r="H98" s="15">
        <f xml:space="preserve"> 'INPUTS│Residential Retail'!H98 * 'INPUTS│Residential Retail'!H196 / 1000</f>
        <v>55.039707829260117</v>
      </c>
      <c r="I98" s="15">
        <f xml:space="preserve"> 'INPUTS│Residential Retail'!I98 * 'INPUTS│Residential Retail'!I196 / 1000</f>
        <v>0</v>
      </c>
    </row>
    <row r="99" spans="2:10" x14ac:dyDescent="0.2">
      <c r="C99" s="8" t="s">
        <v>97</v>
      </c>
      <c r="D99" s="11" t="s">
        <v>126</v>
      </c>
      <c r="E99" s="15">
        <f xml:space="preserve"> 'INPUTS│Residential Retail'!E99 * 'INPUTS│Residential Retail'!E197 / 1000</f>
        <v>54.473991941642154</v>
      </c>
      <c r="F99" s="15">
        <f xml:space="preserve"> 'INPUTS│Residential Retail'!F99 * 'INPUTS│Residential Retail'!F197 / 1000</f>
        <v>54.548278278869674</v>
      </c>
      <c r="G99" s="15">
        <f xml:space="preserve"> 'INPUTS│Residential Retail'!G99 * 'INPUTS│Residential Retail'!G197 / 1000</f>
        <v>53.279078650004124</v>
      </c>
      <c r="H99" s="15">
        <f xml:space="preserve"> 'INPUTS│Residential Retail'!H99 * 'INPUTS│Residential Retail'!H197 / 1000</f>
        <v>52.658427105735875</v>
      </c>
      <c r="I99" s="15">
        <f xml:space="preserve"> 'INPUTS│Residential Retail'!I99 * 'INPUTS│Residential Retail'!I197 / 1000</f>
        <v>0</v>
      </c>
    </row>
    <row r="100" spans="2:10" x14ac:dyDescent="0.2">
      <c r="C100" s="8" t="s">
        <v>99</v>
      </c>
      <c r="D100" s="11" t="s">
        <v>126</v>
      </c>
      <c r="E100" s="15">
        <f xml:space="preserve"> 'INPUTS│Residential Retail'!E100 * 'INPUTS│Residential Retail'!E198 / 1000</f>
        <v>11.25220082162911</v>
      </c>
      <c r="F100" s="15">
        <f xml:space="preserve"> 'INPUTS│Residential Retail'!F100 * 'INPUTS│Residential Retail'!F198 / 1000</f>
        <v>11.816275778311647</v>
      </c>
      <c r="G100" s="15">
        <f xml:space="preserve"> 'INPUTS│Residential Retail'!G100 * 'INPUTS│Residential Retail'!G198 / 1000</f>
        <v>12.538367049091695</v>
      </c>
      <c r="H100" s="15">
        <f xml:space="preserve"> 'INPUTS│Residential Retail'!H100 * 'INPUTS│Residential Retail'!H198 / 1000</f>
        <v>13.203745374761455</v>
      </c>
      <c r="I100" s="15">
        <f xml:space="preserve"> 'INPUTS│Residential Retail'!I100 * 'INPUTS│Residential Retail'!I198 / 1000</f>
        <v>0</v>
      </c>
    </row>
    <row r="101" spans="2:10" x14ac:dyDescent="0.2">
      <c r="C101" s="8" t="s">
        <v>101</v>
      </c>
      <c r="D101" s="11" t="s">
        <v>126</v>
      </c>
      <c r="E101" s="15">
        <f xml:space="preserve"> 'INPUTS│Residential Retail'!E101 * 'INPUTS│Residential Retail'!E199 / 1000</f>
        <v>30.236570170567806</v>
      </c>
      <c r="F101" s="15">
        <f xml:space="preserve"> 'INPUTS│Residential Retail'!F101 * 'INPUTS│Residential Retail'!F199 / 1000</f>
        <v>32.104968054482519</v>
      </c>
      <c r="G101" s="15">
        <f xml:space="preserve"> 'INPUTS│Residential Retail'!G101 * 'INPUTS│Residential Retail'!G199 / 1000</f>
        <v>33.945813886030351</v>
      </c>
      <c r="H101" s="15">
        <f xml:space="preserve"> 'INPUTS│Residential Retail'!H101 * 'INPUTS│Residential Retail'!H199 / 1000</f>
        <v>35.76315842380432</v>
      </c>
      <c r="I101" s="15">
        <f xml:space="preserve"> 'INPUTS│Residential Retail'!I101 * 'INPUTS│Residential Retail'!I199 / 1000</f>
        <v>0</v>
      </c>
    </row>
    <row r="103" spans="2:10" ht="13.5" x14ac:dyDescent="0.25">
      <c r="B103" s="36" t="s">
        <v>482</v>
      </c>
      <c r="C103" s="36"/>
      <c r="D103" s="37"/>
      <c r="E103" s="36"/>
      <c r="F103" s="36"/>
      <c r="G103" s="36"/>
      <c r="H103" s="36"/>
      <c r="I103" s="36"/>
      <c r="J103" s="36"/>
    </row>
    <row r="105" spans="2:10" x14ac:dyDescent="0.2">
      <c r="C105" s="8" t="s">
        <v>79</v>
      </c>
      <c r="D105" s="11" t="s">
        <v>126</v>
      </c>
      <c r="E105" s="15">
        <f xml:space="preserve"> SUMIF( $C$9:$C$101, $C105, E$9:E$101 )</f>
        <v>79.637663033737866</v>
      </c>
      <c r="F105" s="15">
        <f t="shared" ref="F105:I105" si="0" xml:space="preserve"> SUMIF( $C$9:$C$101, $C105, F$9:F$101 )</f>
        <v>82.748837801082914</v>
      </c>
      <c r="G105" s="15">
        <f t="shared" si="0"/>
        <v>84.76614085933349</v>
      </c>
      <c r="H105" s="15">
        <f t="shared" si="0"/>
        <v>86.689464446756972</v>
      </c>
      <c r="I105" s="15">
        <f t="shared" si="0"/>
        <v>0</v>
      </c>
    </row>
    <row r="106" spans="2:10" x14ac:dyDescent="0.2">
      <c r="C106" s="8" t="s">
        <v>81</v>
      </c>
      <c r="D106" s="11" t="s">
        <v>126</v>
      </c>
      <c r="E106" s="15">
        <f t="shared" ref="E106:I121" si="1" xml:space="preserve"> SUMIF( $C$9:$C$101, $C106, E$9:E$101 )</f>
        <v>56.802309616745056</v>
      </c>
      <c r="F106" s="15">
        <f t="shared" si="1"/>
        <v>55.841776015581068</v>
      </c>
      <c r="G106" s="15">
        <f t="shared" si="1"/>
        <v>54.666494302402313</v>
      </c>
      <c r="H106" s="15">
        <f t="shared" si="1"/>
        <v>53.223388863756782</v>
      </c>
      <c r="I106" s="15">
        <f t="shared" si="1"/>
        <v>0</v>
      </c>
    </row>
    <row r="107" spans="2:10" x14ac:dyDescent="0.2">
      <c r="C107" s="8" t="s">
        <v>84</v>
      </c>
      <c r="D107" s="11" t="s">
        <v>126</v>
      </c>
      <c r="E107" s="15">
        <f t="shared" si="1"/>
        <v>2.82006289</v>
      </c>
      <c r="F107" s="15">
        <f t="shared" si="1"/>
        <v>2.8591901600000003</v>
      </c>
      <c r="G107" s="15">
        <f t="shared" si="1"/>
        <v>2.8942107900000003</v>
      </c>
      <c r="H107" s="15">
        <f t="shared" si="1"/>
        <v>2.5093323700000001</v>
      </c>
      <c r="I107" s="15">
        <f t="shared" si="1"/>
        <v>0</v>
      </c>
    </row>
    <row r="108" spans="2:10" x14ac:dyDescent="0.2">
      <c r="C108" s="8" t="s">
        <v>86</v>
      </c>
      <c r="D108" s="11" t="s">
        <v>126</v>
      </c>
      <c r="E108" s="15">
        <f t="shared" si="1"/>
        <v>56.955660500431648</v>
      </c>
      <c r="F108" s="15">
        <f t="shared" si="1"/>
        <v>57.956842682944028</v>
      </c>
      <c r="G108" s="15">
        <f t="shared" si="1"/>
        <v>58.768747990800598</v>
      </c>
      <c r="H108" s="15">
        <f t="shared" si="1"/>
        <v>59.543915031358893</v>
      </c>
      <c r="I108" s="15">
        <f t="shared" si="1"/>
        <v>0</v>
      </c>
    </row>
    <row r="109" spans="2:10" x14ac:dyDescent="0.2">
      <c r="C109" s="8" t="s">
        <v>88</v>
      </c>
      <c r="D109" s="11" t="s">
        <v>126</v>
      </c>
      <c r="E109" s="15">
        <f t="shared" si="1"/>
        <v>116.20231054938486</v>
      </c>
      <c r="F109" s="15">
        <f t="shared" si="1"/>
        <v>118.64711207000002</v>
      </c>
      <c r="G109" s="15">
        <f t="shared" si="1"/>
        <v>123.56636996999998</v>
      </c>
      <c r="H109" s="15">
        <f t="shared" si="1"/>
        <v>125.35662220999998</v>
      </c>
      <c r="I109" s="15">
        <f t="shared" si="1"/>
        <v>0</v>
      </c>
    </row>
    <row r="110" spans="2:10" x14ac:dyDescent="0.2">
      <c r="C110" s="8" t="s">
        <v>90</v>
      </c>
      <c r="D110" s="11" t="s">
        <v>126</v>
      </c>
      <c r="E110" s="15">
        <f t="shared" si="1"/>
        <v>36.723329266375607</v>
      </c>
      <c r="F110" s="15">
        <f t="shared" si="1"/>
        <v>37.395178560054809</v>
      </c>
      <c r="G110" s="15">
        <f t="shared" si="1"/>
        <v>38.500912953154476</v>
      </c>
      <c r="H110" s="15">
        <f t="shared" si="1"/>
        <v>38.82532869520751</v>
      </c>
      <c r="I110" s="15">
        <f t="shared" si="1"/>
        <v>0</v>
      </c>
    </row>
    <row r="111" spans="2:10" x14ac:dyDescent="0.2">
      <c r="C111" s="8" t="s">
        <v>93</v>
      </c>
      <c r="D111" s="11" t="s">
        <v>126</v>
      </c>
      <c r="E111" s="15">
        <f t="shared" si="1"/>
        <v>64.410405265348913</v>
      </c>
      <c r="F111" s="15">
        <f t="shared" si="1"/>
        <v>63.600350566912212</v>
      </c>
      <c r="G111" s="15">
        <f t="shared" si="1"/>
        <v>59.474892980014857</v>
      </c>
      <c r="H111" s="15">
        <f t="shared" si="1"/>
        <v>55.58827082378761</v>
      </c>
      <c r="I111" s="15">
        <f t="shared" si="1"/>
        <v>0</v>
      </c>
    </row>
    <row r="112" spans="2:10" x14ac:dyDescent="0.2">
      <c r="C112" s="8" t="s">
        <v>95</v>
      </c>
      <c r="D112" s="11" t="s">
        <v>126</v>
      </c>
      <c r="E112" s="15">
        <f t="shared" si="1"/>
        <v>165.37844914881106</v>
      </c>
      <c r="F112" s="15">
        <f t="shared" si="1"/>
        <v>166.20692043858651</v>
      </c>
      <c r="G112" s="15">
        <f t="shared" si="1"/>
        <v>168.47128194489545</v>
      </c>
      <c r="H112" s="15">
        <f t="shared" si="1"/>
        <v>170.51043336714261</v>
      </c>
      <c r="I112" s="15">
        <f t="shared" si="1"/>
        <v>0</v>
      </c>
    </row>
    <row r="113" spans="2:10" x14ac:dyDescent="0.2">
      <c r="C113" s="8" t="s">
        <v>97</v>
      </c>
      <c r="D113" s="11" t="s">
        <v>126</v>
      </c>
      <c r="E113" s="15">
        <f t="shared" si="1"/>
        <v>131.43740881501952</v>
      </c>
      <c r="F113" s="15">
        <f t="shared" si="1"/>
        <v>127.99911510789731</v>
      </c>
      <c r="G113" s="15">
        <f t="shared" si="1"/>
        <v>121.21928508464997</v>
      </c>
      <c r="H113" s="15">
        <f t="shared" si="1"/>
        <v>116.45749123763477</v>
      </c>
      <c r="I113" s="15">
        <f t="shared" si="1"/>
        <v>0</v>
      </c>
    </row>
    <row r="114" spans="2:10" x14ac:dyDescent="0.2">
      <c r="C114" s="8" t="s">
        <v>99</v>
      </c>
      <c r="D114" s="11" t="s">
        <v>126</v>
      </c>
      <c r="E114" s="15">
        <f t="shared" si="1"/>
        <v>33.537450773007308</v>
      </c>
      <c r="F114" s="15">
        <f t="shared" si="1"/>
        <v>34.4517778416905</v>
      </c>
      <c r="G114" s="15">
        <f t="shared" si="1"/>
        <v>35.621938589401175</v>
      </c>
      <c r="H114" s="15">
        <f t="shared" si="1"/>
        <v>36.619017382450401</v>
      </c>
      <c r="I114" s="15">
        <f t="shared" si="1"/>
        <v>0</v>
      </c>
    </row>
    <row r="115" spans="2:10" x14ac:dyDescent="0.2">
      <c r="C115" s="8" t="s">
        <v>101</v>
      </c>
      <c r="D115" s="11" t="s">
        <v>126</v>
      </c>
      <c r="E115" s="15">
        <f t="shared" si="1"/>
        <v>59.249056333610014</v>
      </c>
      <c r="F115" s="15">
        <f t="shared" si="1"/>
        <v>61.058715651102247</v>
      </c>
      <c r="G115" s="15">
        <f t="shared" si="1"/>
        <v>62.689298113775578</v>
      </c>
      <c r="H115" s="15">
        <f t="shared" si="1"/>
        <v>64.372832160686059</v>
      </c>
      <c r="I115" s="15">
        <f t="shared" si="1"/>
        <v>0</v>
      </c>
    </row>
    <row r="116" spans="2:10" x14ac:dyDescent="0.2">
      <c r="C116" s="8" t="s">
        <v>103</v>
      </c>
      <c r="D116" s="11" t="s">
        <v>126</v>
      </c>
      <c r="E116" s="15">
        <f t="shared" si="1"/>
        <v>28.378112295620362</v>
      </c>
      <c r="F116" s="15">
        <f t="shared" si="1"/>
        <v>28.070380006220631</v>
      </c>
      <c r="G116" s="15">
        <f t="shared" si="1"/>
        <v>27.616659614109217</v>
      </c>
      <c r="H116" s="15">
        <f t="shared" si="1"/>
        <v>27.278131707983462</v>
      </c>
      <c r="I116" s="15">
        <f t="shared" si="1"/>
        <v>0</v>
      </c>
    </row>
    <row r="117" spans="2:10" x14ac:dyDescent="0.2">
      <c r="C117" s="8" t="s">
        <v>105</v>
      </c>
      <c r="D117" s="11" t="s">
        <v>126</v>
      </c>
      <c r="E117" s="15">
        <f t="shared" si="1"/>
        <v>10.307779750877573</v>
      </c>
      <c r="F117" s="15">
        <f t="shared" si="1"/>
        <v>10.614474648123782</v>
      </c>
      <c r="G117" s="15">
        <f t="shared" si="1"/>
        <v>11.064791770931365</v>
      </c>
      <c r="H117" s="15">
        <f t="shared" si="1"/>
        <v>11.516689263665306</v>
      </c>
      <c r="I117" s="15">
        <f t="shared" si="1"/>
        <v>0</v>
      </c>
    </row>
    <row r="118" spans="2:10" x14ac:dyDescent="0.2">
      <c r="C118" s="8" t="s">
        <v>107</v>
      </c>
      <c r="D118" s="11" t="s">
        <v>126</v>
      </c>
      <c r="E118" s="15">
        <f t="shared" si="1"/>
        <v>4.5184650615925452</v>
      </c>
      <c r="F118" s="15">
        <f t="shared" si="1"/>
        <v>4.6061942369404143</v>
      </c>
      <c r="G118" s="15">
        <f t="shared" si="1"/>
        <v>4.6751240551494675</v>
      </c>
      <c r="H118" s="15">
        <f t="shared" si="1"/>
        <v>4.7203303864464843</v>
      </c>
      <c r="I118" s="15">
        <f t="shared" si="1"/>
        <v>0</v>
      </c>
    </row>
    <row r="119" spans="2:10" x14ac:dyDescent="0.2">
      <c r="C119" s="8" t="s">
        <v>111</v>
      </c>
      <c r="D119" s="11" t="s">
        <v>126</v>
      </c>
      <c r="E119" s="15">
        <f t="shared" si="1"/>
        <v>20.458775773971112</v>
      </c>
      <c r="F119" s="15">
        <f t="shared" si="1"/>
        <v>21.102617804944927</v>
      </c>
      <c r="G119" s="15">
        <f t="shared" si="1"/>
        <v>21.72179096847908</v>
      </c>
      <c r="H119" s="15">
        <f t="shared" si="1"/>
        <v>22.148255407310465</v>
      </c>
      <c r="I119" s="15">
        <f t="shared" si="1"/>
        <v>0</v>
      </c>
    </row>
    <row r="120" spans="2:10" x14ac:dyDescent="0.2">
      <c r="C120" s="8" t="s">
        <v>113</v>
      </c>
      <c r="D120" s="11" t="s">
        <v>126</v>
      </c>
      <c r="E120" s="15">
        <f t="shared" si="1"/>
        <v>14.935737241230658</v>
      </c>
      <c r="F120" s="15">
        <f t="shared" si="1"/>
        <v>15.156115360925636</v>
      </c>
      <c r="G120" s="15">
        <f t="shared" si="1"/>
        <v>15.795763999169459</v>
      </c>
      <c r="H120" s="15">
        <f t="shared" si="1"/>
        <v>16.762190036782151</v>
      </c>
      <c r="I120" s="15">
        <f t="shared" si="1"/>
        <v>0</v>
      </c>
    </row>
    <row r="121" spans="2:10" x14ac:dyDescent="0.2">
      <c r="C121" s="8" t="s">
        <v>109</v>
      </c>
      <c r="D121" s="11" t="s">
        <v>126</v>
      </c>
      <c r="E121" s="15">
        <f t="shared" si="1"/>
        <v>5.7848478716968428</v>
      </c>
      <c r="F121" s="15">
        <f t="shared" si="1"/>
        <v>5.8123167392770947</v>
      </c>
      <c r="G121" s="15">
        <f t="shared" si="1"/>
        <v>6.0277585076280999</v>
      </c>
      <c r="H121" s="15">
        <f t="shared" si="1"/>
        <v>6.0244490233133803</v>
      </c>
      <c r="I121" s="15">
        <f t="shared" si="1"/>
        <v>0</v>
      </c>
    </row>
    <row r="123" spans="2:10" ht="13.5" x14ac:dyDescent="0.25">
      <c r="B123" s="9" t="s">
        <v>483</v>
      </c>
      <c r="C123" s="9"/>
      <c r="D123" s="10"/>
      <c r="E123" s="9"/>
      <c r="F123" s="9"/>
      <c r="G123" s="9"/>
      <c r="H123" s="9"/>
      <c r="I123" s="9"/>
      <c r="J123" s="9"/>
    </row>
    <row r="125" spans="2:10" ht="13.5" x14ac:dyDescent="0.25">
      <c r="B125" s="36" t="s">
        <v>239</v>
      </c>
      <c r="C125" s="36"/>
      <c r="D125" s="37"/>
      <c r="E125" s="36"/>
      <c r="F125" s="36"/>
      <c r="G125" s="36"/>
      <c r="H125" s="36"/>
      <c r="I125" s="36"/>
      <c r="J125" s="36"/>
    </row>
    <row r="127" spans="2:10" x14ac:dyDescent="0.2">
      <c r="C127" s="8" t="s">
        <v>79</v>
      </c>
      <c r="D127" s="11" t="s">
        <v>126</v>
      </c>
      <c r="E127" s="50">
        <f xml:space="preserve"> 'INPUTS│Residential Retail'!E205</f>
        <v>80.590506765166097</v>
      </c>
      <c r="F127" s="50">
        <f xml:space="preserve"> 'INPUTS│Residential Retail'!F205</f>
        <v>83.571080014153594</v>
      </c>
      <c r="G127" s="50">
        <f xml:space="preserve"> 'INPUTS│Residential Retail'!G205</f>
        <v>85.913543740266803</v>
      </c>
      <c r="H127" s="50">
        <f xml:space="preserve"> 'INPUTS│Residential Retail'!H205</f>
        <v>87.6518931803637</v>
      </c>
      <c r="I127" s="50">
        <f xml:space="preserve"> 'INPUTS│Residential Retail'!I205</f>
        <v>0</v>
      </c>
    </row>
    <row r="128" spans="2:10" x14ac:dyDescent="0.2">
      <c r="C128" s="8" t="s">
        <v>81</v>
      </c>
      <c r="D128" s="11" t="s">
        <v>126</v>
      </c>
      <c r="E128" s="50">
        <f xml:space="preserve"> 'INPUTS│Residential Retail'!E206</f>
        <v>57.032834530370899</v>
      </c>
      <c r="F128" s="50">
        <f xml:space="preserve"> 'INPUTS│Residential Retail'!F206</f>
        <v>55.627958693541203</v>
      </c>
      <c r="G128" s="50">
        <f xml:space="preserve"> 'INPUTS│Residential Retail'!G206</f>
        <v>54.278348149194699</v>
      </c>
      <c r="H128" s="50">
        <f xml:space="preserve"> 'INPUTS│Residential Retail'!H206</f>
        <v>52.781728263099303</v>
      </c>
      <c r="I128" s="50">
        <f xml:space="preserve"> 'INPUTS│Residential Retail'!I206</f>
        <v>0</v>
      </c>
    </row>
    <row r="129" spans="3:9" x14ac:dyDescent="0.2">
      <c r="C129" s="8" t="s">
        <v>84</v>
      </c>
      <c r="D129" s="11" t="s">
        <v>126</v>
      </c>
      <c r="E129" s="50">
        <f xml:space="preserve"> 'INPUTS│Residential Retail'!E207</f>
        <v>2.9002731544277198</v>
      </c>
      <c r="F129" s="50">
        <f xml:space="preserve"> 'INPUTS│Residential Retail'!F207</f>
        <v>2.9368816877620199</v>
      </c>
      <c r="G129" s="50">
        <f xml:space="preserve"> 'INPUTS│Residential Retail'!G207</f>
        <v>2.9689074832232998</v>
      </c>
      <c r="H129" s="50">
        <f xml:space="preserve"> 'INPUTS│Residential Retail'!H207</f>
        <v>2.5566910975576942</v>
      </c>
      <c r="I129" s="50">
        <f xml:space="preserve"> 'INPUTS│Residential Retail'!I207</f>
        <v>0</v>
      </c>
    </row>
    <row r="130" spans="3:9" x14ac:dyDescent="0.2">
      <c r="C130" s="8" t="s">
        <v>86</v>
      </c>
      <c r="D130" s="11" t="s">
        <v>126</v>
      </c>
      <c r="E130" s="50">
        <f xml:space="preserve"> 'INPUTS│Residential Retail'!E208</f>
        <v>57.053856166593597</v>
      </c>
      <c r="F130" s="50">
        <f xml:space="preserve"> 'INPUTS│Residential Retail'!F208</f>
        <v>58.129981831841697</v>
      </c>
      <c r="G130" s="50">
        <f xml:space="preserve"> 'INPUTS│Residential Retail'!G208</f>
        <v>58.973923341780399</v>
      </c>
      <c r="H130" s="50">
        <f xml:space="preserve"> 'INPUTS│Residential Retail'!H208</f>
        <v>59.772409558232098</v>
      </c>
      <c r="I130" s="50">
        <f xml:space="preserve"> 'INPUTS│Residential Retail'!I208</f>
        <v>0</v>
      </c>
    </row>
    <row r="131" spans="3:9" x14ac:dyDescent="0.2">
      <c r="C131" s="8" t="s">
        <v>88</v>
      </c>
      <c r="D131" s="11" t="s">
        <v>126</v>
      </c>
      <c r="E131" s="50">
        <f xml:space="preserve"> 'INPUTS│Residential Retail'!E209</f>
        <v>113.501326479657</v>
      </c>
      <c r="F131" s="50">
        <f xml:space="preserve"> 'INPUTS│Residential Retail'!F209</f>
        <v>117.639576110787</v>
      </c>
      <c r="G131" s="50">
        <f xml:space="preserve"> 'INPUTS│Residential Retail'!G209</f>
        <v>121.444572418158</v>
      </c>
      <c r="H131" s="50">
        <f xml:space="preserve"> 'INPUTS│Residential Retail'!H209</f>
        <v>123.74595603529062</v>
      </c>
      <c r="I131" s="50">
        <f xml:space="preserve"> 'INPUTS│Residential Retail'!I209</f>
        <v>0</v>
      </c>
    </row>
    <row r="132" spans="3:9" x14ac:dyDescent="0.2">
      <c r="C132" s="8" t="s">
        <v>90</v>
      </c>
      <c r="D132" s="11" t="s">
        <v>126</v>
      </c>
      <c r="E132" s="50">
        <f xml:space="preserve"> 'INPUTS│Residential Retail'!E210</f>
        <v>36.467144952882762</v>
      </c>
      <c r="F132" s="50">
        <f xml:space="preserve"> 'INPUTS│Residential Retail'!F210</f>
        <v>37.081555170536284</v>
      </c>
      <c r="G132" s="50">
        <f xml:space="preserve"> 'INPUTS│Residential Retail'!G210</f>
        <v>37.626417437982937</v>
      </c>
      <c r="H132" s="50">
        <f xml:space="preserve"> 'INPUTS│Residential Retail'!H210</f>
        <v>37.908216162534174</v>
      </c>
      <c r="I132" s="50">
        <f xml:space="preserve"> 'INPUTS│Residential Retail'!I210</f>
        <v>0</v>
      </c>
    </row>
    <row r="133" spans="3:9" x14ac:dyDescent="0.2">
      <c r="C133" s="8" t="s">
        <v>93</v>
      </c>
      <c r="D133" s="11" t="s">
        <v>126</v>
      </c>
      <c r="E133" s="50">
        <f xml:space="preserve"> 'INPUTS│Residential Retail'!E211</f>
        <v>64.964764238362093</v>
      </c>
      <c r="F133" s="50">
        <f xml:space="preserve"> 'INPUTS│Residential Retail'!F211</f>
        <v>64.175433348902104</v>
      </c>
      <c r="G133" s="50">
        <f xml:space="preserve"> 'INPUTS│Residential Retail'!G211</f>
        <v>60.232545696496103</v>
      </c>
      <c r="H133" s="50">
        <f xml:space="preserve"> 'INPUTS│Residential Retail'!H211</f>
        <v>56.386780583279702</v>
      </c>
      <c r="I133" s="50">
        <f xml:space="preserve"> 'INPUTS│Residential Retail'!I211</f>
        <v>0</v>
      </c>
    </row>
    <row r="134" spans="3:9" x14ac:dyDescent="0.2">
      <c r="C134" s="8" t="s">
        <v>95</v>
      </c>
      <c r="D134" s="11" t="s">
        <v>126</v>
      </c>
      <c r="E134" s="50">
        <f xml:space="preserve"> 'INPUTS│Residential Retail'!E212</f>
        <v>165.58832103232626</v>
      </c>
      <c r="F134" s="50">
        <f xml:space="preserve"> 'INPUTS│Residential Retail'!F212</f>
        <v>167.90831536112131</v>
      </c>
      <c r="G134" s="50">
        <f xml:space="preserve"> 'INPUTS│Residential Retail'!G212</f>
        <v>172.10457473339392</v>
      </c>
      <c r="H134" s="50">
        <f xml:space="preserve"> 'INPUTS│Residential Retail'!H212</f>
        <v>174.85571801624675</v>
      </c>
      <c r="I134" s="50">
        <f xml:space="preserve"> 'INPUTS│Residential Retail'!I212</f>
        <v>0</v>
      </c>
    </row>
    <row r="135" spans="3:9" x14ac:dyDescent="0.2">
      <c r="C135" s="8" t="s">
        <v>97</v>
      </c>
      <c r="D135" s="11" t="s">
        <v>126</v>
      </c>
      <c r="E135" s="50">
        <f xml:space="preserve"> 'INPUTS│Residential Retail'!E213</f>
        <v>132.076000135101</v>
      </c>
      <c r="F135" s="50">
        <f xml:space="preserve"> 'INPUTS│Residential Retail'!F213</f>
        <v>127.559819817641</v>
      </c>
      <c r="G135" s="50">
        <f xml:space="preserve"> 'INPUTS│Residential Retail'!G213</f>
        <v>121.38716554365099</v>
      </c>
      <c r="H135" s="50">
        <f xml:space="preserve"> 'INPUTS│Residential Retail'!H213</f>
        <v>116.41515314049499</v>
      </c>
      <c r="I135" s="50">
        <f xml:space="preserve"> 'INPUTS│Residential Retail'!I213</f>
        <v>0</v>
      </c>
    </row>
    <row r="136" spans="3:9" x14ac:dyDescent="0.2">
      <c r="C136" s="8" t="s">
        <v>99</v>
      </c>
      <c r="D136" s="11" t="s">
        <v>126</v>
      </c>
      <c r="E136" s="50">
        <f xml:space="preserve"> 'INPUTS│Residential Retail'!E214</f>
        <v>33.203419912514804</v>
      </c>
      <c r="F136" s="50">
        <f xml:space="preserve"> 'INPUTS│Residential Retail'!F214</f>
        <v>34.378368463737999</v>
      </c>
      <c r="G136" s="50">
        <f xml:space="preserve"> 'INPUTS│Residential Retail'!G214</f>
        <v>35.723987857825499</v>
      </c>
      <c r="H136" s="50">
        <f xml:space="preserve"> 'INPUTS│Residential Retail'!H214</f>
        <v>36.911716227250302</v>
      </c>
      <c r="I136" s="50">
        <f xml:space="preserve"> 'INPUTS│Residential Retail'!I214</f>
        <v>0</v>
      </c>
    </row>
    <row r="137" spans="3:9" x14ac:dyDescent="0.2">
      <c r="C137" s="8" t="s">
        <v>101</v>
      </c>
      <c r="D137" s="11" t="s">
        <v>126</v>
      </c>
      <c r="E137" s="50">
        <f xml:space="preserve"> 'INPUTS│Residential Retail'!E215</f>
        <v>59.2923021935013</v>
      </c>
      <c r="F137" s="50">
        <f xml:space="preserve"> 'INPUTS│Residential Retail'!F215</f>
        <v>61.063814265271098</v>
      </c>
      <c r="G137" s="50">
        <f xml:space="preserve"> 'INPUTS│Residential Retail'!G215</f>
        <v>63.055244437511298</v>
      </c>
      <c r="H137" s="50">
        <f xml:space="preserve"> 'INPUTS│Residential Retail'!H215</f>
        <v>65.189527501951403</v>
      </c>
      <c r="I137" s="50">
        <f xml:space="preserve"> 'INPUTS│Residential Retail'!I215</f>
        <v>0</v>
      </c>
    </row>
    <row r="138" spans="3:9" x14ac:dyDescent="0.2">
      <c r="C138" s="8" t="s">
        <v>103</v>
      </c>
      <c r="D138" s="11" t="s">
        <v>126</v>
      </c>
      <c r="E138" s="50">
        <f xml:space="preserve"> 'INPUTS│Residential Retail'!E216</f>
        <v>28.888399082198699</v>
      </c>
      <c r="F138" s="50">
        <f xml:space="preserve"> 'INPUTS│Residential Retail'!F216</f>
        <v>28.8735229097374</v>
      </c>
      <c r="G138" s="50">
        <f xml:space="preserve"> 'INPUTS│Residential Retail'!G216</f>
        <v>28.759126487809599</v>
      </c>
      <c r="H138" s="50">
        <f xml:space="preserve"> 'INPUTS│Residential Retail'!H216</f>
        <v>28.566331014844302</v>
      </c>
      <c r="I138" s="50">
        <f xml:space="preserve"> 'INPUTS│Residential Retail'!I216</f>
        <v>0</v>
      </c>
    </row>
    <row r="139" spans="3:9" x14ac:dyDescent="0.2">
      <c r="C139" s="8" t="s">
        <v>105</v>
      </c>
      <c r="D139" s="11" t="s">
        <v>126</v>
      </c>
      <c r="E139" s="50">
        <f xml:space="preserve"> 'INPUTS│Residential Retail'!E217</f>
        <v>10.433943695172299</v>
      </c>
      <c r="F139" s="50">
        <f xml:space="preserve"> 'INPUTS│Residential Retail'!F217</f>
        <v>10.8752803602345</v>
      </c>
      <c r="G139" s="50">
        <f xml:space="preserve"> 'INPUTS│Residential Retail'!G217</f>
        <v>11.370795265812699</v>
      </c>
      <c r="H139" s="50">
        <f xml:space="preserve"> 'INPUTS│Residential Retail'!H217</f>
        <v>11.856393009105799</v>
      </c>
      <c r="I139" s="50">
        <f xml:space="preserve"> 'INPUTS│Residential Retail'!I217</f>
        <v>0</v>
      </c>
    </row>
    <row r="140" spans="3:9" x14ac:dyDescent="0.2">
      <c r="C140" s="8" t="s">
        <v>107</v>
      </c>
      <c r="D140" s="11" t="s">
        <v>126</v>
      </c>
      <c r="E140" s="50">
        <f xml:space="preserve"> 'INPUTS│Residential Retail'!E218</f>
        <v>4.51986824918691</v>
      </c>
      <c r="F140" s="50">
        <f xml:space="preserve"> 'INPUTS│Residential Retail'!F218</f>
        <v>4.6058714008946398</v>
      </c>
      <c r="G140" s="50">
        <f xml:space="preserve"> 'INPUTS│Residential Retail'!G218</f>
        <v>4.6928402357482604</v>
      </c>
      <c r="H140" s="50">
        <f xml:space="preserve"> 'INPUTS│Residential Retail'!H218</f>
        <v>4.7849854533084599</v>
      </c>
      <c r="I140" s="50">
        <f xml:space="preserve"> 'INPUTS│Residential Retail'!I218</f>
        <v>0</v>
      </c>
    </row>
    <row r="141" spans="3:9" x14ac:dyDescent="0.2">
      <c r="C141" s="8" t="s">
        <v>111</v>
      </c>
      <c r="D141" s="11" t="s">
        <v>126</v>
      </c>
      <c r="E141" s="50">
        <f xml:space="preserve"> 'INPUTS│Residential Retail'!E219</f>
        <v>20.354856305761501</v>
      </c>
      <c r="F141" s="50">
        <f xml:space="preserve"> 'INPUTS│Residential Retail'!F219</f>
        <v>20.950824587341099</v>
      </c>
      <c r="G141" s="50">
        <f xml:space="preserve"> 'INPUTS│Residential Retail'!G219</f>
        <v>21.535087624230702</v>
      </c>
      <c r="H141" s="50">
        <f xml:space="preserve"> 'INPUTS│Residential Retail'!H219</f>
        <v>21.9924300882812</v>
      </c>
      <c r="I141" s="50">
        <f xml:space="preserve"> 'INPUTS│Residential Retail'!I219</f>
        <v>0</v>
      </c>
    </row>
    <row r="142" spans="3:9" x14ac:dyDescent="0.2">
      <c r="C142" s="8" t="s">
        <v>113</v>
      </c>
      <c r="D142" s="11" t="s">
        <v>126</v>
      </c>
      <c r="E142" s="50">
        <f xml:space="preserve"> 'INPUTS│Residential Retail'!E220</f>
        <v>14.825027505842099</v>
      </c>
      <c r="F142" s="50">
        <f xml:space="preserve"> 'INPUTS│Residential Retail'!F220</f>
        <v>15.112472369264401</v>
      </c>
      <c r="G142" s="50">
        <f xml:space="preserve"> 'INPUTS│Residential Retail'!G220</f>
        <v>15.6541394202848</v>
      </c>
      <c r="H142" s="50">
        <f xml:space="preserve"> 'INPUTS│Residential Retail'!H220</f>
        <v>16.512558266725101</v>
      </c>
      <c r="I142" s="50">
        <f xml:space="preserve"> 'INPUTS│Residential Retail'!I220</f>
        <v>0</v>
      </c>
    </row>
    <row r="143" spans="3:9" x14ac:dyDescent="0.2">
      <c r="C143" s="8" t="s">
        <v>109</v>
      </c>
      <c r="D143" s="11" t="s">
        <v>126</v>
      </c>
      <c r="E143" s="50">
        <f xml:space="preserve"> 'INPUTS│Residential Retail'!E221</f>
        <v>5.8578250532028804</v>
      </c>
      <c r="F143" s="50">
        <f xml:space="preserve"> 'INPUTS│Residential Retail'!F221</f>
        <v>5.9320589864480002</v>
      </c>
      <c r="G143" s="50">
        <f xml:space="preserve"> 'INPUTS│Residential Retail'!G221</f>
        <v>6.1561413744815301</v>
      </c>
      <c r="H143" s="50">
        <f xml:space="preserve"> 'INPUTS│Residential Retail'!H221</f>
        <v>6.1499768552667398</v>
      </c>
      <c r="I143" s="50">
        <f xml:space="preserve"> 'INPUTS│Residential Retail'!I221</f>
        <v>0</v>
      </c>
    </row>
    <row r="145" spans="2:10" ht="13.5" x14ac:dyDescent="0.25">
      <c r="B145" s="36" t="s">
        <v>243</v>
      </c>
      <c r="C145" s="36"/>
      <c r="D145" s="37"/>
      <c r="E145" s="36"/>
      <c r="F145" s="36"/>
      <c r="G145" s="36"/>
      <c r="H145" s="36"/>
      <c r="I145" s="36"/>
      <c r="J145" s="36"/>
    </row>
    <row r="147" spans="2:10" x14ac:dyDescent="0.2">
      <c r="C147" s="8" t="s">
        <v>79</v>
      </c>
      <c r="D147" s="11" t="s">
        <v>126</v>
      </c>
      <c r="E147" s="50">
        <f xml:space="preserve"> 'INPUTS│Residential Retail'!E225</f>
        <v>71.391853483312701</v>
      </c>
      <c r="F147" s="50">
        <f xml:space="preserve"> 'INPUTS│Residential Retail'!F225</f>
        <v>74.002723132686398</v>
      </c>
      <c r="G147" s="50">
        <f xml:space="preserve"> 'INPUTS│Residential Retail'!G225</f>
        <v>75.956042343598497</v>
      </c>
      <c r="H147" s="50">
        <f xml:space="preserve"> 'INPUTS│Residential Retail'!H225</f>
        <v>77.325116516186398</v>
      </c>
      <c r="I147" s="50">
        <f xml:space="preserve"> 'INPUTS│Residential Retail'!I225</f>
        <v>0</v>
      </c>
    </row>
    <row r="148" spans="2:10" x14ac:dyDescent="0.2">
      <c r="C148" s="8" t="s">
        <v>81</v>
      </c>
      <c r="D148" s="11" t="s">
        <v>126</v>
      </c>
      <c r="E148" s="50">
        <f xml:space="preserve"> 'INPUTS│Residential Retail'!E226</f>
        <v>51.405948504049199</v>
      </c>
      <c r="F148" s="50">
        <f xml:space="preserve"> 'INPUTS│Residential Retail'!F226</f>
        <v>49.849142356779097</v>
      </c>
      <c r="G148" s="50">
        <f xml:space="preserve"> 'INPUTS│Residential Retail'!G226</f>
        <v>48.344143823438102</v>
      </c>
      <c r="H148" s="50">
        <f xml:space="preserve"> 'INPUTS│Residential Retail'!H226</f>
        <v>46.697231726458</v>
      </c>
      <c r="I148" s="50">
        <f xml:space="preserve"> 'INPUTS│Residential Retail'!I226</f>
        <v>0</v>
      </c>
    </row>
    <row r="149" spans="2:10" x14ac:dyDescent="0.2">
      <c r="C149" s="8" t="s">
        <v>84</v>
      </c>
      <c r="D149" s="11" t="s">
        <v>126</v>
      </c>
      <c r="E149" s="50">
        <f xml:space="preserve"> 'INPUTS│Residential Retail'!E227</f>
        <v>2.7216690878172898</v>
      </c>
      <c r="F149" s="50">
        <f xml:space="preserve"> 'INPUTS│Residential Retail'!F227</f>
        <v>2.7515056737646399</v>
      </c>
      <c r="G149" s="50">
        <f xml:space="preserve"> 'INPUTS│Residential Retail'!G227</f>
        <v>2.7766315048484298</v>
      </c>
      <c r="H149" s="50">
        <f xml:space="preserve"> 'INPUTS│Residential Retail'!H227</f>
        <v>2.5032626510757052</v>
      </c>
      <c r="I149" s="50">
        <f xml:space="preserve"> 'INPUTS│Residential Retail'!I227</f>
        <v>0</v>
      </c>
    </row>
    <row r="150" spans="2:10" x14ac:dyDescent="0.2">
      <c r="C150" s="8" t="s">
        <v>86</v>
      </c>
      <c r="D150" s="11" t="s">
        <v>126</v>
      </c>
      <c r="E150" s="50">
        <f xml:space="preserve"> 'INPUTS│Residential Retail'!E228</f>
        <v>51.268462127537802</v>
      </c>
      <c r="F150" s="50">
        <f xml:space="preserve"> 'INPUTS│Residential Retail'!F228</f>
        <v>52.135689862442902</v>
      </c>
      <c r="G150" s="50">
        <f xml:space="preserve"> 'INPUTS│Residential Retail'!G228</f>
        <v>52.757064843032602</v>
      </c>
      <c r="H150" s="50">
        <f xml:space="preserve"> 'INPUTS│Residential Retail'!H228</f>
        <v>53.3406011955312</v>
      </c>
      <c r="I150" s="50">
        <f xml:space="preserve"> 'INPUTS│Residential Retail'!I228</f>
        <v>0</v>
      </c>
    </row>
    <row r="151" spans="2:10" x14ac:dyDescent="0.2">
      <c r="C151" s="8" t="s">
        <v>88</v>
      </c>
      <c r="D151" s="11" t="s">
        <v>126</v>
      </c>
      <c r="E151" s="50">
        <f xml:space="preserve"> 'INPUTS│Residential Retail'!E229</f>
        <v>102.435150442713</v>
      </c>
      <c r="F151" s="50">
        <f xml:space="preserve"> 'INPUTS│Residential Retail'!F229</f>
        <v>106.186829249832</v>
      </c>
      <c r="G151" s="50">
        <f xml:space="preserve"> 'INPUTS│Residential Retail'!G229</f>
        <v>109.55984227794499</v>
      </c>
      <c r="H151" s="50">
        <f xml:space="preserve"> 'INPUTS│Residential Retail'!H229</f>
        <v>111.43083086253959</v>
      </c>
      <c r="I151" s="50">
        <f xml:space="preserve"> 'INPUTS│Residential Retail'!I229</f>
        <v>0</v>
      </c>
    </row>
    <row r="152" spans="2:10" x14ac:dyDescent="0.2">
      <c r="C152" s="8" t="s">
        <v>90</v>
      </c>
      <c r="D152" s="11" t="s">
        <v>126</v>
      </c>
      <c r="E152" s="50">
        <f xml:space="preserve"> 'INPUTS│Residential Retail'!E230</f>
        <v>32.524521166744059</v>
      </c>
      <c r="F152" s="50">
        <f xml:space="preserve"> 'INPUTS│Residential Retail'!F230</f>
        <v>33.013753981060987</v>
      </c>
      <c r="G152" s="50">
        <f xml:space="preserve"> 'INPUTS│Residential Retail'!G230</f>
        <v>33.427788565230458</v>
      </c>
      <c r="H152" s="50">
        <f xml:space="preserve"> 'INPUTS│Residential Retail'!H230</f>
        <v>33.573298601550775</v>
      </c>
      <c r="I152" s="50">
        <f xml:space="preserve"> 'INPUTS│Residential Retail'!I230</f>
        <v>0</v>
      </c>
    </row>
    <row r="153" spans="2:10" x14ac:dyDescent="0.2">
      <c r="C153" s="8" t="s">
        <v>93</v>
      </c>
      <c r="D153" s="11" t="s">
        <v>126</v>
      </c>
      <c r="E153" s="50">
        <f xml:space="preserve"> 'INPUTS│Residential Retail'!E231</f>
        <v>58.506976711910802</v>
      </c>
      <c r="F153" s="50">
        <f xml:space="preserve"> 'INPUTS│Residential Retail'!F231</f>
        <v>57.4836867533215</v>
      </c>
      <c r="G153" s="50">
        <f xml:space="preserve"> 'INPUTS│Residential Retail'!G231</f>
        <v>53.310918510807703</v>
      </c>
      <c r="H153" s="50">
        <f xml:space="preserve"> 'INPUTS│Residential Retail'!H231</f>
        <v>49.240950120087199</v>
      </c>
      <c r="I153" s="50">
        <f xml:space="preserve"> 'INPUTS│Residential Retail'!I231</f>
        <v>0</v>
      </c>
    </row>
    <row r="154" spans="2:10" x14ac:dyDescent="0.2">
      <c r="C154" s="8" t="s">
        <v>95</v>
      </c>
      <c r="D154" s="11" t="s">
        <v>126</v>
      </c>
      <c r="E154" s="50">
        <f xml:space="preserve"> 'INPUTS│Residential Retail'!E232</f>
        <v>149.27391074188299</v>
      </c>
      <c r="F154" s="50">
        <f xml:space="preserve"> 'INPUTS│Residential Retail'!F232</f>
        <v>150.54493283612399</v>
      </c>
      <c r="G154" s="50">
        <f xml:space="preserve"> 'INPUTS│Residential Retail'!G232</f>
        <v>153.93541196603499</v>
      </c>
      <c r="H154" s="50">
        <f xml:space="preserve"> 'INPUTS│Residential Retail'!H232</f>
        <v>155.63692334206999</v>
      </c>
      <c r="I154" s="50">
        <f xml:space="preserve"> 'INPUTS│Residential Retail'!I232</f>
        <v>0</v>
      </c>
    </row>
    <row r="155" spans="2:10" x14ac:dyDescent="0.2">
      <c r="C155" s="8" t="s">
        <v>97</v>
      </c>
      <c r="D155" s="11" t="s">
        <v>126</v>
      </c>
      <c r="E155" s="50">
        <f xml:space="preserve"> 'INPUTS│Residential Retail'!E233</f>
        <v>120.292214043694</v>
      </c>
      <c r="F155" s="50">
        <f xml:space="preserve"> 'INPUTS│Residential Retail'!F233</f>
        <v>115.37487067644</v>
      </c>
      <c r="G155" s="50">
        <f xml:space="preserve"> 'INPUTS│Residential Retail'!G233</f>
        <v>108.78954667009999</v>
      </c>
      <c r="H155" s="50">
        <f xml:space="preserve"> 'INPUTS│Residential Retail'!H233</f>
        <v>103.392472210788</v>
      </c>
      <c r="I155" s="50">
        <f xml:space="preserve"> 'INPUTS│Residential Retail'!I233</f>
        <v>0</v>
      </c>
    </row>
    <row r="156" spans="2:10" x14ac:dyDescent="0.2">
      <c r="C156" s="8" t="s">
        <v>99</v>
      </c>
      <c r="D156" s="11" t="s">
        <v>126</v>
      </c>
      <c r="E156" s="50">
        <f xml:space="preserve"> 'INPUTS│Residential Retail'!E234</f>
        <v>29.401890538933301</v>
      </c>
      <c r="F156" s="50">
        <f xml:space="preserve"> 'INPUTS│Residential Retail'!F234</f>
        <v>30.426535909715501</v>
      </c>
      <c r="G156" s="50">
        <f xml:space="preserve"> 'INPUTS│Residential Retail'!G234</f>
        <v>31.607955313440801</v>
      </c>
      <c r="H156" s="50">
        <f xml:space="preserve"> 'INPUTS│Residential Retail'!H234</f>
        <v>32.635464309549</v>
      </c>
      <c r="I156" s="50">
        <f xml:space="preserve"> 'INPUTS│Residential Retail'!I234</f>
        <v>0</v>
      </c>
    </row>
    <row r="157" spans="2:10" x14ac:dyDescent="0.2">
      <c r="C157" s="8" t="s">
        <v>101</v>
      </c>
      <c r="D157" s="11" t="s">
        <v>126</v>
      </c>
      <c r="E157" s="50">
        <f xml:space="preserve"> 'INPUTS│Residential Retail'!E235</f>
        <v>51.773516277613901</v>
      </c>
      <c r="F157" s="50">
        <f xml:space="preserve"> 'INPUTS│Residential Retail'!F235</f>
        <v>53.243877186477597</v>
      </c>
      <c r="G157" s="50">
        <f xml:space="preserve"> 'INPUTS│Residential Retail'!G235</f>
        <v>54.916822106802698</v>
      </c>
      <c r="H157" s="50">
        <f xml:space="preserve"> 'INPUTS│Residential Retail'!H235</f>
        <v>56.716900341790598</v>
      </c>
      <c r="I157" s="50">
        <f xml:space="preserve"> 'INPUTS│Residential Retail'!I235</f>
        <v>0</v>
      </c>
    </row>
    <row r="158" spans="2:10" x14ac:dyDescent="0.2">
      <c r="C158" s="8" t="s">
        <v>103</v>
      </c>
      <c r="D158" s="11" t="s">
        <v>126</v>
      </c>
      <c r="E158" s="50">
        <f xml:space="preserve"> 'INPUTS│Residential Retail'!E236</f>
        <v>26.475074447779701</v>
      </c>
      <c r="F158" s="50">
        <f xml:space="preserve"> 'INPUTS│Residential Retail'!F236</f>
        <v>26.392290805440901</v>
      </c>
      <c r="G158" s="50">
        <f xml:space="preserve"> 'INPUTS│Residential Retail'!G236</f>
        <v>26.249996507232801</v>
      </c>
      <c r="H158" s="50">
        <f xml:space="preserve"> 'INPUTS│Residential Retail'!H236</f>
        <v>26.007951525860399</v>
      </c>
      <c r="I158" s="50">
        <f xml:space="preserve"> 'INPUTS│Residential Retail'!I236</f>
        <v>0</v>
      </c>
    </row>
    <row r="159" spans="2:10" x14ac:dyDescent="0.2">
      <c r="C159" s="8" t="s">
        <v>105</v>
      </c>
      <c r="D159" s="11" t="s">
        <v>126</v>
      </c>
      <c r="E159" s="50">
        <f xml:space="preserve"> 'INPUTS│Residential Retail'!E237</f>
        <v>9.5856814954396796</v>
      </c>
      <c r="F159" s="50">
        <f xml:space="preserve"> 'INPUTS│Residential Retail'!F237</f>
        <v>10.054459891616</v>
      </c>
      <c r="G159" s="50">
        <f xml:space="preserve"> 'INPUTS│Residential Retail'!G237</f>
        <v>10.514556763213699</v>
      </c>
      <c r="H159" s="50">
        <f xml:space="preserve"> 'INPUTS│Residential Retail'!H237</f>
        <v>10.9682856687919</v>
      </c>
      <c r="I159" s="50">
        <f xml:space="preserve"> 'INPUTS│Residential Retail'!I237</f>
        <v>0</v>
      </c>
    </row>
    <row r="160" spans="2:10" x14ac:dyDescent="0.2">
      <c r="C160" s="8" t="s">
        <v>107</v>
      </c>
      <c r="D160" s="11" t="s">
        <v>126</v>
      </c>
      <c r="E160" s="50">
        <f xml:space="preserve"> 'INPUTS│Residential Retail'!E238</f>
        <v>4.2370931848370299</v>
      </c>
      <c r="F160" s="50">
        <f xml:space="preserve"> 'INPUTS│Residential Retail'!F238</f>
        <v>4.3123336398624001</v>
      </c>
      <c r="G160" s="50">
        <f xml:space="preserve"> 'INPUTS│Residential Retail'!G238</f>
        <v>4.3875740948877802</v>
      </c>
      <c r="H160" s="50">
        <f xml:space="preserve"> 'INPUTS│Residential Retail'!H238</f>
        <v>4.4679299410783004</v>
      </c>
      <c r="I160" s="50">
        <f xml:space="preserve"> 'INPUTS│Residential Retail'!I238</f>
        <v>0</v>
      </c>
    </row>
    <row r="161" spans="2:10" x14ac:dyDescent="0.2">
      <c r="C161" s="8" t="s">
        <v>111</v>
      </c>
      <c r="D161" s="11" t="s">
        <v>126</v>
      </c>
      <c r="E161" s="50">
        <f xml:space="preserve"> 'INPUTS│Residential Retail'!E239</f>
        <v>18.692465149428099</v>
      </c>
      <c r="F161" s="50">
        <f xml:space="preserve"> 'INPUTS│Residential Retail'!F239</f>
        <v>19.222941225828698</v>
      </c>
      <c r="G161" s="50">
        <f xml:space="preserve"> 'INPUTS│Residential Retail'!G239</f>
        <v>19.7336166630534</v>
      </c>
      <c r="H161" s="50">
        <f xml:space="preserve"> 'INPUTS│Residential Retail'!H239</f>
        <v>20.125285214164201</v>
      </c>
      <c r="I161" s="50">
        <f xml:space="preserve"> 'INPUTS│Residential Retail'!I239</f>
        <v>0</v>
      </c>
    </row>
    <row r="162" spans="2:10" x14ac:dyDescent="0.2">
      <c r="C162" s="8" t="s">
        <v>113</v>
      </c>
      <c r="D162" s="11" t="s">
        <v>126</v>
      </c>
      <c r="E162" s="50">
        <f xml:space="preserve"> 'INPUTS│Residential Retail'!E240</f>
        <v>13.9064452286958</v>
      </c>
      <c r="F162" s="50">
        <f xml:space="preserve"> 'INPUTS│Residential Retail'!F240</f>
        <v>14.1723194094302</v>
      </c>
      <c r="G162" s="50">
        <f xml:space="preserve"> 'INPUTS│Residential Retail'!G240</f>
        <v>14.681235485238499</v>
      </c>
      <c r="H162" s="50">
        <f xml:space="preserve"> 'INPUTS│Residential Retail'!H240</f>
        <v>15.511407516512801</v>
      </c>
      <c r="I162" s="50">
        <f xml:space="preserve"> 'INPUTS│Residential Retail'!I240</f>
        <v>0</v>
      </c>
    </row>
    <row r="163" spans="2:10" x14ac:dyDescent="0.2">
      <c r="C163" s="8" t="s">
        <v>109</v>
      </c>
      <c r="D163" s="11" t="s">
        <v>126</v>
      </c>
      <c r="E163" s="50">
        <f xml:space="preserve"> 'INPUTS│Residential Retail'!E241</f>
        <v>5.3633825069840801</v>
      </c>
      <c r="F163" s="50">
        <f xml:space="preserve"> 'INPUTS│Residential Retail'!F241</f>
        <v>5.4207342540642696</v>
      </c>
      <c r="G163" s="50">
        <f xml:space="preserve"> 'INPUTS│Residential Retail'!G241</f>
        <v>5.62549552600181</v>
      </c>
      <c r="H163" s="50">
        <f xml:space="preserve"> 'INPUTS│Residential Retail'!H241</f>
        <v>5.6000588225662602</v>
      </c>
      <c r="I163" s="50">
        <f xml:space="preserve"> 'INPUTS│Residential Retail'!I241</f>
        <v>0</v>
      </c>
    </row>
    <row r="165" spans="2:10" ht="13.5" x14ac:dyDescent="0.25">
      <c r="B165" s="36" t="s">
        <v>243</v>
      </c>
      <c r="C165" s="36"/>
      <c r="D165" s="37"/>
      <c r="E165" s="36"/>
      <c r="F165" s="36"/>
      <c r="G165" s="36"/>
      <c r="H165" s="36"/>
      <c r="I165" s="36"/>
      <c r="J165" s="36"/>
    </row>
    <row r="167" spans="2:10" x14ac:dyDescent="0.2">
      <c r="C167" s="8" t="s">
        <v>79</v>
      </c>
      <c r="D167" s="11" t="s">
        <v>132</v>
      </c>
      <c r="E167" s="205">
        <f xml:space="preserve"> IFERROR( E147 / E127, 0 )</f>
        <v>0.8858593443436521</v>
      </c>
      <c r="F167" s="205">
        <f t="shared" ref="F167:I167" si="2" xml:space="preserve"> IFERROR( F147 / F127, 0 )</f>
        <v>0.88550636320786213</v>
      </c>
      <c r="G167" s="205">
        <f t="shared" si="2"/>
        <v>0.88409858372538153</v>
      </c>
      <c r="H167" s="205">
        <f t="shared" si="2"/>
        <v>0.88218421428813165</v>
      </c>
      <c r="I167" s="205">
        <f t="shared" si="2"/>
        <v>0</v>
      </c>
    </row>
    <row r="168" spans="2:10" x14ac:dyDescent="0.2">
      <c r="C168" s="8" t="s">
        <v>81</v>
      </c>
      <c r="D168" s="11" t="s">
        <v>132</v>
      </c>
      <c r="E168" s="205">
        <f t="shared" ref="E168:I183" si="3" xml:space="preserve"> IFERROR( E148 / E128, 0 )</f>
        <v>0.90133953410074175</v>
      </c>
      <c r="F168" s="205">
        <f t="shared" si="3"/>
        <v>0.89611669253229187</v>
      </c>
      <c r="G168" s="205">
        <f t="shared" si="3"/>
        <v>0.89067087470227957</v>
      </c>
      <c r="H168" s="205">
        <f t="shared" si="3"/>
        <v>0.88472343106477835</v>
      </c>
      <c r="I168" s="205">
        <f t="shared" si="3"/>
        <v>0</v>
      </c>
    </row>
    <row r="169" spans="2:10" x14ac:dyDescent="0.2">
      <c r="C169" s="8" t="s">
        <v>84</v>
      </c>
      <c r="D169" s="11" t="s">
        <v>132</v>
      </c>
      <c r="E169" s="205">
        <f t="shared" si="3"/>
        <v>0.93841819128734028</v>
      </c>
      <c r="F169" s="205">
        <f t="shared" si="3"/>
        <v>0.93687998574479814</v>
      </c>
      <c r="G169" s="205">
        <f t="shared" si="3"/>
        <v>0.9352367901454044</v>
      </c>
      <c r="H169" s="205">
        <f t="shared" si="3"/>
        <v>0.97910250224087414</v>
      </c>
      <c r="I169" s="205">
        <f t="shared" si="3"/>
        <v>0</v>
      </c>
    </row>
    <row r="170" spans="2:10" x14ac:dyDescent="0.2">
      <c r="C170" s="8" t="s">
        <v>86</v>
      </c>
      <c r="D170" s="11" t="s">
        <v>132</v>
      </c>
      <c r="E170" s="205">
        <f t="shared" si="3"/>
        <v>0.89859766845271916</v>
      </c>
      <c r="F170" s="205">
        <f t="shared" si="3"/>
        <v>0.89688123442496381</v>
      </c>
      <c r="G170" s="205">
        <f t="shared" si="3"/>
        <v>0.89458292502063486</v>
      </c>
      <c r="H170" s="205">
        <f t="shared" si="3"/>
        <v>0.89239502957573036</v>
      </c>
      <c r="I170" s="205">
        <f t="shared" si="3"/>
        <v>0</v>
      </c>
    </row>
    <row r="171" spans="2:10" x14ac:dyDescent="0.2">
      <c r="C171" s="8" t="s">
        <v>88</v>
      </c>
      <c r="D171" s="11" t="s">
        <v>132</v>
      </c>
      <c r="E171" s="205">
        <f t="shared" si="3"/>
        <v>0.90250179112287809</v>
      </c>
      <c r="F171" s="205">
        <f t="shared" si="3"/>
        <v>0.9026454596353749</v>
      </c>
      <c r="G171" s="205">
        <f t="shared" si="3"/>
        <v>0.90213864725636728</v>
      </c>
      <c r="H171" s="205">
        <f t="shared" si="3"/>
        <v>0.90048058484239335</v>
      </c>
      <c r="I171" s="205">
        <f t="shared" si="3"/>
        <v>0</v>
      </c>
    </row>
    <row r="172" spans="2:10" x14ac:dyDescent="0.2">
      <c r="C172" s="8" t="s">
        <v>90</v>
      </c>
      <c r="D172" s="11" t="s">
        <v>132</v>
      </c>
      <c r="E172" s="205">
        <f t="shared" si="3"/>
        <v>0.89188559205189344</v>
      </c>
      <c r="F172" s="205">
        <f t="shared" si="3"/>
        <v>0.89030122467173567</v>
      </c>
      <c r="G172" s="205">
        <f t="shared" si="3"/>
        <v>0.8884127387447186</v>
      </c>
      <c r="H172" s="205">
        <f t="shared" si="3"/>
        <v>0.88564701798688883</v>
      </c>
      <c r="I172" s="205">
        <f t="shared" si="3"/>
        <v>0</v>
      </c>
    </row>
    <row r="173" spans="2:10" x14ac:dyDescent="0.2">
      <c r="C173" s="8" t="s">
        <v>93</v>
      </c>
      <c r="D173" s="11" t="s">
        <v>132</v>
      </c>
      <c r="E173" s="205">
        <f t="shared" si="3"/>
        <v>0.90059553663956915</v>
      </c>
      <c r="F173" s="205">
        <f t="shared" si="3"/>
        <v>0.89572728618442454</v>
      </c>
      <c r="G173" s="205">
        <f t="shared" si="3"/>
        <v>0.88508493032046875</v>
      </c>
      <c r="H173" s="205">
        <f t="shared" si="3"/>
        <v>0.87327117474567351</v>
      </c>
      <c r="I173" s="205">
        <f t="shared" si="3"/>
        <v>0</v>
      </c>
    </row>
    <row r="174" spans="2:10" x14ac:dyDescent="0.2">
      <c r="C174" s="8" t="s">
        <v>95</v>
      </c>
      <c r="D174" s="11" t="s">
        <v>132</v>
      </c>
      <c r="E174" s="205">
        <f t="shared" si="3"/>
        <v>0.90147608123124601</v>
      </c>
      <c r="F174" s="205">
        <f t="shared" si="3"/>
        <v>0.89659009747281548</v>
      </c>
      <c r="G174" s="205">
        <f t="shared" si="3"/>
        <v>0.894429518823049</v>
      </c>
      <c r="H174" s="205">
        <f t="shared" si="3"/>
        <v>0.89008769691826128</v>
      </c>
      <c r="I174" s="205">
        <f t="shared" si="3"/>
        <v>0</v>
      </c>
    </row>
    <row r="175" spans="2:10" x14ac:dyDescent="0.2">
      <c r="C175" s="8" t="s">
        <v>97</v>
      </c>
      <c r="D175" s="11" t="s">
        <v>132</v>
      </c>
      <c r="E175" s="205">
        <f t="shared" si="3"/>
        <v>0.91078026227813291</v>
      </c>
      <c r="F175" s="205">
        <f t="shared" si="3"/>
        <v>0.90447658864193636</v>
      </c>
      <c r="G175" s="205">
        <f t="shared" si="3"/>
        <v>0.89621951532412314</v>
      </c>
      <c r="H175" s="205">
        <f t="shared" si="3"/>
        <v>0.88813586050957949</v>
      </c>
      <c r="I175" s="205">
        <f t="shared" si="3"/>
        <v>0</v>
      </c>
    </row>
    <row r="176" spans="2:10" x14ac:dyDescent="0.2">
      <c r="C176" s="8" t="s">
        <v>99</v>
      </c>
      <c r="D176" s="11" t="s">
        <v>132</v>
      </c>
      <c r="E176" s="205">
        <f t="shared" si="3"/>
        <v>0.88550789696971377</v>
      </c>
      <c r="F176" s="205">
        <f t="shared" si="3"/>
        <v>0.88504886268262395</v>
      </c>
      <c r="G176" s="205">
        <f t="shared" si="3"/>
        <v>0.88478238877569593</v>
      </c>
      <c r="H176" s="205">
        <f t="shared" si="3"/>
        <v>0.88414919828235095</v>
      </c>
      <c r="I176" s="205">
        <f t="shared" si="3"/>
        <v>0</v>
      </c>
    </row>
    <row r="177" spans="2:10" x14ac:dyDescent="0.2">
      <c r="C177" s="8" t="s">
        <v>101</v>
      </c>
      <c r="D177" s="11" t="s">
        <v>132</v>
      </c>
      <c r="E177" s="205">
        <f t="shared" si="3"/>
        <v>0.87319119619694086</v>
      </c>
      <c r="F177" s="205">
        <f t="shared" si="3"/>
        <v>0.8719382800946166</v>
      </c>
      <c r="G177" s="205">
        <f t="shared" si="3"/>
        <v>0.87093187246662884</v>
      </c>
      <c r="H177" s="205">
        <f t="shared" si="3"/>
        <v>0.87003085488068332</v>
      </c>
      <c r="I177" s="205">
        <f t="shared" si="3"/>
        <v>0</v>
      </c>
    </row>
    <row r="178" spans="2:10" x14ac:dyDescent="0.2">
      <c r="C178" s="8" t="s">
        <v>103</v>
      </c>
      <c r="D178" s="11" t="s">
        <v>132</v>
      </c>
      <c r="E178" s="205">
        <f t="shared" si="3"/>
        <v>0.91646042317706311</v>
      </c>
      <c r="F178" s="205">
        <f t="shared" si="3"/>
        <v>0.91406548788475961</v>
      </c>
      <c r="G178" s="205">
        <f t="shared" si="3"/>
        <v>0.91275360947974671</v>
      </c>
      <c r="H178" s="205">
        <f t="shared" si="3"/>
        <v>0.91044073921658131</v>
      </c>
      <c r="I178" s="205">
        <f t="shared" si="3"/>
        <v>0</v>
      </c>
    </row>
    <row r="179" spans="2:10" x14ac:dyDescent="0.2">
      <c r="C179" s="8" t="s">
        <v>105</v>
      </c>
      <c r="D179" s="11" t="s">
        <v>132</v>
      </c>
      <c r="E179" s="205">
        <f t="shared" si="3"/>
        <v>0.91870166980821411</v>
      </c>
      <c r="F179" s="205">
        <f t="shared" si="3"/>
        <v>0.92452420154428083</v>
      </c>
      <c r="G179" s="205">
        <f t="shared" si="3"/>
        <v>0.92469845049683053</v>
      </c>
      <c r="H179" s="205">
        <f t="shared" si="3"/>
        <v>0.92509464390798901</v>
      </c>
      <c r="I179" s="205">
        <f t="shared" si="3"/>
        <v>0</v>
      </c>
    </row>
    <row r="180" spans="2:10" x14ac:dyDescent="0.2">
      <c r="C180" s="8" t="s">
        <v>107</v>
      </c>
      <c r="D180" s="11" t="s">
        <v>132</v>
      </c>
      <c r="E180" s="205">
        <f t="shared" si="3"/>
        <v>0.93743732145273284</v>
      </c>
      <c r="F180" s="205">
        <f t="shared" si="3"/>
        <v>0.93626878922949885</v>
      </c>
      <c r="G180" s="205">
        <f t="shared" si="3"/>
        <v>0.93495066409142169</v>
      </c>
      <c r="H180" s="205">
        <f t="shared" si="3"/>
        <v>0.93373950342713385</v>
      </c>
      <c r="I180" s="205">
        <f t="shared" si="3"/>
        <v>0</v>
      </c>
    </row>
    <row r="181" spans="2:10" x14ac:dyDescent="0.2">
      <c r="C181" s="8" t="s">
        <v>111</v>
      </c>
      <c r="D181" s="11" t="s">
        <v>132</v>
      </c>
      <c r="E181" s="205">
        <f t="shared" si="3"/>
        <v>0.91832950666112745</v>
      </c>
      <c r="F181" s="205">
        <f t="shared" si="3"/>
        <v>0.91752671336113323</v>
      </c>
      <c r="G181" s="205">
        <f t="shared" si="3"/>
        <v>0.9163471729202376</v>
      </c>
      <c r="H181" s="205">
        <f t="shared" si="3"/>
        <v>0.9151005656663691</v>
      </c>
      <c r="I181" s="205">
        <f t="shared" si="3"/>
        <v>0</v>
      </c>
    </row>
    <row r="182" spans="2:10" x14ac:dyDescent="0.2">
      <c r="C182" s="8" t="s">
        <v>113</v>
      </c>
      <c r="D182" s="11" t="s">
        <v>132</v>
      </c>
      <c r="E182" s="205">
        <f t="shared" si="3"/>
        <v>0.93803840992643595</v>
      </c>
      <c r="F182" s="205">
        <f t="shared" si="3"/>
        <v>0.93778959942078866</v>
      </c>
      <c r="G182" s="205">
        <f t="shared" si="3"/>
        <v>0.93785005301629032</v>
      </c>
      <c r="H182" s="205">
        <f t="shared" si="3"/>
        <v>0.93937034261797303</v>
      </c>
      <c r="I182" s="205">
        <f t="shared" si="3"/>
        <v>0</v>
      </c>
    </row>
    <row r="183" spans="2:10" x14ac:dyDescent="0.2">
      <c r="C183" s="8" t="s">
        <v>109</v>
      </c>
      <c r="D183" s="11" t="s">
        <v>132</v>
      </c>
      <c r="E183" s="205">
        <f t="shared" si="3"/>
        <v>0.91559281103001633</v>
      </c>
      <c r="F183" s="205">
        <f t="shared" si="3"/>
        <v>0.913803161170199</v>
      </c>
      <c r="G183" s="205">
        <f t="shared" si="3"/>
        <v>0.91380219910488802</v>
      </c>
      <c r="H183" s="205">
        <f t="shared" si="3"/>
        <v>0.91058209719447336</v>
      </c>
      <c r="I183" s="205">
        <f t="shared" si="3"/>
        <v>0</v>
      </c>
    </row>
    <row r="185" spans="2:10" ht="13.5" x14ac:dyDescent="0.25">
      <c r="B185" s="36" t="s">
        <v>245</v>
      </c>
      <c r="C185" s="36"/>
      <c r="D185" s="37"/>
      <c r="E185" s="36"/>
      <c r="F185" s="36"/>
      <c r="G185" s="36"/>
      <c r="H185" s="36"/>
      <c r="I185" s="36"/>
      <c r="J185" s="36"/>
    </row>
    <row r="187" spans="2:10" x14ac:dyDescent="0.2">
      <c r="C187" s="8" t="s">
        <v>79</v>
      </c>
      <c r="D187" s="11" t="s">
        <v>126</v>
      </c>
      <c r="E187" s="50">
        <f xml:space="preserve"> 'INPUTS│Residential Retail'!E245</f>
        <v>0.44459397568258602</v>
      </c>
      <c r="F187" s="50">
        <f xml:space="preserve"> 'INPUTS│Residential Retail'!F245</f>
        <v>0.21935021961416501</v>
      </c>
      <c r="G187" s="50">
        <f xml:space="preserve"> 'INPUTS│Residential Retail'!G245</f>
        <v>0.14750721232071701</v>
      </c>
      <c r="H187" s="50">
        <f xml:space="preserve"> 'INPUTS│Residential Retail'!H245</f>
        <v>0.119674792483659</v>
      </c>
      <c r="I187" s="50">
        <f xml:space="preserve"> 'INPUTS│Residential Retail'!I245</f>
        <v>0</v>
      </c>
    </row>
    <row r="188" spans="2:10" x14ac:dyDescent="0.2">
      <c r="C188" s="8" t="s">
        <v>81</v>
      </c>
      <c r="D188" s="11" t="s">
        <v>126</v>
      </c>
      <c r="E188" s="50">
        <f xml:space="preserve"> 'INPUTS│Residential Retail'!E246</f>
        <v>3.12</v>
      </c>
      <c r="F188" s="50">
        <f xml:space="preserve"> 'INPUTS│Residential Retail'!F246</f>
        <v>3</v>
      </c>
      <c r="G188" s="50">
        <f xml:space="preserve"> 'INPUTS│Residential Retail'!G246</f>
        <v>2.8149999999999999</v>
      </c>
      <c r="H188" s="50">
        <f xml:space="preserve"> 'INPUTS│Residential Retail'!H246</f>
        <v>2.7370000000000001</v>
      </c>
      <c r="I188" s="50">
        <f xml:space="preserve"> 'INPUTS│Residential Retail'!I246</f>
        <v>0</v>
      </c>
    </row>
    <row r="189" spans="2:10" x14ac:dyDescent="0.2">
      <c r="C189" s="8" t="s">
        <v>84</v>
      </c>
      <c r="D189" s="11" t="s">
        <v>126</v>
      </c>
      <c r="E189" s="50">
        <f xml:space="preserve"> 'INPUTS│Residential Retail'!E247</f>
        <v>3.9E-2</v>
      </c>
      <c r="F189" s="50">
        <f xml:space="preserve"> 'INPUTS│Residential Retail'!F247</f>
        <v>3.9E-2</v>
      </c>
      <c r="G189" s="50">
        <f xml:space="preserve"> 'INPUTS│Residential Retail'!G247</f>
        <v>3.9E-2</v>
      </c>
      <c r="H189" s="50">
        <f xml:space="preserve"> 'INPUTS│Residential Retail'!H247</f>
        <v>3.9E-2</v>
      </c>
      <c r="I189" s="50">
        <f xml:space="preserve"> 'INPUTS│Residential Retail'!I247</f>
        <v>0</v>
      </c>
    </row>
    <row r="190" spans="2:10" x14ac:dyDescent="0.2">
      <c r="C190" s="8" t="s">
        <v>86</v>
      </c>
      <c r="D190" s="11" t="s">
        <v>126</v>
      </c>
      <c r="E190" s="50">
        <f xml:space="preserve"> 'INPUTS│Residential Retail'!E248</f>
        <v>0.83259413699437501</v>
      </c>
      <c r="F190" s="50">
        <f xml:space="preserve"> 'INPUTS│Residential Retail'!F248</f>
        <v>0.70673889187886596</v>
      </c>
      <c r="G190" s="50">
        <f xml:space="preserve"> 'INPUTS│Residential Retail'!G248</f>
        <v>0.56974851329627796</v>
      </c>
      <c r="H190" s="50">
        <f xml:space="preserve"> 'INPUTS│Residential Retail'!H248</f>
        <v>0.47135275535805798</v>
      </c>
      <c r="I190" s="50">
        <f xml:space="preserve"> 'INPUTS│Residential Retail'!I248</f>
        <v>0</v>
      </c>
    </row>
    <row r="191" spans="2:10" x14ac:dyDescent="0.2">
      <c r="C191" s="8" t="s">
        <v>88</v>
      </c>
      <c r="D191" s="11" t="s">
        <v>126</v>
      </c>
      <c r="E191" s="50">
        <f xml:space="preserve"> 'INPUTS│Residential Retail'!E249</f>
        <v>3.5064506078156401</v>
      </c>
      <c r="F191" s="50">
        <f xml:space="preserve"> 'INPUTS│Residential Retail'!F249</f>
        <v>2.5334308112799699</v>
      </c>
      <c r="G191" s="50">
        <f xml:space="preserve"> 'INPUTS│Residential Retail'!G249</f>
        <v>2.2258735380328898</v>
      </c>
      <c r="H191" s="50">
        <f xml:space="preserve"> 'INPUTS│Residential Retail'!H249</f>
        <v>1.5701797126478301</v>
      </c>
      <c r="I191" s="50">
        <f xml:space="preserve"> 'INPUTS│Residential Retail'!I249</f>
        <v>0</v>
      </c>
    </row>
    <row r="192" spans="2:10" x14ac:dyDescent="0.2">
      <c r="C192" s="8" t="s">
        <v>90</v>
      </c>
      <c r="D192" s="11" t="s">
        <v>126</v>
      </c>
      <c r="E192" s="50">
        <f xml:space="preserve"> 'INPUTS│Residential Retail'!E250</f>
        <v>0.248</v>
      </c>
      <c r="F192" s="50">
        <f xml:space="preserve"> 'INPUTS│Residential Retail'!F250</f>
        <v>0.248</v>
      </c>
      <c r="G192" s="50">
        <f xml:space="preserve"> 'INPUTS│Residential Retail'!G250</f>
        <v>0.22900000000000001</v>
      </c>
      <c r="H192" s="50">
        <f xml:space="preserve"> 'INPUTS│Residential Retail'!H250</f>
        <v>0.21099999999999999</v>
      </c>
      <c r="I192" s="50">
        <f xml:space="preserve"> 'INPUTS│Residential Retail'!I250</f>
        <v>0</v>
      </c>
    </row>
    <row r="193" spans="2:10" x14ac:dyDescent="0.2">
      <c r="C193" s="8" t="s">
        <v>93</v>
      </c>
      <c r="D193" s="11" t="s">
        <v>126</v>
      </c>
      <c r="E193" s="50">
        <f xml:space="preserve"> 'INPUTS│Residential Retail'!E251</f>
        <v>5.0919999999999996</v>
      </c>
      <c r="F193" s="50">
        <f xml:space="preserve"> 'INPUTS│Residential Retail'!F251</f>
        <v>4.4660000000000002</v>
      </c>
      <c r="G193" s="50">
        <f xml:space="preserve"> 'INPUTS│Residential Retail'!G251</f>
        <v>4.0030000000000001</v>
      </c>
      <c r="H193" s="50">
        <f xml:space="preserve"> 'INPUTS│Residential Retail'!H251</f>
        <v>3.38</v>
      </c>
      <c r="I193" s="50">
        <f xml:space="preserve"> 'INPUTS│Residential Retail'!I251</f>
        <v>0</v>
      </c>
    </row>
    <row r="194" spans="2:10" x14ac:dyDescent="0.2">
      <c r="C194" s="8" t="s">
        <v>95</v>
      </c>
      <c r="D194" s="11" t="s">
        <v>126</v>
      </c>
      <c r="E194" s="50">
        <f xml:space="preserve"> 'INPUTS│Residential Retail'!E252</f>
        <v>3.0927842197884301</v>
      </c>
      <c r="F194" s="50">
        <f xml:space="preserve"> 'INPUTS│Residential Retail'!F252</f>
        <v>2.9557375274596498</v>
      </c>
      <c r="G194" s="50">
        <f xml:space="preserve"> 'INPUTS│Residential Retail'!G252</f>
        <v>2.9557375274596498</v>
      </c>
      <c r="H194" s="50">
        <f xml:space="preserve"> 'INPUTS│Residential Retail'!H252</f>
        <v>2.1354012982008701</v>
      </c>
      <c r="I194" s="50">
        <f xml:space="preserve"> 'INPUTS│Residential Retail'!I252</f>
        <v>0</v>
      </c>
    </row>
    <row r="195" spans="2:10" x14ac:dyDescent="0.2">
      <c r="C195" s="8" t="s">
        <v>97</v>
      </c>
      <c r="D195" s="11" t="s">
        <v>126</v>
      </c>
      <c r="E195" s="50">
        <f xml:space="preserve"> 'INPUTS│Residential Retail'!E253</f>
        <v>5.4535751847220801</v>
      </c>
      <c r="F195" s="50">
        <f xml:space="preserve"> 'INPUTS│Residential Retail'!F253</f>
        <v>4.9591345727330296</v>
      </c>
      <c r="G195" s="50">
        <f xml:space="preserve"> 'INPUTS│Residential Retail'!G253</f>
        <v>4.8295161198574403</v>
      </c>
      <c r="H195" s="50">
        <f xml:space="preserve"> 'INPUTS│Residential Retail'!H253</f>
        <v>3.8134955923541001</v>
      </c>
      <c r="I195" s="50">
        <f xml:space="preserve"> 'INPUTS│Residential Retail'!I253</f>
        <v>0</v>
      </c>
    </row>
    <row r="196" spans="2:10" x14ac:dyDescent="0.2">
      <c r="C196" s="8" t="s">
        <v>99</v>
      </c>
      <c r="D196" s="11" t="s">
        <v>126</v>
      </c>
      <c r="E196" s="50">
        <f xml:space="preserve"> 'INPUTS│Residential Retail'!E254</f>
        <v>0.70272878406883499</v>
      </c>
      <c r="F196" s="50">
        <f xml:space="preserve"> 'INPUTS│Residential Retail'!F254</f>
        <v>0.70272878406883499</v>
      </c>
      <c r="G196" s="50">
        <f xml:space="preserve"> 'INPUTS│Residential Retail'!G254</f>
        <v>0.70272878406883499</v>
      </c>
      <c r="H196" s="50">
        <f xml:space="preserve"> 'INPUTS│Residential Retail'!H254</f>
        <v>0.70272878406883499</v>
      </c>
      <c r="I196" s="50">
        <f xml:space="preserve"> 'INPUTS│Residential Retail'!I254</f>
        <v>0</v>
      </c>
    </row>
    <row r="197" spans="2:10" x14ac:dyDescent="0.2">
      <c r="C197" s="8" t="s">
        <v>101</v>
      </c>
      <c r="D197" s="11" t="s">
        <v>126</v>
      </c>
      <c r="E197" s="50">
        <f xml:space="preserve"> 'INPUTS│Residential Retail'!E255</f>
        <v>4.1520032163945499</v>
      </c>
      <c r="F197" s="50">
        <f xml:space="preserve"> 'INPUTS│Residential Retail'!F255</f>
        <v>3.72652952749154</v>
      </c>
      <c r="G197" s="50">
        <f xml:space="preserve"> 'INPUTS│Residential Retail'!G255</f>
        <v>3.05513945745431</v>
      </c>
      <c r="H197" s="50">
        <f xml:space="preserve"> 'INPUTS│Residential Retail'!H255</f>
        <v>1.24072694310899</v>
      </c>
      <c r="I197" s="50">
        <f xml:space="preserve"> 'INPUTS│Residential Retail'!I255</f>
        <v>0</v>
      </c>
    </row>
    <row r="198" spans="2:10" x14ac:dyDescent="0.2">
      <c r="C198" s="8" t="s">
        <v>103</v>
      </c>
      <c r="D198" s="11" t="s">
        <v>126</v>
      </c>
      <c r="E198" s="50">
        <f xml:space="preserve"> 'INPUTS│Residential Retail'!E256</f>
        <v>1.7305229332185399</v>
      </c>
      <c r="F198" s="50">
        <f xml:space="preserve"> 'INPUTS│Residential Retail'!F256</f>
        <v>1.6754468631596799</v>
      </c>
      <c r="G198" s="50">
        <f xml:space="preserve"> 'INPUTS│Residential Retail'!G256</f>
        <v>1.6301293109941299</v>
      </c>
      <c r="H198" s="50">
        <f xml:space="preserve"> 'INPUTS│Residential Retail'!H256</f>
        <v>1.1896396162524701</v>
      </c>
      <c r="I198" s="50">
        <f xml:space="preserve"> 'INPUTS│Residential Retail'!I256</f>
        <v>0</v>
      </c>
    </row>
    <row r="199" spans="2:10" x14ac:dyDescent="0.2">
      <c r="C199" s="8" t="s">
        <v>105</v>
      </c>
      <c r="D199" s="11" t="s">
        <v>126</v>
      </c>
      <c r="E199" s="50">
        <f xml:space="preserve"> 'INPUTS│Residential Retail'!E257</f>
        <v>0.23200000000000001</v>
      </c>
      <c r="F199" s="50">
        <f xml:space="preserve"> 'INPUTS│Residential Retail'!F257</f>
        <v>0.20799999999999999</v>
      </c>
      <c r="G199" s="50">
        <f xml:space="preserve"> 'INPUTS│Residential Retail'!G257</f>
        <v>0.14299999999999999</v>
      </c>
      <c r="H199" s="50">
        <f xml:space="preserve"> 'INPUTS│Residential Retail'!H257</f>
        <v>9.2999999999999999E-2</v>
      </c>
      <c r="I199" s="50">
        <f xml:space="preserve"> 'INPUTS│Residential Retail'!I257</f>
        <v>0</v>
      </c>
    </row>
    <row r="200" spans="2:10" x14ac:dyDescent="0.2">
      <c r="C200" s="8" t="s">
        <v>107</v>
      </c>
      <c r="D200" s="11" t="s">
        <v>126</v>
      </c>
      <c r="E200" s="50">
        <f xml:space="preserve"> 'INPUTS│Residential Retail'!E258</f>
        <v>0.12</v>
      </c>
      <c r="F200" s="50">
        <f xml:space="preserve"> 'INPUTS│Residential Retail'!F258</f>
        <v>0.122</v>
      </c>
      <c r="G200" s="50">
        <f xml:space="preserve"> 'INPUTS│Residential Retail'!G258</f>
        <v>8.5000000000000006E-2</v>
      </c>
      <c r="H200" s="50">
        <f xml:space="preserve"> 'INPUTS│Residential Retail'!H258</f>
        <v>8.1000000000000003E-2</v>
      </c>
      <c r="I200" s="50">
        <f xml:space="preserve"> 'INPUTS│Residential Retail'!I258</f>
        <v>0</v>
      </c>
    </row>
    <row r="201" spans="2:10" x14ac:dyDescent="0.2">
      <c r="C201" s="8" t="s">
        <v>111</v>
      </c>
      <c r="D201" s="11" t="s">
        <v>126</v>
      </c>
      <c r="E201" s="50">
        <f xml:space="preserve"> 'INPUTS│Residential Retail'!E259</f>
        <v>0.73937991240643497</v>
      </c>
      <c r="F201" s="50">
        <f xml:space="preserve"> 'INPUTS│Residential Retail'!F259</f>
        <v>0.65046130977862804</v>
      </c>
      <c r="G201" s="50">
        <f xml:space="preserve"> 'INPUTS│Residential Retail'!G259</f>
        <v>0.36258211468201001</v>
      </c>
      <c r="H201" s="50">
        <f xml:space="preserve"> 'INPUTS│Residential Retail'!H259</f>
        <v>0.19849828339774001</v>
      </c>
      <c r="I201" s="50">
        <f xml:space="preserve"> 'INPUTS│Residential Retail'!I259</f>
        <v>0</v>
      </c>
    </row>
    <row r="202" spans="2:10" x14ac:dyDescent="0.2">
      <c r="C202" s="8" t="s">
        <v>113</v>
      </c>
      <c r="D202" s="11" t="s">
        <v>126</v>
      </c>
      <c r="E202" s="50">
        <f xml:space="preserve"> 'INPUTS│Residential Retail'!E260</f>
        <v>0.99151567980501798</v>
      </c>
      <c r="F202" s="50">
        <f xml:space="preserve"> 'INPUTS│Residential Retail'!F260</f>
        <v>0.87628679220211403</v>
      </c>
      <c r="G202" s="50">
        <f xml:space="preserve"> 'INPUTS│Residential Retail'!G260</f>
        <v>0.74572410017937996</v>
      </c>
      <c r="H202" s="50">
        <f xml:space="preserve"> 'INPUTS│Residential Retail'!H260</f>
        <v>0.43999773671474002</v>
      </c>
      <c r="I202" s="50">
        <f xml:space="preserve"> 'INPUTS│Residential Retail'!I260</f>
        <v>0</v>
      </c>
    </row>
    <row r="203" spans="2:10" x14ac:dyDescent="0.2">
      <c r="C203" s="8" t="s">
        <v>109</v>
      </c>
      <c r="D203" s="11" t="s">
        <v>126</v>
      </c>
      <c r="E203" s="50">
        <f xml:space="preserve"> 'INPUTS│Residential Retail'!E261</f>
        <v>4.7980538222237003E-2</v>
      </c>
      <c r="F203" s="50">
        <f xml:space="preserve"> 'INPUTS│Residential Retail'!F261</f>
        <v>4.0093169810377902E-2</v>
      </c>
      <c r="G203" s="50">
        <f xml:space="preserve"> 'INPUTS│Residential Retail'!G261</f>
        <v>3.57679354862694E-2</v>
      </c>
      <c r="H203" s="50">
        <f xml:space="preserve"> 'INPUTS│Residential Retail'!H261</f>
        <v>1.6775938239191698E-2</v>
      </c>
      <c r="I203" s="50">
        <f xml:space="preserve"> 'INPUTS│Residential Retail'!I261</f>
        <v>0</v>
      </c>
    </row>
    <row r="205" spans="2:10" ht="13.5" x14ac:dyDescent="0.25">
      <c r="B205" s="36" t="s">
        <v>484</v>
      </c>
      <c r="C205" s="36"/>
      <c r="D205" s="37"/>
      <c r="E205" s="36"/>
      <c r="F205" s="36"/>
      <c r="G205" s="36"/>
      <c r="H205" s="36"/>
      <c r="I205" s="36"/>
      <c r="J205" s="36"/>
    </row>
    <row r="207" spans="2:10" x14ac:dyDescent="0.2">
      <c r="C207" s="8" t="s">
        <v>79</v>
      </c>
      <c r="D207" s="11" t="s">
        <v>126</v>
      </c>
      <c r="E207" s="15">
        <f xml:space="preserve"> E105 * E167 + E187</f>
        <v>70.992361935810308</v>
      </c>
      <c r="F207" s="15">
        <f t="shared" ref="F207:I207" si="4" xml:space="preserve"> F105 * F167 + F187</f>
        <v>73.493972640528369</v>
      </c>
      <c r="G207" s="15">
        <f t="shared" si="4"/>
        <v>75.089132293923655</v>
      </c>
      <c r="H207" s="15">
        <f t="shared" si="4"/>
        <v>76.595751872504891</v>
      </c>
      <c r="I207" s="15">
        <f t="shared" si="4"/>
        <v>0</v>
      </c>
    </row>
    <row r="208" spans="2:10" x14ac:dyDescent="0.2">
      <c r="C208" s="8" t="s">
        <v>81</v>
      </c>
      <c r="D208" s="11" t="s">
        <v>126</v>
      </c>
      <c r="E208" s="15">
        <f t="shared" ref="E208:I223" si="5" xml:space="preserve"> E106 * E168 + E188</f>
        <v>54.318167285803071</v>
      </c>
      <c r="F208" s="15">
        <f t="shared" si="5"/>
        <v>53.04074762821157</v>
      </c>
      <c r="G208" s="15">
        <f t="shared" si="5"/>
        <v>51.504854297227851</v>
      </c>
      <c r="H208" s="15">
        <f t="shared" si="5"/>
        <v>49.824979208437817</v>
      </c>
      <c r="I208" s="15">
        <f t="shared" si="5"/>
        <v>0</v>
      </c>
    </row>
    <row r="209" spans="3:9" x14ac:dyDescent="0.2">
      <c r="C209" s="8" t="s">
        <v>84</v>
      </c>
      <c r="D209" s="11" t="s">
        <v>126</v>
      </c>
      <c r="E209" s="15">
        <f t="shared" si="5"/>
        <v>2.6853983165503497</v>
      </c>
      <c r="F209" s="15">
        <f t="shared" si="5"/>
        <v>2.7177180363424673</v>
      </c>
      <c r="G209" s="15">
        <f t="shared" si="5"/>
        <v>2.7457724092437954</v>
      </c>
      <c r="H209" s="15">
        <f t="shared" si="5"/>
        <v>2.4958936024210234</v>
      </c>
      <c r="I209" s="15">
        <f t="shared" si="5"/>
        <v>0</v>
      </c>
    </row>
    <row r="210" spans="3:9" x14ac:dyDescent="0.2">
      <c r="C210" s="8" t="s">
        <v>86</v>
      </c>
      <c r="D210" s="11" t="s">
        <v>126</v>
      </c>
      <c r="E210" s="15">
        <f t="shared" si="5"/>
        <v>52.012817867866886</v>
      </c>
      <c r="F210" s="15">
        <f t="shared" si="5"/>
        <v>52.687143500731139</v>
      </c>
      <c r="G210" s="15">
        <f t="shared" si="5"/>
        <v>53.143266990707232</v>
      </c>
      <c r="H210" s="15">
        <f t="shared" si="5"/>
        <v>53.608046570822346</v>
      </c>
      <c r="I210" s="15">
        <f t="shared" si="5"/>
        <v>0</v>
      </c>
    </row>
    <row r="211" spans="3:9" x14ac:dyDescent="0.2">
      <c r="C211" s="8" t="s">
        <v>88</v>
      </c>
      <c r="D211" s="11" t="s">
        <v>126</v>
      </c>
      <c r="E211" s="15">
        <f t="shared" si="5"/>
        <v>108.37924401125238</v>
      </c>
      <c r="F211" s="15">
        <f t="shared" si="5"/>
        <v>109.62970782011497</v>
      </c>
      <c r="G211" s="15">
        <f t="shared" si="5"/>
        <v>113.69987138914847</v>
      </c>
      <c r="H211" s="15">
        <f t="shared" si="5"/>
        <v>114.45138419417557</v>
      </c>
      <c r="I211" s="15">
        <f t="shared" si="5"/>
        <v>0</v>
      </c>
    </row>
    <row r="212" spans="3:9" x14ac:dyDescent="0.2">
      <c r="C212" s="8" t="s">
        <v>90</v>
      </c>
      <c r="D212" s="11" t="s">
        <v>126</v>
      </c>
      <c r="E212" s="15">
        <f t="shared" si="5"/>
        <v>33.001008264858029</v>
      </c>
      <c r="F212" s="15">
        <f t="shared" si="5"/>
        <v>33.540973268835025</v>
      </c>
      <c r="G212" s="15">
        <f t="shared" si="5"/>
        <v>34.433701520883979</v>
      </c>
      <c r="H212" s="15">
        <f t="shared" si="5"/>
        <v>34.596536581271316</v>
      </c>
      <c r="I212" s="15">
        <f t="shared" si="5"/>
        <v>0</v>
      </c>
    </row>
    <row r="213" spans="3:9" x14ac:dyDescent="0.2">
      <c r="C213" s="8" t="s">
        <v>93</v>
      </c>
      <c r="D213" s="11" t="s">
        <v>126</v>
      </c>
      <c r="E213" s="15">
        <f t="shared" si="5"/>
        <v>63.099723495119036</v>
      </c>
      <c r="F213" s="15">
        <f t="shared" si="5"/>
        <v>61.434569413678304</v>
      </c>
      <c r="G213" s="15">
        <f t="shared" si="5"/>
        <v>56.643331509033786</v>
      </c>
      <c r="H213" s="15">
        <f t="shared" si="5"/>
        <v>51.923634564369657</v>
      </c>
      <c r="I213" s="15">
        <f t="shared" si="5"/>
        <v>0</v>
      </c>
    </row>
    <row r="214" spans="3:9" x14ac:dyDescent="0.2">
      <c r="C214" s="8" t="s">
        <v>95</v>
      </c>
      <c r="D214" s="11" t="s">
        <v>126</v>
      </c>
      <c r="E214" s="15">
        <f t="shared" si="5"/>
        <v>152.17750047855952</v>
      </c>
      <c r="F214" s="15">
        <f t="shared" si="5"/>
        <v>151.97521652414844</v>
      </c>
      <c r="G214" s="15">
        <f t="shared" si="5"/>
        <v>153.64142517293473</v>
      </c>
      <c r="H214" s="15">
        <f t="shared" si="5"/>
        <v>153.90464023449547</v>
      </c>
      <c r="I214" s="15">
        <f t="shared" si="5"/>
        <v>0</v>
      </c>
    </row>
    <row r="215" spans="3:9" x14ac:dyDescent="0.2">
      <c r="C215" s="8" t="s">
        <v>97</v>
      </c>
      <c r="D215" s="11" t="s">
        <v>126</v>
      </c>
      <c r="E215" s="15">
        <f t="shared" si="5"/>
        <v>125.16417285842374</v>
      </c>
      <c r="F215" s="15">
        <f t="shared" si="5"/>
        <v>120.73133755471054</v>
      </c>
      <c r="G215" s="15">
        <f t="shared" si="5"/>
        <v>113.46860504635914</v>
      </c>
      <c r="H215" s="15">
        <f t="shared" si="5"/>
        <v>107.24356978547767</v>
      </c>
      <c r="I215" s="15">
        <f t="shared" si="5"/>
        <v>0</v>
      </c>
    </row>
    <row r="216" spans="3:9" x14ac:dyDescent="0.2">
      <c r="C216" s="8" t="s">
        <v>99</v>
      </c>
      <c r="D216" s="11" t="s">
        <v>126</v>
      </c>
      <c r="E216" s="15">
        <f t="shared" si="5"/>
        <v>30.400406287799839</v>
      </c>
      <c r="F216" s="15">
        <f t="shared" si="5"/>
        <v>31.194235580251437</v>
      </c>
      <c r="G216" s="15">
        <f t="shared" si="5"/>
        <v>32.220392702020348</v>
      </c>
      <c r="H216" s="15">
        <f t="shared" si="5"/>
        <v>33.07940364464983</v>
      </c>
      <c r="I216" s="15">
        <f t="shared" si="5"/>
        <v>0</v>
      </c>
    </row>
    <row r="217" spans="3:9" x14ac:dyDescent="0.2">
      <c r="C217" s="8" t="s">
        <v>101</v>
      </c>
      <c r="D217" s="11" t="s">
        <v>126</v>
      </c>
      <c r="E217" s="15">
        <f t="shared" si="5"/>
        <v>55.887757589879413</v>
      </c>
      <c r="F217" s="15">
        <f t="shared" si="5"/>
        <v>56.965961037099888</v>
      </c>
      <c r="G217" s="15">
        <f t="shared" si="5"/>
        <v>57.653247247303575</v>
      </c>
      <c r="H217" s="15">
        <f t="shared" si="5"/>
        <v>57.247077138961423</v>
      </c>
      <c r="I217" s="15">
        <f t="shared" si="5"/>
        <v>0</v>
      </c>
    </row>
    <row r="218" spans="3:9" x14ac:dyDescent="0.2">
      <c r="C218" s="8" t="s">
        <v>103</v>
      </c>
      <c r="D218" s="11" t="s">
        <v>126</v>
      </c>
      <c r="E218" s="15">
        <f t="shared" si="5"/>
        <v>27.737939736628995</v>
      </c>
      <c r="F218" s="15">
        <f t="shared" si="5"/>
        <v>27.333612458656344</v>
      </c>
      <c r="G218" s="15">
        <f t="shared" si="5"/>
        <v>26.837335055545864</v>
      </c>
      <c r="H218" s="15">
        <f t="shared" si="5"/>
        <v>26.024762012916199</v>
      </c>
      <c r="I218" s="15">
        <f t="shared" si="5"/>
        <v>0</v>
      </c>
    </row>
    <row r="219" spans="3:9" x14ac:dyDescent="0.2">
      <c r="C219" s="8" t="s">
        <v>105</v>
      </c>
      <c r="D219" s="11" t="s">
        <v>126</v>
      </c>
      <c r="E219" s="15">
        <f t="shared" si="5"/>
        <v>9.7017744691465229</v>
      </c>
      <c r="F219" s="15">
        <f t="shared" si="5"/>
        <v>10.02133869886865</v>
      </c>
      <c r="G219" s="15">
        <f t="shared" si="5"/>
        <v>10.374595805650316</v>
      </c>
      <c r="H219" s="15">
        <f t="shared" si="5"/>
        <v>10.747027553369417</v>
      </c>
      <c r="I219" s="15">
        <f t="shared" si="5"/>
        <v>0</v>
      </c>
    </row>
    <row r="220" spans="3:9" x14ac:dyDescent="0.2">
      <c r="C220" s="8" t="s">
        <v>107</v>
      </c>
      <c r="D220" s="11" t="s">
        <v>126</v>
      </c>
      <c r="E220" s="15">
        <f t="shared" si="5"/>
        <v>4.3557777844170733</v>
      </c>
      <c r="F220" s="15">
        <f t="shared" si="5"/>
        <v>4.4346359011760965</v>
      </c>
      <c r="G220" s="15">
        <f t="shared" si="5"/>
        <v>4.4560103400717752</v>
      </c>
      <c r="H220" s="15">
        <f t="shared" si="5"/>
        <v>4.4885589510525516</v>
      </c>
      <c r="I220" s="15">
        <f t="shared" si="5"/>
        <v>0</v>
      </c>
    </row>
    <row r="221" spans="3:9" x14ac:dyDescent="0.2">
      <c r="C221" s="8" t="s">
        <v>111</v>
      </c>
      <c r="D221" s="11" t="s">
        <v>126</v>
      </c>
      <c r="E221" s="15">
        <f t="shared" si="5"/>
        <v>19.527277375807952</v>
      </c>
      <c r="F221" s="15">
        <f t="shared" si="5"/>
        <v>20.012676867665878</v>
      </c>
      <c r="G221" s="15">
        <f t="shared" si="5"/>
        <v>20.267283859412164</v>
      </c>
      <c r="H221" s="15">
        <f t="shared" si="5"/>
        <v>20.466379335150766</v>
      </c>
      <c r="I221" s="15">
        <f t="shared" si="5"/>
        <v>0</v>
      </c>
    </row>
    <row r="222" spans="3:9" x14ac:dyDescent="0.2">
      <c r="C222" s="8" t="s">
        <v>113</v>
      </c>
      <c r="D222" s="11" t="s">
        <v>126</v>
      </c>
      <c r="E222" s="15">
        <f t="shared" si="5"/>
        <v>15.001810892648077</v>
      </c>
      <c r="F222" s="15">
        <f t="shared" si="5"/>
        <v>15.089534145299828</v>
      </c>
      <c r="G222" s="15">
        <f t="shared" si="5"/>
        <v>15.559782204233267</v>
      </c>
      <c r="H222" s="15">
        <f t="shared" si="5"/>
        <v>16.185901934594362</v>
      </c>
      <c r="I222" s="15">
        <f t="shared" si="5"/>
        <v>0</v>
      </c>
    </row>
    <row r="223" spans="3:9" x14ac:dyDescent="0.2">
      <c r="C223" s="8" t="s">
        <v>109</v>
      </c>
      <c r="D223" s="11" t="s">
        <v>126</v>
      </c>
      <c r="E223" s="15">
        <f t="shared" si="5"/>
        <v>5.3445456624501571</v>
      </c>
      <c r="F223" s="15">
        <f t="shared" si="5"/>
        <v>5.3514065798842507</v>
      </c>
      <c r="G223" s="15">
        <f t="shared" si="5"/>
        <v>5.5439469154300252</v>
      </c>
      <c r="H223" s="15">
        <f t="shared" si="5"/>
        <v>5.5025313643290863</v>
      </c>
      <c r="I223" s="15">
        <f t="shared" si="5"/>
        <v>0</v>
      </c>
    </row>
    <row r="225" spans="2:10" ht="13.5" x14ac:dyDescent="0.25">
      <c r="B225" s="36" t="s">
        <v>247</v>
      </c>
      <c r="C225" s="36"/>
      <c r="D225" s="37"/>
      <c r="E225" s="36"/>
      <c r="F225" s="36"/>
      <c r="G225" s="36"/>
      <c r="H225" s="36"/>
      <c r="I225" s="36"/>
      <c r="J225" s="36"/>
    </row>
    <row r="227" spans="2:10" x14ac:dyDescent="0.2">
      <c r="C227" s="8" t="s">
        <v>79</v>
      </c>
      <c r="D227" s="11" t="s">
        <v>126</v>
      </c>
      <c r="E227" s="50">
        <f xml:space="preserve"> 'INPUTS│Residential Retail'!E265</f>
        <v>72.107761123971642</v>
      </c>
      <c r="F227" s="50">
        <f xml:space="preserve"> 'INPUTS│Residential Retail'!F265</f>
        <v>70.384993027619856</v>
      </c>
      <c r="G227" s="50">
        <f xml:space="preserve"> 'INPUTS│Residential Retail'!G265</f>
        <v>76.116</v>
      </c>
      <c r="H227" s="50">
        <f xml:space="preserve"> 'INPUTS│Residential Retail'!H265</f>
        <v>77.296603910000002</v>
      </c>
      <c r="I227" s="50">
        <f xml:space="preserve"> 'INPUTS│Residential Retail'!I265</f>
        <v>0</v>
      </c>
    </row>
    <row r="228" spans="2:10" x14ac:dyDescent="0.2">
      <c r="C228" s="8" t="s">
        <v>81</v>
      </c>
      <c r="D228" s="11" t="s">
        <v>126</v>
      </c>
      <c r="E228" s="50">
        <f xml:space="preserve"> 'INPUTS│Residential Retail'!E266</f>
        <v>62.06</v>
      </c>
      <c r="F228" s="50">
        <f xml:space="preserve"> 'INPUTS│Residential Retail'!F266</f>
        <v>57.381</v>
      </c>
      <c r="G228" s="50">
        <f xml:space="preserve"> 'INPUTS│Residential Retail'!G266</f>
        <v>58.957000000000001</v>
      </c>
      <c r="H228" s="50">
        <f xml:space="preserve"> 'INPUTS│Residential Retail'!H266</f>
        <v>56.28</v>
      </c>
      <c r="I228" s="50">
        <f xml:space="preserve"> 'INPUTS│Residential Retail'!I266</f>
        <v>0</v>
      </c>
    </row>
    <row r="229" spans="2:10" x14ac:dyDescent="0.2">
      <c r="C229" s="8" t="s">
        <v>84</v>
      </c>
      <c r="D229" s="11" t="s">
        <v>126</v>
      </c>
      <c r="E229" s="50">
        <f xml:space="preserve"> 'INPUTS│Residential Retail'!E267</f>
        <v>2.7454121880208575</v>
      </c>
      <c r="F229" s="50">
        <f xml:space="preserve"> 'INPUTS│Residential Retail'!F267</f>
        <v>2.5179999999999998</v>
      </c>
      <c r="G229" s="50">
        <f xml:space="preserve"> 'INPUTS│Residential Retail'!G267</f>
        <v>2.2040000000000002</v>
      </c>
      <c r="H229" s="50">
        <f xml:space="preserve"> 'INPUTS│Residential Retail'!H267</f>
        <v>2.83</v>
      </c>
      <c r="I229" s="50">
        <f xml:space="preserve"> 'INPUTS│Residential Retail'!I267</f>
        <v>0</v>
      </c>
    </row>
    <row r="230" spans="2:10" x14ac:dyDescent="0.2">
      <c r="C230" s="8" t="s">
        <v>86</v>
      </c>
      <c r="D230" s="11" t="s">
        <v>126</v>
      </c>
      <c r="E230" s="50">
        <f xml:space="preserve"> 'INPUTS│Residential Retail'!E268</f>
        <v>44.024000000000008</v>
      </c>
      <c r="F230" s="50">
        <f xml:space="preserve"> 'INPUTS│Residential Retail'!F268</f>
        <v>45.385000000000005</v>
      </c>
      <c r="G230" s="50">
        <f xml:space="preserve"> 'INPUTS│Residential Retail'!G268</f>
        <v>49.222999999999999</v>
      </c>
      <c r="H230" s="50">
        <f xml:space="preserve"> 'INPUTS│Residential Retail'!H268</f>
        <v>56.573</v>
      </c>
      <c r="I230" s="50">
        <f xml:space="preserve"> 'INPUTS│Residential Retail'!I268</f>
        <v>0</v>
      </c>
    </row>
    <row r="231" spans="2:10" x14ac:dyDescent="0.2">
      <c r="C231" s="8" t="s">
        <v>88</v>
      </c>
      <c r="D231" s="11" t="s">
        <v>126</v>
      </c>
      <c r="E231" s="50">
        <f xml:space="preserve"> 'INPUTS│Residential Retail'!E269</f>
        <v>86.736000000000004</v>
      </c>
      <c r="F231" s="50">
        <f xml:space="preserve"> 'INPUTS│Residential Retail'!F269</f>
        <v>84.555000000000007</v>
      </c>
      <c r="G231" s="50">
        <f xml:space="preserve"> 'INPUTS│Residential Retail'!G269</f>
        <v>94.064999999999998</v>
      </c>
      <c r="H231" s="50">
        <f xml:space="preserve"> 'INPUTS│Residential Retail'!H269</f>
        <v>99.35</v>
      </c>
      <c r="I231" s="50">
        <f xml:space="preserve"> 'INPUTS│Residential Retail'!I269</f>
        <v>0</v>
      </c>
    </row>
    <row r="232" spans="2:10" x14ac:dyDescent="0.2">
      <c r="C232" s="8" t="s">
        <v>90</v>
      </c>
      <c r="D232" s="11" t="s">
        <v>126</v>
      </c>
      <c r="E232" s="50">
        <f xml:space="preserve"> 'INPUTS│Residential Retail'!E270</f>
        <v>34.946999999999996</v>
      </c>
      <c r="F232" s="50">
        <f xml:space="preserve"> 'INPUTS│Residential Retail'!F270</f>
        <v>31.983000000000004</v>
      </c>
      <c r="G232" s="50">
        <f xml:space="preserve"> 'INPUTS│Residential Retail'!G270</f>
        <v>31.05</v>
      </c>
      <c r="H232" s="50">
        <f xml:space="preserve"> 'INPUTS│Residential Retail'!H270</f>
        <v>27.707999999999998</v>
      </c>
      <c r="I232" s="50">
        <f xml:space="preserve"> 'INPUTS│Residential Retail'!I270</f>
        <v>0</v>
      </c>
    </row>
    <row r="233" spans="2:10" x14ac:dyDescent="0.2">
      <c r="C233" s="8" t="s">
        <v>93</v>
      </c>
      <c r="D233" s="11" t="s">
        <v>126</v>
      </c>
      <c r="E233" s="50">
        <f xml:space="preserve"> 'INPUTS│Residential Retail'!E271</f>
        <v>81.027000000000001</v>
      </c>
      <c r="F233" s="50">
        <f xml:space="preserve"> 'INPUTS│Residential Retail'!F271</f>
        <v>86.057999999999993</v>
      </c>
      <c r="G233" s="50">
        <f xml:space="preserve"> 'INPUTS│Residential Retail'!G271</f>
        <v>76.119</v>
      </c>
      <c r="H233" s="50">
        <f xml:space="preserve"> 'INPUTS│Residential Retail'!H271</f>
        <v>62.948</v>
      </c>
      <c r="I233" s="50">
        <f xml:space="preserve"> 'INPUTS│Residential Retail'!I271</f>
        <v>0</v>
      </c>
    </row>
    <row r="234" spans="2:10" x14ac:dyDescent="0.2">
      <c r="C234" s="8" t="s">
        <v>95</v>
      </c>
      <c r="D234" s="11" t="s">
        <v>126</v>
      </c>
      <c r="E234" s="50">
        <f xml:space="preserve"> 'INPUTS│Residential Retail'!E272</f>
        <v>162.24193973624713</v>
      </c>
      <c r="F234" s="50">
        <f xml:space="preserve"> 'INPUTS│Residential Retail'!F272</f>
        <v>163.37099999999998</v>
      </c>
      <c r="G234" s="50">
        <f xml:space="preserve"> 'INPUTS│Residential Retail'!G272</f>
        <v>171.8</v>
      </c>
      <c r="H234" s="50">
        <f xml:space="preserve"> 'INPUTS│Residential Retail'!H272</f>
        <v>178.52799999999999</v>
      </c>
      <c r="I234" s="50">
        <f xml:space="preserve"> 'INPUTS│Residential Retail'!I272</f>
        <v>0</v>
      </c>
    </row>
    <row r="235" spans="2:10" x14ac:dyDescent="0.2">
      <c r="C235" s="8" t="s">
        <v>97</v>
      </c>
      <c r="D235" s="11" t="s">
        <v>126</v>
      </c>
      <c r="E235" s="50">
        <f xml:space="preserve"> 'INPUTS│Residential Retail'!E273</f>
        <v>120.30515406956067</v>
      </c>
      <c r="F235" s="50">
        <f xml:space="preserve"> 'INPUTS│Residential Retail'!F273</f>
        <v>114.45122808650557</v>
      </c>
      <c r="G235" s="50">
        <f xml:space="preserve"> 'INPUTS│Residential Retail'!G273</f>
        <v>113.62053081025999</v>
      </c>
      <c r="H235" s="50">
        <f xml:space="preserve"> 'INPUTS│Residential Retail'!H273</f>
        <v>110.937110907781</v>
      </c>
      <c r="I235" s="50">
        <f xml:space="preserve"> 'INPUTS│Residential Retail'!I273</f>
        <v>0</v>
      </c>
    </row>
    <row r="236" spans="2:10" x14ac:dyDescent="0.2">
      <c r="C236" s="8" t="s">
        <v>99</v>
      </c>
      <c r="D236" s="11" t="s">
        <v>126</v>
      </c>
      <c r="E236" s="50">
        <f xml:space="preserve"> 'INPUTS│Residential Retail'!E274</f>
        <v>26.754587758045798</v>
      </c>
      <c r="F236" s="50">
        <f xml:space="preserve"> 'INPUTS│Residential Retail'!F274</f>
        <v>27.273689046203401</v>
      </c>
      <c r="G236" s="50">
        <f xml:space="preserve"> 'INPUTS│Residential Retail'!G274</f>
        <v>29.771088619529799</v>
      </c>
      <c r="H236" s="50">
        <f xml:space="preserve"> 'INPUTS│Residential Retail'!H274</f>
        <v>33.957481750509103</v>
      </c>
      <c r="I236" s="50">
        <f xml:space="preserve"> 'INPUTS│Residential Retail'!I274</f>
        <v>0</v>
      </c>
    </row>
    <row r="237" spans="2:10" x14ac:dyDescent="0.2">
      <c r="C237" s="8" t="s">
        <v>101</v>
      </c>
      <c r="D237" s="11" t="s">
        <v>126</v>
      </c>
      <c r="E237" s="50">
        <f xml:space="preserve"> 'INPUTS│Residential Retail'!E275</f>
        <v>56.061300000000003</v>
      </c>
      <c r="F237" s="50">
        <f xml:space="preserve"> 'INPUTS│Residential Retail'!F275</f>
        <v>53.713000000000008</v>
      </c>
      <c r="G237" s="50">
        <f xml:space="preserve"> 'INPUTS│Residential Retail'!G275</f>
        <v>57.851999999999997</v>
      </c>
      <c r="H237" s="50">
        <f xml:space="preserve"> 'INPUTS│Residential Retail'!H275</f>
        <v>60.991</v>
      </c>
      <c r="I237" s="50">
        <f xml:space="preserve"> 'INPUTS│Residential Retail'!I275</f>
        <v>0</v>
      </c>
    </row>
    <row r="238" spans="2:10" x14ac:dyDescent="0.2">
      <c r="C238" s="8" t="s">
        <v>103</v>
      </c>
      <c r="D238" s="11" t="s">
        <v>126</v>
      </c>
      <c r="E238" s="50">
        <f xml:space="preserve"> 'INPUTS│Residential Retail'!E276</f>
        <v>31.254999999999999</v>
      </c>
      <c r="F238" s="50">
        <f xml:space="preserve"> 'INPUTS│Residential Retail'!F276</f>
        <v>31.374000000000002</v>
      </c>
      <c r="G238" s="50">
        <f xml:space="preserve"> 'INPUTS│Residential Retail'!G276</f>
        <v>31.742000000000001</v>
      </c>
      <c r="H238" s="50">
        <f xml:space="preserve"> 'INPUTS│Residential Retail'!H276</f>
        <v>27.841000000000001</v>
      </c>
      <c r="I238" s="50">
        <f xml:space="preserve"> 'INPUTS│Residential Retail'!I276</f>
        <v>0</v>
      </c>
    </row>
    <row r="239" spans="2:10" x14ac:dyDescent="0.2">
      <c r="C239" s="8" t="s">
        <v>105</v>
      </c>
      <c r="D239" s="11" t="s">
        <v>126</v>
      </c>
      <c r="E239" s="50">
        <f xml:space="preserve"> 'INPUTS│Residential Retail'!E277</f>
        <v>8.3040000000000003</v>
      </c>
      <c r="F239" s="50">
        <f xml:space="preserve"> 'INPUTS│Residential Retail'!F277</f>
        <v>8.3659999999999979</v>
      </c>
      <c r="G239" s="50">
        <f xml:space="preserve"> 'INPUTS│Residential Retail'!G277</f>
        <v>9.3439999999999994</v>
      </c>
      <c r="H239" s="50">
        <f xml:space="preserve"> 'INPUTS│Residential Retail'!H277</f>
        <v>10.942</v>
      </c>
      <c r="I239" s="50">
        <f xml:space="preserve"> 'INPUTS│Residential Retail'!I277</f>
        <v>0</v>
      </c>
    </row>
    <row r="240" spans="2:10" x14ac:dyDescent="0.2">
      <c r="C240" s="8" t="s">
        <v>107</v>
      </c>
      <c r="D240" s="11" t="s">
        <v>126</v>
      </c>
      <c r="E240" s="50">
        <f xml:space="preserve"> 'INPUTS│Residential Retail'!E278</f>
        <v>4.7270000000000003</v>
      </c>
      <c r="F240" s="50">
        <f xml:space="preserve"> 'INPUTS│Residential Retail'!F278</f>
        <v>4.1389999999999993</v>
      </c>
      <c r="G240" s="50">
        <f xml:space="preserve"> 'INPUTS│Residential Retail'!G278</f>
        <v>4.9119999999999999</v>
      </c>
      <c r="H240" s="50">
        <f xml:space="preserve"> 'INPUTS│Residential Retail'!H278</f>
        <v>4.556</v>
      </c>
      <c r="I240" s="50">
        <f xml:space="preserve"> 'INPUTS│Residential Retail'!I278</f>
        <v>0</v>
      </c>
    </row>
    <row r="241" spans="2:10" x14ac:dyDescent="0.2">
      <c r="C241" s="8" t="s">
        <v>111</v>
      </c>
      <c r="D241" s="11" t="s">
        <v>126</v>
      </c>
      <c r="E241" s="50">
        <f xml:space="preserve"> 'INPUTS│Residential Retail'!E279</f>
        <v>17.419999999999998</v>
      </c>
      <c r="F241" s="50">
        <f xml:space="preserve"> 'INPUTS│Residential Retail'!F279</f>
        <v>15.726000000000003</v>
      </c>
      <c r="G241" s="50">
        <f xml:space="preserve"> 'INPUTS│Residential Retail'!G279</f>
        <v>15.176</v>
      </c>
      <c r="H241" s="50">
        <f xml:space="preserve"> 'INPUTS│Residential Retail'!H279</f>
        <v>15.96</v>
      </c>
      <c r="I241" s="50">
        <f xml:space="preserve"> 'INPUTS│Residential Retail'!I279</f>
        <v>0</v>
      </c>
    </row>
    <row r="242" spans="2:10" x14ac:dyDescent="0.2">
      <c r="C242" s="8" t="s">
        <v>113</v>
      </c>
      <c r="D242" s="11" t="s">
        <v>126</v>
      </c>
      <c r="E242" s="50">
        <f xml:space="preserve"> 'INPUTS│Residential Retail'!E280</f>
        <v>13.076120548859775</v>
      </c>
      <c r="F242" s="50">
        <f xml:space="preserve"> 'INPUTS│Residential Retail'!F280</f>
        <v>12.993286066204416</v>
      </c>
      <c r="G242" s="50">
        <f xml:space="preserve"> 'INPUTS│Residential Retail'!G280</f>
        <v>12.674204954432399</v>
      </c>
      <c r="H242" s="50">
        <f xml:space="preserve"> 'INPUTS│Residential Retail'!H280</f>
        <v>12.945</v>
      </c>
      <c r="I242" s="50">
        <f xml:space="preserve"> 'INPUTS│Residential Retail'!I280</f>
        <v>0</v>
      </c>
    </row>
    <row r="243" spans="2:10" x14ac:dyDescent="0.2">
      <c r="C243" s="8" t="s">
        <v>109</v>
      </c>
      <c r="D243" s="11" t="s">
        <v>126</v>
      </c>
      <c r="E243" s="50">
        <f xml:space="preserve"> 'INPUTS│Residential Retail'!E281</f>
        <v>6.2610000000000001</v>
      </c>
      <c r="F243" s="50">
        <f xml:space="preserve"> 'INPUTS│Residential Retail'!F281</f>
        <v>6.2889999999999997</v>
      </c>
      <c r="G243" s="50">
        <f xml:space="preserve"> 'INPUTS│Residential Retail'!G281</f>
        <v>7.1920000000000002</v>
      </c>
      <c r="H243" s="50">
        <f xml:space="preserve"> 'INPUTS│Residential Retail'!H281</f>
        <v>8.0739999999999998</v>
      </c>
      <c r="I243" s="50">
        <f xml:space="preserve"> 'INPUTS│Residential Retail'!I281</f>
        <v>0</v>
      </c>
    </row>
    <row r="245" spans="2:10" ht="13.5" x14ac:dyDescent="0.25">
      <c r="B245" s="36" t="s">
        <v>485</v>
      </c>
      <c r="C245" s="36"/>
      <c r="D245" s="37"/>
      <c r="E245" s="36"/>
      <c r="F245" s="36"/>
      <c r="G245" s="36"/>
      <c r="H245" s="36"/>
      <c r="I245" s="36"/>
      <c r="J245" s="36"/>
    </row>
    <row r="247" spans="2:10" x14ac:dyDescent="0.2">
      <c r="C247" s="8" t="s">
        <v>79</v>
      </c>
      <c r="D247" s="11" t="s">
        <v>126</v>
      </c>
      <c r="E247" s="15">
        <f xml:space="preserve"> E227 - E207</f>
        <v>1.1153991881613337</v>
      </c>
      <c r="F247" s="15">
        <f t="shared" ref="F247:I247" si="6" xml:space="preserve"> F227 - F207</f>
        <v>-3.108979612908513</v>
      </c>
      <c r="G247" s="15">
        <f t="shared" si="6"/>
        <v>1.0268677060763451</v>
      </c>
      <c r="H247" s="15">
        <f t="shared" si="6"/>
        <v>0.70085203749511038</v>
      </c>
      <c r="I247" s="15">
        <f t="shared" si="6"/>
        <v>0</v>
      </c>
    </row>
    <row r="248" spans="2:10" x14ac:dyDescent="0.2">
      <c r="C248" s="8" t="s">
        <v>81</v>
      </c>
      <c r="D248" s="11" t="s">
        <v>126</v>
      </c>
      <c r="E248" s="15">
        <f t="shared" ref="E248:I263" si="7" xml:space="preserve"> E228 - E208</f>
        <v>7.7418327141969314</v>
      </c>
      <c r="F248" s="15">
        <f t="shared" si="7"/>
        <v>4.3402523717884307</v>
      </c>
      <c r="G248" s="15">
        <f t="shared" si="7"/>
        <v>7.4521457027721496</v>
      </c>
      <c r="H248" s="15">
        <f t="shared" si="7"/>
        <v>6.455020791562184</v>
      </c>
      <c r="I248" s="15">
        <f t="shared" si="7"/>
        <v>0</v>
      </c>
    </row>
    <row r="249" spans="2:10" x14ac:dyDescent="0.2">
      <c r="C249" s="8" t="s">
        <v>84</v>
      </c>
      <c r="D249" s="11" t="s">
        <v>126</v>
      </c>
      <c r="E249" s="15">
        <f t="shared" si="7"/>
        <v>6.0013871470507851E-2</v>
      </c>
      <c r="F249" s="15">
        <f t="shared" si="7"/>
        <v>-0.19971803634246754</v>
      </c>
      <c r="G249" s="15">
        <f t="shared" si="7"/>
        <v>-0.54177240924379522</v>
      </c>
      <c r="H249" s="15">
        <f t="shared" si="7"/>
        <v>0.33410639757897664</v>
      </c>
      <c r="I249" s="15">
        <f t="shared" si="7"/>
        <v>0</v>
      </c>
    </row>
    <row r="250" spans="2:10" x14ac:dyDescent="0.2">
      <c r="C250" s="8" t="s">
        <v>86</v>
      </c>
      <c r="D250" s="11" t="s">
        <v>126</v>
      </c>
      <c r="E250" s="15">
        <f t="shared" si="7"/>
        <v>-7.988817867866878</v>
      </c>
      <c r="F250" s="15">
        <f t="shared" si="7"/>
        <v>-7.3021435007311339</v>
      </c>
      <c r="G250" s="15">
        <f t="shared" si="7"/>
        <v>-3.9202669907072334</v>
      </c>
      <c r="H250" s="15">
        <f t="shared" si="7"/>
        <v>2.9649534291776547</v>
      </c>
      <c r="I250" s="15">
        <f t="shared" si="7"/>
        <v>0</v>
      </c>
    </row>
    <row r="251" spans="2:10" x14ac:dyDescent="0.2">
      <c r="C251" s="8" t="s">
        <v>88</v>
      </c>
      <c r="D251" s="11" t="s">
        <v>126</v>
      </c>
      <c r="E251" s="15">
        <f t="shared" si="7"/>
        <v>-21.643244011252378</v>
      </c>
      <c r="F251" s="15">
        <f t="shared" si="7"/>
        <v>-25.074707820114966</v>
      </c>
      <c r="G251" s="15">
        <f t="shared" si="7"/>
        <v>-19.634871389148472</v>
      </c>
      <c r="H251" s="15">
        <f t="shared" si="7"/>
        <v>-15.10138419417558</v>
      </c>
      <c r="I251" s="15">
        <f t="shared" si="7"/>
        <v>0</v>
      </c>
    </row>
    <row r="252" spans="2:10" x14ac:dyDescent="0.2">
      <c r="C252" s="8" t="s">
        <v>90</v>
      </c>
      <c r="D252" s="11" t="s">
        <v>126</v>
      </c>
      <c r="E252" s="15">
        <f t="shared" si="7"/>
        <v>1.9459917351419662</v>
      </c>
      <c r="F252" s="15">
        <f t="shared" si="7"/>
        <v>-1.5579732688350205</v>
      </c>
      <c r="G252" s="15">
        <f t="shared" si="7"/>
        <v>-3.383701520883978</v>
      </c>
      <c r="H252" s="15">
        <f t="shared" si="7"/>
        <v>-6.8885365812713175</v>
      </c>
      <c r="I252" s="15">
        <f t="shared" si="7"/>
        <v>0</v>
      </c>
    </row>
    <row r="253" spans="2:10" x14ac:dyDescent="0.2">
      <c r="C253" s="8" t="s">
        <v>93</v>
      </c>
      <c r="D253" s="11" t="s">
        <v>126</v>
      </c>
      <c r="E253" s="15">
        <f t="shared" si="7"/>
        <v>17.927276504880965</v>
      </c>
      <c r="F253" s="15">
        <f t="shared" si="7"/>
        <v>24.623430586321689</v>
      </c>
      <c r="G253" s="15">
        <f t="shared" si="7"/>
        <v>19.475668490966214</v>
      </c>
      <c r="H253" s="15">
        <f t="shared" si="7"/>
        <v>11.024365435630344</v>
      </c>
      <c r="I253" s="15">
        <f t="shared" si="7"/>
        <v>0</v>
      </c>
    </row>
    <row r="254" spans="2:10" x14ac:dyDescent="0.2">
      <c r="C254" s="8" t="s">
        <v>95</v>
      </c>
      <c r="D254" s="11" t="s">
        <v>126</v>
      </c>
      <c r="E254" s="15">
        <f t="shared" si="7"/>
        <v>10.06443925768761</v>
      </c>
      <c r="F254" s="15">
        <f t="shared" si="7"/>
        <v>11.395783475851545</v>
      </c>
      <c r="G254" s="15">
        <f t="shared" si="7"/>
        <v>18.15857482706528</v>
      </c>
      <c r="H254" s="15">
        <f t="shared" si="7"/>
        <v>24.623359765504517</v>
      </c>
      <c r="I254" s="15">
        <f t="shared" si="7"/>
        <v>0</v>
      </c>
    </row>
    <row r="255" spans="2:10" x14ac:dyDescent="0.2">
      <c r="C255" s="8" t="s">
        <v>97</v>
      </c>
      <c r="D255" s="11" t="s">
        <v>126</v>
      </c>
      <c r="E255" s="15">
        <f t="shared" si="7"/>
        <v>-4.859018788863068</v>
      </c>
      <c r="F255" s="15">
        <f t="shared" si="7"/>
        <v>-6.2801094682049694</v>
      </c>
      <c r="G255" s="15">
        <f t="shared" si="7"/>
        <v>0.15192576390084866</v>
      </c>
      <c r="H255" s="15">
        <f t="shared" si="7"/>
        <v>3.6935411223033299</v>
      </c>
      <c r="I255" s="15">
        <f t="shared" si="7"/>
        <v>0</v>
      </c>
    </row>
    <row r="256" spans="2:10" x14ac:dyDescent="0.2">
      <c r="C256" s="8" t="s">
        <v>99</v>
      </c>
      <c r="D256" s="11" t="s">
        <v>126</v>
      </c>
      <c r="E256" s="15">
        <f t="shared" si="7"/>
        <v>-3.6458185297540417</v>
      </c>
      <c r="F256" s="15">
        <f t="shared" si="7"/>
        <v>-3.9205465340480359</v>
      </c>
      <c r="G256" s="15">
        <f t="shared" si="7"/>
        <v>-2.4493040824905492</v>
      </c>
      <c r="H256" s="15">
        <f t="shared" si="7"/>
        <v>0.87807810585927371</v>
      </c>
      <c r="I256" s="15">
        <f t="shared" si="7"/>
        <v>0</v>
      </c>
    </row>
    <row r="257" spans="2:10" x14ac:dyDescent="0.2">
      <c r="C257" s="8" t="s">
        <v>101</v>
      </c>
      <c r="D257" s="11" t="s">
        <v>126</v>
      </c>
      <c r="E257" s="15">
        <f t="shared" si="7"/>
        <v>0.17354241012058935</v>
      </c>
      <c r="F257" s="15">
        <f t="shared" si="7"/>
        <v>-3.2529610370998796</v>
      </c>
      <c r="G257" s="15">
        <f t="shared" si="7"/>
        <v>0.19875275269642145</v>
      </c>
      <c r="H257" s="15">
        <f t="shared" si="7"/>
        <v>3.7439228610385769</v>
      </c>
      <c r="I257" s="15">
        <f t="shared" si="7"/>
        <v>0</v>
      </c>
    </row>
    <row r="258" spans="2:10" x14ac:dyDescent="0.2">
      <c r="C258" s="8" t="s">
        <v>103</v>
      </c>
      <c r="D258" s="11" t="s">
        <v>126</v>
      </c>
      <c r="E258" s="15">
        <f t="shared" si="7"/>
        <v>3.517060263371004</v>
      </c>
      <c r="F258" s="15">
        <f t="shared" si="7"/>
        <v>4.0403875413436587</v>
      </c>
      <c r="G258" s="15">
        <f t="shared" si="7"/>
        <v>4.9046649444541366</v>
      </c>
      <c r="H258" s="15">
        <f t="shared" si="7"/>
        <v>1.8162379870838024</v>
      </c>
      <c r="I258" s="15">
        <f t="shared" si="7"/>
        <v>0</v>
      </c>
    </row>
    <row r="259" spans="2:10" x14ac:dyDescent="0.2">
      <c r="C259" s="8" t="s">
        <v>105</v>
      </c>
      <c r="D259" s="11" t="s">
        <v>126</v>
      </c>
      <c r="E259" s="15">
        <f t="shared" si="7"/>
        <v>-1.3977744691465226</v>
      </c>
      <c r="F259" s="15">
        <f t="shared" si="7"/>
        <v>-1.6553386988686523</v>
      </c>
      <c r="G259" s="15">
        <f t="shared" si="7"/>
        <v>-1.0305958056503162</v>
      </c>
      <c r="H259" s="15">
        <f t="shared" si="7"/>
        <v>0.19497244663058311</v>
      </c>
      <c r="I259" s="15">
        <f t="shared" si="7"/>
        <v>0</v>
      </c>
    </row>
    <row r="260" spans="2:10" x14ac:dyDescent="0.2">
      <c r="C260" s="8" t="s">
        <v>107</v>
      </c>
      <c r="D260" s="11" t="s">
        <v>126</v>
      </c>
      <c r="E260" s="15">
        <f t="shared" si="7"/>
        <v>0.37122221558292701</v>
      </c>
      <c r="F260" s="15">
        <f t="shared" si="7"/>
        <v>-0.29563590117609717</v>
      </c>
      <c r="G260" s="15">
        <f t="shared" si="7"/>
        <v>0.45598965992822471</v>
      </c>
      <c r="H260" s="15">
        <f t="shared" si="7"/>
        <v>6.7441048947448401E-2</v>
      </c>
      <c r="I260" s="15">
        <f t="shared" si="7"/>
        <v>0</v>
      </c>
    </row>
    <row r="261" spans="2:10" x14ac:dyDescent="0.2">
      <c r="C261" s="8" t="s">
        <v>111</v>
      </c>
      <c r="D261" s="11" t="s">
        <v>126</v>
      </c>
      <c r="E261" s="15">
        <f t="shared" si="7"/>
        <v>-2.1072773758079535</v>
      </c>
      <c r="F261" s="15">
        <f t="shared" si="7"/>
        <v>-4.2866768676658751</v>
      </c>
      <c r="G261" s="15">
        <f t="shared" si="7"/>
        <v>-5.0912838594121634</v>
      </c>
      <c r="H261" s="15">
        <f t="shared" si="7"/>
        <v>-4.5063793351507648</v>
      </c>
      <c r="I261" s="15">
        <f t="shared" si="7"/>
        <v>0</v>
      </c>
    </row>
    <row r="262" spans="2:10" x14ac:dyDescent="0.2">
      <c r="C262" s="8" t="s">
        <v>113</v>
      </c>
      <c r="D262" s="11" t="s">
        <v>126</v>
      </c>
      <c r="E262" s="15">
        <f t="shared" si="7"/>
        <v>-1.9256903437883022</v>
      </c>
      <c r="F262" s="15">
        <f t="shared" si="7"/>
        <v>-2.0962480790954121</v>
      </c>
      <c r="G262" s="15">
        <f t="shared" si="7"/>
        <v>-2.8855772498008676</v>
      </c>
      <c r="H262" s="15">
        <f t="shared" si="7"/>
        <v>-3.2409019345943619</v>
      </c>
      <c r="I262" s="15">
        <f t="shared" si="7"/>
        <v>0</v>
      </c>
    </row>
    <row r="263" spans="2:10" x14ac:dyDescent="0.2">
      <c r="C263" s="8" t="s">
        <v>109</v>
      </c>
      <c r="D263" s="11" t="s">
        <v>126</v>
      </c>
      <c r="E263" s="15">
        <f t="shared" si="7"/>
        <v>0.91645433754984307</v>
      </c>
      <c r="F263" s="15">
        <f t="shared" si="7"/>
        <v>0.93759342011574898</v>
      </c>
      <c r="G263" s="15">
        <f t="shared" si="7"/>
        <v>1.648053084569975</v>
      </c>
      <c r="H263" s="15">
        <f t="shared" si="7"/>
        <v>2.5714686356709135</v>
      </c>
      <c r="I263" s="15">
        <f t="shared" si="7"/>
        <v>0</v>
      </c>
    </row>
    <row r="265" spans="2:10" ht="13.5" x14ac:dyDescent="0.25">
      <c r="B265" s="9" t="s">
        <v>486</v>
      </c>
      <c r="C265" s="9"/>
      <c r="D265" s="10"/>
      <c r="E265" s="9"/>
      <c r="F265" s="9"/>
      <c r="G265" s="9"/>
      <c r="H265" s="9"/>
      <c r="I265" s="9"/>
      <c r="J265" s="9"/>
    </row>
    <row r="267" spans="2:10" ht="13.5" x14ac:dyDescent="0.25">
      <c r="B267" s="36" t="s">
        <v>487</v>
      </c>
      <c r="C267" s="36"/>
      <c r="D267" s="37"/>
      <c r="E267" s="36"/>
      <c r="F267" s="36"/>
      <c r="G267" s="36"/>
      <c r="H267" s="36"/>
      <c r="I267" s="36"/>
      <c r="J267" s="36"/>
    </row>
    <row r="269" spans="2:10" x14ac:dyDescent="0.2">
      <c r="C269" s="8" t="s">
        <v>79</v>
      </c>
      <c r="D269" s="11" t="s">
        <v>126</v>
      </c>
      <c r="E269" s="277">
        <f xml:space="preserve"> SUM( $E207:E207 ) * N( E207 &lt;&gt; 0 )</f>
        <v>70.992361935810308</v>
      </c>
      <c r="F269" s="277">
        <f xml:space="preserve"> SUM( $E207:F207 ) * N( F207 &lt;&gt; 0 )</f>
        <v>144.48633457633866</v>
      </c>
      <c r="G269" s="277">
        <f xml:space="preserve"> SUM( $E207:G207 ) * N( G207 &lt;&gt; 0 )</f>
        <v>219.57546687026232</v>
      </c>
      <c r="H269" s="277">
        <f xml:space="preserve"> SUM( $E207:H207 ) * N( H207 &lt;&gt; 0 )</f>
        <v>296.17121874276722</v>
      </c>
      <c r="I269" s="277">
        <f xml:space="preserve"> SUM( $E207:I207 ) * N( I207 &lt;&gt; 0 )</f>
        <v>0</v>
      </c>
    </row>
    <row r="270" spans="2:10" x14ac:dyDescent="0.2">
      <c r="C270" s="8" t="s">
        <v>81</v>
      </c>
      <c r="D270" s="11" t="s">
        <v>126</v>
      </c>
      <c r="E270" s="277">
        <f xml:space="preserve"> SUM( $E208:E208 ) * N( E208 &lt;&gt; 0 )</f>
        <v>54.318167285803071</v>
      </c>
      <c r="F270" s="277">
        <f xml:space="preserve"> SUM( $E208:F208 ) * N( F208 &lt;&gt; 0 )</f>
        <v>107.35891491401463</v>
      </c>
      <c r="G270" s="277">
        <f xml:space="preserve"> SUM( $E208:G208 ) * N( G208 &lt;&gt; 0 )</f>
        <v>158.86376921124247</v>
      </c>
      <c r="H270" s="277">
        <f xml:space="preserve"> SUM( $E208:H208 ) * N( H208 &lt;&gt; 0 )</f>
        <v>208.68874841968028</v>
      </c>
      <c r="I270" s="277">
        <f xml:space="preserve"> SUM( $E208:I208 ) * N( I208 &lt;&gt; 0 )</f>
        <v>0</v>
      </c>
    </row>
    <row r="271" spans="2:10" x14ac:dyDescent="0.2">
      <c r="C271" s="8" t="s">
        <v>84</v>
      </c>
      <c r="D271" s="11" t="s">
        <v>126</v>
      </c>
      <c r="E271" s="277">
        <f xml:space="preserve"> SUM( $E209:E209 ) * N( E209 &lt;&gt; 0 )</f>
        <v>2.6853983165503497</v>
      </c>
      <c r="F271" s="277">
        <f xml:space="preserve"> SUM( $E209:F209 ) * N( F209 &lt;&gt; 0 )</f>
        <v>5.403116352892817</v>
      </c>
      <c r="G271" s="277">
        <f xml:space="preserve"> SUM( $E209:G209 ) * N( G209 &lt;&gt; 0 )</f>
        <v>8.1488887621366128</v>
      </c>
      <c r="H271" s="277">
        <f xml:space="preserve"> SUM( $E209:H209 ) * N( H209 &lt;&gt; 0 )</f>
        <v>10.644782364557637</v>
      </c>
      <c r="I271" s="277">
        <f xml:space="preserve"> SUM( $E209:I209 ) * N( I209 &lt;&gt; 0 )</f>
        <v>0</v>
      </c>
    </row>
    <row r="272" spans="2:10" x14ac:dyDescent="0.2">
      <c r="C272" s="8" t="s">
        <v>86</v>
      </c>
      <c r="D272" s="11" t="s">
        <v>126</v>
      </c>
      <c r="E272" s="277">
        <f xml:space="preserve"> SUM( $E210:E210 ) * N( E210 &lt;&gt; 0 )</f>
        <v>52.012817867866886</v>
      </c>
      <c r="F272" s="277">
        <f xml:space="preserve"> SUM( $E210:F210 ) * N( F210 &lt;&gt; 0 )</f>
        <v>104.69996136859803</v>
      </c>
      <c r="G272" s="277">
        <f xml:space="preserve"> SUM( $E210:G210 ) * N( G210 &lt;&gt; 0 )</f>
        <v>157.84322835930527</v>
      </c>
      <c r="H272" s="277">
        <f xml:space="preserve"> SUM( $E210:H210 ) * N( H210 &lt;&gt; 0 )</f>
        <v>211.45127493012762</v>
      </c>
      <c r="I272" s="277">
        <f xml:space="preserve"> SUM( $E210:I210 ) * N( I210 &lt;&gt; 0 )</f>
        <v>0</v>
      </c>
    </row>
    <row r="273" spans="2:10" x14ac:dyDescent="0.2">
      <c r="C273" s="8" t="s">
        <v>88</v>
      </c>
      <c r="D273" s="11" t="s">
        <v>126</v>
      </c>
      <c r="E273" s="277">
        <f xml:space="preserve"> SUM( $E211:E211 ) * N( E211 &lt;&gt; 0 )</f>
        <v>108.37924401125238</v>
      </c>
      <c r="F273" s="277">
        <f xml:space="preserve"> SUM( $E211:F211 ) * N( F211 &lt;&gt; 0 )</f>
        <v>218.00895183136737</v>
      </c>
      <c r="G273" s="277">
        <f xml:space="preserve"> SUM( $E211:G211 ) * N( G211 &lt;&gt; 0 )</f>
        <v>331.70882322051585</v>
      </c>
      <c r="H273" s="277">
        <f xml:space="preserve"> SUM( $E211:H211 ) * N( H211 &lt;&gt; 0 )</f>
        <v>446.1602074146914</v>
      </c>
      <c r="I273" s="277">
        <f xml:space="preserve"> SUM( $E211:I211 ) * N( I211 &lt;&gt; 0 )</f>
        <v>0</v>
      </c>
    </row>
    <row r="274" spans="2:10" x14ac:dyDescent="0.2">
      <c r="C274" s="8" t="s">
        <v>90</v>
      </c>
      <c r="D274" s="11" t="s">
        <v>126</v>
      </c>
      <c r="E274" s="277">
        <f xml:space="preserve"> SUM( $E212:E212 ) * N( E212 &lt;&gt; 0 )</f>
        <v>33.001008264858029</v>
      </c>
      <c r="F274" s="277">
        <f xml:space="preserve"> SUM( $E212:F212 ) * N( F212 &lt;&gt; 0 )</f>
        <v>66.541981533693047</v>
      </c>
      <c r="G274" s="277">
        <f xml:space="preserve"> SUM( $E212:G212 ) * N( G212 &lt;&gt; 0 )</f>
        <v>100.97568305457702</v>
      </c>
      <c r="H274" s="277">
        <f xml:space="preserve"> SUM( $E212:H212 ) * N( H212 &lt;&gt; 0 )</f>
        <v>135.57221963584834</v>
      </c>
      <c r="I274" s="277">
        <f xml:space="preserve"> SUM( $E212:I212 ) * N( I212 &lt;&gt; 0 )</f>
        <v>0</v>
      </c>
    </row>
    <row r="275" spans="2:10" x14ac:dyDescent="0.2">
      <c r="C275" s="8" t="s">
        <v>93</v>
      </c>
      <c r="D275" s="11" t="s">
        <v>126</v>
      </c>
      <c r="E275" s="277">
        <f xml:space="preserve"> SUM( $E213:E213 ) * N( E213 &lt;&gt; 0 )</f>
        <v>63.099723495119036</v>
      </c>
      <c r="F275" s="277">
        <f xml:space="preserve"> SUM( $E213:F213 ) * N( F213 &lt;&gt; 0 )</f>
        <v>124.53429290879734</v>
      </c>
      <c r="G275" s="277">
        <f xml:space="preserve"> SUM( $E213:G213 ) * N( G213 &lt;&gt; 0 )</f>
        <v>181.17762441783111</v>
      </c>
      <c r="H275" s="277">
        <f xml:space="preserve"> SUM( $E213:H213 ) * N( H213 &lt;&gt; 0 )</f>
        <v>233.10125898220076</v>
      </c>
      <c r="I275" s="277">
        <f xml:space="preserve"> SUM( $E213:I213 ) * N( I213 &lt;&gt; 0 )</f>
        <v>0</v>
      </c>
    </row>
    <row r="276" spans="2:10" x14ac:dyDescent="0.2">
      <c r="C276" s="8" t="s">
        <v>95</v>
      </c>
      <c r="D276" s="11" t="s">
        <v>126</v>
      </c>
      <c r="E276" s="277">
        <f xml:space="preserve"> SUM( $E214:E214 ) * N( E214 &lt;&gt; 0 )</f>
        <v>152.17750047855952</v>
      </c>
      <c r="F276" s="277">
        <f xml:space="preserve"> SUM( $E214:F214 ) * N( F214 &lt;&gt; 0 )</f>
        <v>304.15271700270796</v>
      </c>
      <c r="G276" s="277">
        <f xml:space="preserve"> SUM( $E214:G214 ) * N( G214 &lt;&gt; 0 )</f>
        <v>457.79414217564272</v>
      </c>
      <c r="H276" s="277">
        <f xml:space="preserve"> SUM( $E214:H214 ) * N( H214 &lt;&gt; 0 )</f>
        <v>611.69878241013816</v>
      </c>
      <c r="I276" s="277">
        <f xml:space="preserve"> SUM( $E214:I214 ) * N( I214 &lt;&gt; 0 )</f>
        <v>0</v>
      </c>
    </row>
    <row r="277" spans="2:10" x14ac:dyDescent="0.2">
      <c r="C277" s="8" t="s">
        <v>97</v>
      </c>
      <c r="D277" s="11" t="s">
        <v>126</v>
      </c>
      <c r="E277" s="277">
        <f xml:space="preserve"> SUM( $E215:E215 ) * N( E215 &lt;&gt; 0 )</f>
        <v>125.16417285842374</v>
      </c>
      <c r="F277" s="277">
        <f xml:space="preserve"> SUM( $E215:F215 ) * N( F215 &lt;&gt; 0 )</f>
        <v>245.89551041313428</v>
      </c>
      <c r="G277" s="277">
        <f xml:space="preserve"> SUM( $E215:G215 ) * N( G215 &lt;&gt; 0 )</f>
        <v>359.36411545949341</v>
      </c>
      <c r="H277" s="277">
        <f xml:space="preserve"> SUM( $E215:H215 ) * N( H215 &lt;&gt; 0 )</f>
        <v>466.60768524497109</v>
      </c>
      <c r="I277" s="277">
        <f xml:space="preserve"> SUM( $E215:I215 ) * N( I215 &lt;&gt; 0 )</f>
        <v>0</v>
      </c>
    </row>
    <row r="278" spans="2:10" x14ac:dyDescent="0.2">
      <c r="C278" s="8" t="s">
        <v>99</v>
      </c>
      <c r="D278" s="11" t="s">
        <v>126</v>
      </c>
      <c r="E278" s="277">
        <f xml:space="preserve"> SUM( $E216:E216 ) * N( E216 &lt;&gt; 0 )</f>
        <v>30.400406287799839</v>
      </c>
      <c r="F278" s="277">
        <f xml:space="preserve"> SUM( $E216:F216 ) * N( F216 &lt;&gt; 0 )</f>
        <v>61.594641868051276</v>
      </c>
      <c r="G278" s="277">
        <f xml:space="preserve"> SUM( $E216:G216 ) * N( G216 &lt;&gt; 0 )</f>
        <v>93.815034570071617</v>
      </c>
      <c r="H278" s="277">
        <f xml:space="preserve"> SUM( $E216:H216 ) * N( H216 &lt;&gt; 0 )</f>
        <v>126.89443821472145</v>
      </c>
      <c r="I278" s="277">
        <f xml:space="preserve"> SUM( $E216:I216 ) * N( I216 &lt;&gt; 0 )</f>
        <v>0</v>
      </c>
    </row>
    <row r="279" spans="2:10" x14ac:dyDescent="0.2">
      <c r="C279" s="8" t="s">
        <v>101</v>
      </c>
      <c r="D279" s="11" t="s">
        <v>126</v>
      </c>
      <c r="E279" s="277">
        <f xml:space="preserve"> SUM( $E217:E217 ) * N( E217 &lt;&gt; 0 )</f>
        <v>55.887757589879413</v>
      </c>
      <c r="F279" s="277">
        <f xml:space="preserve"> SUM( $E217:F217 ) * N( F217 &lt;&gt; 0 )</f>
        <v>112.8537186269793</v>
      </c>
      <c r="G279" s="277">
        <f xml:space="preserve"> SUM( $E217:G217 ) * N( G217 &lt;&gt; 0 )</f>
        <v>170.50696587428288</v>
      </c>
      <c r="H279" s="277">
        <f xml:space="preserve"> SUM( $E217:H217 ) * N( H217 &lt;&gt; 0 )</f>
        <v>227.75404301324431</v>
      </c>
      <c r="I279" s="277">
        <f xml:space="preserve"> SUM( $E217:I217 ) * N( I217 &lt;&gt; 0 )</f>
        <v>0</v>
      </c>
    </row>
    <row r="280" spans="2:10" x14ac:dyDescent="0.2">
      <c r="C280" s="8" t="s">
        <v>103</v>
      </c>
      <c r="D280" s="11" t="s">
        <v>126</v>
      </c>
      <c r="E280" s="277">
        <f xml:space="preserve"> SUM( $E218:E218 ) * N( E218 &lt;&gt; 0 )</f>
        <v>27.737939736628995</v>
      </c>
      <c r="F280" s="277">
        <f xml:space="preserve"> SUM( $E218:F218 ) * N( F218 &lt;&gt; 0 )</f>
        <v>55.071552195285335</v>
      </c>
      <c r="G280" s="277">
        <f xml:space="preserve"> SUM( $E218:G218 ) * N( G218 &lt;&gt; 0 )</f>
        <v>81.908887250831199</v>
      </c>
      <c r="H280" s="277">
        <f xml:space="preserve"> SUM( $E218:H218 ) * N( H218 &lt;&gt; 0 )</f>
        <v>107.9336492637474</v>
      </c>
      <c r="I280" s="277">
        <f xml:space="preserve"> SUM( $E218:I218 ) * N( I218 &lt;&gt; 0 )</f>
        <v>0</v>
      </c>
    </row>
    <row r="281" spans="2:10" x14ac:dyDescent="0.2">
      <c r="C281" s="8" t="s">
        <v>105</v>
      </c>
      <c r="D281" s="11" t="s">
        <v>126</v>
      </c>
      <c r="E281" s="277">
        <f xml:space="preserve"> SUM( $E219:E219 ) * N( E219 &lt;&gt; 0 )</f>
        <v>9.7017744691465229</v>
      </c>
      <c r="F281" s="277">
        <f xml:space="preserve"> SUM( $E219:F219 ) * N( F219 &lt;&gt; 0 )</f>
        <v>19.723113168015175</v>
      </c>
      <c r="G281" s="277">
        <f xml:space="preserve"> SUM( $E219:G219 ) * N( G219 &lt;&gt; 0 )</f>
        <v>30.09770897366549</v>
      </c>
      <c r="H281" s="277">
        <f xml:space="preserve"> SUM( $E219:H219 ) * N( H219 &lt;&gt; 0 )</f>
        <v>40.844736527034911</v>
      </c>
      <c r="I281" s="277">
        <f xml:space="preserve"> SUM( $E219:I219 ) * N( I219 &lt;&gt; 0 )</f>
        <v>0</v>
      </c>
    </row>
    <row r="282" spans="2:10" x14ac:dyDescent="0.2">
      <c r="C282" s="8" t="s">
        <v>107</v>
      </c>
      <c r="D282" s="11" t="s">
        <v>126</v>
      </c>
      <c r="E282" s="277">
        <f xml:space="preserve"> SUM( $E220:E220 ) * N( E220 &lt;&gt; 0 )</f>
        <v>4.3557777844170733</v>
      </c>
      <c r="F282" s="277">
        <f xml:space="preserve"> SUM( $E220:F220 ) * N( F220 &lt;&gt; 0 )</f>
        <v>8.7904136855931689</v>
      </c>
      <c r="G282" s="277">
        <f xml:space="preserve"> SUM( $E220:G220 ) * N( G220 &lt;&gt; 0 )</f>
        <v>13.246424025664943</v>
      </c>
      <c r="H282" s="277">
        <f xml:space="preserve"> SUM( $E220:H220 ) * N( H220 &lt;&gt; 0 )</f>
        <v>17.734982976717497</v>
      </c>
      <c r="I282" s="277">
        <f xml:space="preserve"> SUM( $E220:I220 ) * N( I220 &lt;&gt; 0 )</f>
        <v>0</v>
      </c>
    </row>
    <row r="283" spans="2:10" x14ac:dyDescent="0.2">
      <c r="C283" s="8" t="s">
        <v>111</v>
      </c>
      <c r="D283" s="11" t="s">
        <v>126</v>
      </c>
      <c r="E283" s="277">
        <f xml:space="preserve"> SUM( $E221:E221 ) * N( E221 &lt;&gt; 0 )</f>
        <v>19.527277375807952</v>
      </c>
      <c r="F283" s="277">
        <f xml:space="preserve"> SUM( $E221:F221 ) * N( F221 &lt;&gt; 0 )</f>
        <v>39.539954243473829</v>
      </c>
      <c r="G283" s="277">
        <f xml:space="preserve"> SUM( $E221:G221 ) * N( G221 &lt;&gt; 0 )</f>
        <v>59.807238102885989</v>
      </c>
      <c r="H283" s="277">
        <f xml:space="preserve"> SUM( $E221:H221 ) * N( H221 &lt;&gt; 0 )</f>
        <v>80.273617438036752</v>
      </c>
      <c r="I283" s="277">
        <f xml:space="preserve"> SUM( $E221:I221 ) * N( I221 &lt;&gt; 0 )</f>
        <v>0</v>
      </c>
    </row>
    <row r="284" spans="2:10" x14ac:dyDescent="0.2">
      <c r="C284" s="8" t="s">
        <v>113</v>
      </c>
      <c r="D284" s="11" t="s">
        <v>126</v>
      </c>
      <c r="E284" s="277">
        <f xml:space="preserve"> SUM( $E222:E222 ) * N( E222 &lt;&gt; 0 )</f>
        <v>15.001810892648077</v>
      </c>
      <c r="F284" s="277">
        <f xml:space="preserve"> SUM( $E222:F222 ) * N( F222 &lt;&gt; 0 )</f>
        <v>30.091345037947903</v>
      </c>
      <c r="G284" s="277">
        <f xml:space="preserve"> SUM( $E222:G222 ) * N( G222 &lt;&gt; 0 )</f>
        <v>45.651127242181168</v>
      </c>
      <c r="H284" s="277">
        <f xml:space="preserve"> SUM( $E222:H222 ) * N( H222 &lt;&gt; 0 )</f>
        <v>61.83702917677553</v>
      </c>
      <c r="I284" s="277">
        <f xml:space="preserve"> SUM( $E222:I222 ) * N( I222 &lt;&gt; 0 )</f>
        <v>0</v>
      </c>
    </row>
    <row r="285" spans="2:10" x14ac:dyDescent="0.2">
      <c r="C285" s="8" t="s">
        <v>109</v>
      </c>
      <c r="D285" s="11" t="s">
        <v>126</v>
      </c>
      <c r="E285" s="277">
        <f xml:space="preserve"> SUM( $E223:E223 ) * N( E223 &lt;&gt; 0 )</f>
        <v>5.3445456624501571</v>
      </c>
      <c r="F285" s="277">
        <f xml:space="preserve"> SUM( $E223:F223 ) * N( F223 &lt;&gt; 0 )</f>
        <v>10.695952242334407</v>
      </c>
      <c r="G285" s="277">
        <f xml:space="preserve"> SUM( $E223:G223 ) * N( G223 &lt;&gt; 0 )</f>
        <v>16.239899157764434</v>
      </c>
      <c r="H285" s="277">
        <f xml:space="preserve"> SUM( $E223:H223 ) * N( H223 &lt;&gt; 0 )</f>
        <v>21.742430522093521</v>
      </c>
      <c r="I285" s="277">
        <f xml:space="preserve"> SUM( $E223:I223 ) * N( I223 &lt;&gt; 0 )</f>
        <v>0</v>
      </c>
    </row>
    <row r="287" spans="2:10" ht="13.5" x14ac:dyDescent="0.25">
      <c r="B287" s="36" t="s">
        <v>488</v>
      </c>
      <c r="C287" s="36"/>
      <c r="D287" s="37"/>
      <c r="E287" s="36"/>
      <c r="F287" s="36"/>
      <c r="G287" s="36"/>
      <c r="H287" s="36"/>
      <c r="I287" s="36"/>
      <c r="J287" s="36"/>
    </row>
    <row r="289" spans="3:9" x14ac:dyDescent="0.2">
      <c r="C289" s="8" t="s">
        <v>79</v>
      </c>
      <c r="D289" s="11" t="s">
        <v>126</v>
      </c>
      <c r="E289" s="277">
        <f xml:space="preserve"> SUM( $E227:E227 ) * N( E227 &lt;&gt; 0 )</f>
        <v>72.107761123971642</v>
      </c>
      <c r="F289" s="277">
        <f xml:space="preserve"> SUM( $E227:F227 ) * N( F227 &lt;&gt; 0 )</f>
        <v>142.4927541515915</v>
      </c>
      <c r="G289" s="277">
        <f xml:space="preserve"> SUM( $E227:G227 ) * N( G227 &lt;&gt; 0 )</f>
        <v>218.60875415159148</v>
      </c>
      <c r="H289" s="277">
        <f xml:space="preserve"> SUM( $E227:H227 ) * N( H227 &lt;&gt; 0 )</f>
        <v>295.90535806159147</v>
      </c>
      <c r="I289" s="277">
        <f xml:space="preserve"> SUM( $E227:I227 ) * N( I227 &lt;&gt; 0 )</f>
        <v>0</v>
      </c>
    </row>
    <row r="290" spans="3:9" x14ac:dyDescent="0.2">
      <c r="C290" s="8" t="s">
        <v>81</v>
      </c>
      <c r="D290" s="11" t="s">
        <v>126</v>
      </c>
      <c r="E290" s="277">
        <f xml:space="preserve"> SUM( $E228:E228 ) * N( E228 &lt;&gt; 0 )</f>
        <v>62.06</v>
      </c>
      <c r="F290" s="277">
        <f xml:space="preserve"> SUM( $E228:F228 ) * N( F228 &lt;&gt; 0 )</f>
        <v>119.441</v>
      </c>
      <c r="G290" s="277">
        <f xml:space="preserve"> SUM( $E228:G228 ) * N( G228 &lt;&gt; 0 )</f>
        <v>178.398</v>
      </c>
      <c r="H290" s="277">
        <f xml:space="preserve"> SUM( $E228:H228 ) * N( H228 &lt;&gt; 0 )</f>
        <v>234.678</v>
      </c>
      <c r="I290" s="277">
        <f xml:space="preserve"> SUM( $E228:I228 ) * N( I228 &lt;&gt; 0 )</f>
        <v>0</v>
      </c>
    </row>
    <row r="291" spans="3:9" x14ac:dyDescent="0.2">
      <c r="C291" s="8" t="s">
        <v>84</v>
      </c>
      <c r="D291" s="11" t="s">
        <v>126</v>
      </c>
      <c r="E291" s="277">
        <f xml:space="preserve"> SUM( $E229:E229 ) * N( E229 &lt;&gt; 0 )</f>
        <v>2.7454121880208575</v>
      </c>
      <c r="F291" s="277">
        <f xml:space="preserve"> SUM( $E229:F229 ) * N( F229 &lt;&gt; 0 )</f>
        <v>5.2634121880208573</v>
      </c>
      <c r="G291" s="277">
        <f xml:space="preserve"> SUM( $E229:G229 ) * N( G229 &lt;&gt; 0 )</f>
        <v>7.467412188020857</v>
      </c>
      <c r="H291" s="277">
        <f xml:space="preserve"> SUM( $E229:H229 ) * N( H229 &lt;&gt; 0 )</f>
        <v>10.297412188020857</v>
      </c>
      <c r="I291" s="277">
        <f xml:space="preserve"> SUM( $E229:I229 ) * N( I229 &lt;&gt; 0 )</f>
        <v>0</v>
      </c>
    </row>
    <row r="292" spans="3:9" x14ac:dyDescent="0.2">
      <c r="C292" s="8" t="s">
        <v>86</v>
      </c>
      <c r="D292" s="11" t="s">
        <v>126</v>
      </c>
      <c r="E292" s="277">
        <f xml:space="preserve"> SUM( $E230:E230 ) * N( E230 &lt;&gt; 0 )</f>
        <v>44.024000000000008</v>
      </c>
      <c r="F292" s="277">
        <f xml:space="preserve"> SUM( $E230:F230 ) * N( F230 &lt;&gt; 0 )</f>
        <v>89.40900000000002</v>
      </c>
      <c r="G292" s="277">
        <f xml:space="preserve"> SUM( $E230:G230 ) * N( G230 &lt;&gt; 0 )</f>
        <v>138.63200000000001</v>
      </c>
      <c r="H292" s="277">
        <f xml:space="preserve"> SUM( $E230:H230 ) * N( H230 &lt;&gt; 0 )</f>
        <v>195.20500000000001</v>
      </c>
      <c r="I292" s="277">
        <f xml:space="preserve"> SUM( $E230:I230 ) * N( I230 &lt;&gt; 0 )</f>
        <v>0</v>
      </c>
    </row>
    <row r="293" spans="3:9" x14ac:dyDescent="0.2">
      <c r="C293" s="8" t="s">
        <v>88</v>
      </c>
      <c r="D293" s="11" t="s">
        <v>126</v>
      </c>
      <c r="E293" s="277">
        <f xml:space="preserve"> SUM( $E231:E231 ) * N( E231 &lt;&gt; 0 )</f>
        <v>86.736000000000004</v>
      </c>
      <c r="F293" s="277">
        <f xml:space="preserve"> SUM( $E231:F231 ) * N( F231 &lt;&gt; 0 )</f>
        <v>171.291</v>
      </c>
      <c r="G293" s="277">
        <f xml:space="preserve"> SUM( $E231:G231 ) * N( G231 &lt;&gt; 0 )</f>
        <v>265.35599999999999</v>
      </c>
      <c r="H293" s="277">
        <f xml:space="preserve"> SUM( $E231:H231 ) * N( H231 &lt;&gt; 0 )</f>
        <v>364.70600000000002</v>
      </c>
      <c r="I293" s="277">
        <f xml:space="preserve"> SUM( $E231:I231 ) * N( I231 &lt;&gt; 0 )</f>
        <v>0</v>
      </c>
    </row>
    <row r="294" spans="3:9" x14ac:dyDescent="0.2">
      <c r="C294" s="8" t="s">
        <v>90</v>
      </c>
      <c r="D294" s="11" t="s">
        <v>126</v>
      </c>
      <c r="E294" s="277">
        <f xml:space="preserve"> SUM( $E232:E232 ) * N( E232 &lt;&gt; 0 )</f>
        <v>34.946999999999996</v>
      </c>
      <c r="F294" s="277">
        <f xml:space="preserve"> SUM( $E232:F232 ) * N( F232 &lt;&gt; 0 )</f>
        <v>66.930000000000007</v>
      </c>
      <c r="G294" s="277">
        <f xml:space="preserve"> SUM( $E232:G232 ) * N( G232 &lt;&gt; 0 )</f>
        <v>97.98</v>
      </c>
      <c r="H294" s="277">
        <f xml:space="preserve"> SUM( $E232:H232 ) * N( H232 &lt;&gt; 0 )</f>
        <v>125.688</v>
      </c>
      <c r="I294" s="277">
        <f xml:space="preserve"> SUM( $E232:I232 ) * N( I232 &lt;&gt; 0 )</f>
        <v>0</v>
      </c>
    </row>
    <row r="295" spans="3:9" x14ac:dyDescent="0.2">
      <c r="C295" s="8" t="s">
        <v>93</v>
      </c>
      <c r="D295" s="11" t="s">
        <v>126</v>
      </c>
      <c r="E295" s="277">
        <f xml:space="preserve"> SUM( $E233:E233 ) * N( E233 &lt;&gt; 0 )</f>
        <v>81.027000000000001</v>
      </c>
      <c r="F295" s="277">
        <f xml:space="preserve"> SUM( $E233:F233 ) * N( F233 &lt;&gt; 0 )</f>
        <v>167.08499999999998</v>
      </c>
      <c r="G295" s="277">
        <f xml:space="preserve"> SUM( $E233:G233 ) * N( G233 &lt;&gt; 0 )</f>
        <v>243.20399999999998</v>
      </c>
      <c r="H295" s="277">
        <f xml:space="preserve"> SUM( $E233:H233 ) * N( H233 &lt;&gt; 0 )</f>
        <v>306.15199999999999</v>
      </c>
      <c r="I295" s="277">
        <f xml:space="preserve"> SUM( $E233:I233 ) * N( I233 &lt;&gt; 0 )</f>
        <v>0</v>
      </c>
    </row>
    <row r="296" spans="3:9" x14ac:dyDescent="0.2">
      <c r="C296" s="8" t="s">
        <v>95</v>
      </c>
      <c r="D296" s="11" t="s">
        <v>126</v>
      </c>
      <c r="E296" s="277">
        <f xml:space="preserve"> SUM( $E234:E234 ) * N( E234 &lt;&gt; 0 )</f>
        <v>162.24193973624713</v>
      </c>
      <c r="F296" s="277">
        <f xml:space="preserve"> SUM( $E234:F234 ) * N( F234 &lt;&gt; 0 )</f>
        <v>325.61293973624709</v>
      </c>
      <c r="G296" s="277">
        <f xml:space="preserve"> SUM( $E234:G234 ) * N( G234 &lt;&gt; 0 )</f>
        <v>497.4129397362471</v>
      </c>
      <c r="H296" s="277">
        <f xml:space="preserve"> SUM( $E234:H234 ) * N( H234 &lt;&gt; 0 )</f>
        <v>675.94093973624706</v>
      </c>
      <c r="I296" s="277">
        <f xml:space="preserve"> SUM( $E234:I234 ) * N( I234 &lt;&gt; 0 )</f>
        <v>0</v>
      </c>
    </row>
    <row r="297" spans="3:9" x14ac:dyDescent="0.2">
      <c r="C297" s="8" t="s">
        <v>97</v>
      </c>
      <c r="D297" s="11" t="s">
        <v>126</v>
      </c>
      <c r="E297" s="277">
        <f xml:space="preserve"> SUM( $E235:E235 ) * N( E235 &lt;&gt; 0 )</f>
        <v>120.30515406956067</v>
      </c>
      <c r="F297" s="277">
        <f xml:space="preserve"> SUM( $E235:F235 ) * N( F235 &lt;&gt; 0 )</f>
        <v>234.75638215606625</v>
      </c>
      <c r="G297" s="277">
        <f xml:space="preserve"> SUM( $E235:G235 ) * N( G235 &lt;&gt; 0 )</f>
        <v>348.37691296632624</v>
      </c>
      <c r="H297" s="277">
        <f xml:space="preserve"> SUM( $E235:H235 ) * N( H235 &lt;&gt; 0 )</f>
        <v>459.31402387410725</v>
      </c>
      <c r="I297" s="277">
        <f xml:space="preserve"> SUM( $E235:I235 ) * N( I235 &lt;&gt; 0 )</f>
        <v>0</v>
      </c>
    </row>
    <row r="298" spans="3:9" x14ac:dyDescent="0.2">
      <c r="C298" s="8" t="s">
        <v>99</v>
      </c>
      <c r="D298" s="11" t="s">
        <v>126</v>
      </c>
      <c r="E298" s="277">
        <f xml:space="preserve"> SUM( $E236:E236 ) * N( E236 &lt;&gt; 0 )</f>
        <v>26.754587758045798</v>
      </c>
      <c r="F298" s="277">
        <f xml:space="preserve"> SUM( $E236:F236 ) * N( F236 &lt;&gt; 0 )</f>
        <v>54.028276804249202</v>
      </c>
      <c r="G298" s="277">
        <f xml:space="preserve"> SUM( $E236:G236 ) * N( G236 &lt;&gt; 0 )</f>
        <v>83.799365423778994</v>
      </c>
      <c r="H298" s="277">
        <f xml:space="preserve"> SUM( $E236:H236 ) * N( H236 &lt;&gt; 0 )</f>
        <v>117.7568471742881</v>
      </c>
      <c r="I298" s="277">
        <f xml:space="preserve"> SUM( $E236:I236 ) * N( I236 &lt;&gt; 0 )</f>
        <v>0</v>
      </c>
    </row>
    <row r="299" spans="3:9" x14ac:dyDescent="0.2">
      <c r="C299" s="8" t="s">
        <v>101</v>
      </c>
      <c r="D299" s="11" t="s">
        <v>126</v>
      </c>
      <c r="E299" s="277">
        <f xml:space="preserve"> SUM( $E237:E237 ) * N( E237 &lt;&gt; 0 )</f>
        <v>56.061300000000003</v>
      </c>
      <c r="F299" s="277">
        <f xml:space="preserve"> SUM( $E237:F237 ) * N( F237 &lt;&gt; 0 )</f>
        <v>109.77430000000001</v>
      </c>
      <c r="G299" s="277">
        <f xml:space="preserve"> SUM( $E237:G237 ) * N( G237 &lt;&gt; 0 )</f>
        <v>167.62630000000001</v>
      </c>
      <c r="H299" s="277">
        <f xml:space="preserve"> SUM( $E237:H237 ) * N( H237 &lt;&gt; 0 )</f>
        <v>228.6173</v>
      </c>
      <c r="I299" s="277">
        <f xml:space="preserve"> SUM( $E237:I237 ) * N( I237 &lt;&gt; 0 )</f>
        <v>0</v>
      </c>
    </row>
    <row r="300" spans="3:9" x14ac:dyDescent="0.2">
      <c r="C300" s="8" t="s">
        <v>103</v>
      </c>
      <c r="D300" s="11" t="s">
        <v>126</v>
      </c>
      <c r="E300" s="277">
        <f xml:space="preserve"> SUM( $E238:E238 ) * N( E238 &lt;&gt; 0 )</f>
        <v>31.254999999999999</v>
      </c>
      <c r="F300" s="277">
        <f xml:space="preserve"> SUM( $E238:F238 ) * N( F238 &lt;&gt; 0 )</f>
        <v>62.629000000000005</v>
      </c>
      <c r="G300" s="277">
        <f xml:space="preserve"> SUM( $E238:G238 ) * N( G238 &lt;&gt; 0 )</f>
        <v>94.371000000000009</v>
      </c>
      <c r="H300" s="277">
        <f xml:space="preserve"> SUM( $E238:H238 ) * N( H238 &lt;&gt; 0 )</f>
        <v>122.21200000000002</v>
      </c>
      <c r="I300" s="277">
        <f xml:space="preserve"> SUM( $E238:I238 ) * N( I238 &lt;&gt; 0 )</f>
        <v>0</v>
      </c>
    </row>
    <row r="301" spans="3:9" x14ac:dyDescent="0.2">
      <c r="C301" s="8" t="s">
        <v>105</v>
      </c>
      <c r="D301" s="11" t="s">
        <v>126</v>
      </c>
      <c r="E301" s="277">
        <f xml:space="preserve"> SUM( $E239:E239 ) * N( E239 &lt;&gt; 0 )</f>
        <v>8.3040000000000003</v>
      </c>
      <c r="F301" s="277">
        <f xml:space="preserve"> SUM( $E239:F239 ) * N( F239 &lt;&gt; 0 )</f>
        <v>16.669999999999998</v>
      </c>
      <c r="G301" s="277">
        <f xml:space="preserve"> SUM( $E239:G239 ) * N( G239 &lt;&gt; 0 )</f>
        <v>26.013999999999996</v>
      </c>
      <c r="H301" s="277">
        <f xml:space="preserve"> SUM( $E239:H239 ) * N( H239 &lt;&gt; 0 )</f>
        <v>36.955999999999996</v>
      </c>
      <c r="I301" s="277">
        <f xml:space="preserve"> SUM( $E239:I239 ) * N( I239 &lt;&gt; 0 )</f>
        <v>0</v>
      </c>
    </row>
    <row r="302" spans="3:9" x14ac:dyDescent="0.2">
      <c r="C302" s="8" t="s">
        <v>107</v>
      </c>
      <c r="D302" s="11" t="s">
        <v>126</v>
      </c>
      <c r="E302" s="277">
        <f xml:space="preserve"> SUM( $E240:E240 ) * N( E240 &lt;&gt; 0 )</f>
        <v>4.7270000000000003</v>
      </c>
      <c r="F302" s="277">
        <f xml:space="preserve"> SUM( $E240:F240 ) * N( F240 &lt;&gt; 0 )</f>
        <v>8.8659999999999997</v>
      </c>
      <c r="G302" s="277">
        <f xml:space="preserve"> SUM( $E240:G240 ) * N( G240 &lt;&gt; 0 )</f>
        <v>13.777999999999999</v>
      </c>
      <c r="H302" s="277">
        <f xml:space="preserve"> SUM( $E240:H240 ) * N( H240 &lt;&gt; 0 )</f>
        <v>18.334</v>
      </c>
      <c r="I302" s="277">
        <f xml:space="preserve"> SUM( $E240:I240 ) * N( I240 &lt;&gt; 0 )</f>
        <v>0</v>
      </c>
    </row>
    <row r="303" spans="3:9" x14ac:dyDescent="0.2">
      <c r="C303" s="8" t="s">
        <v>111</v>
      </c>
      <c r="D303" s="11" t="s">
        <v>126</v>
      </c>
      <c r="E303" s="277">
        <f xml:space="preserve"> SUM( $E241:E241 ) * N( E241 &lt;&gt; 0 )</f>
        <v>17.419999999999998</v>
      </c>
      <c r="F303" s="277">
        <f xml:space="preserve"> SUM( $E241:F241 ) * N( F241 &lt;&gt; 0 )</f>
        <v>33.146000000000001</v>
      </c>
      <c r="G303" s="277">
        <f xml:space="preserve"> SUM( $E241:G241 ) * N( G241 &lt;&gt; 0 )</f>
        <v>48.322000000000003</v>
      </c>
      <c r="H303" s="277">
        <f xml:space="preserve"> SUM( $E241:H241 ) * N( H241 &lt;&gt; 0 )</f>
        <v>64.282000000000011</v>
      </c>
      <c r="I303" s="277">
        <f xml:space="preserve"> SUM( $E241:I241 ) * N( I241 &lt;&gt; 0 )</f>
        <v>0</v>
      </c>
    </row>
    <row r="304" spans="3:9" x14ac:dyDescent="0.2">
      <c r="C304" s="8" t="s">
        <v>113</v>
      </c>
      <c r="D304" s="11" t="s">
        <v>126</v>
      </c>
      <c r="E304" s="277">
        <f xml:space="preserve"> SUM( $E242:E242 ) * N( E242 &lt;&gt; 0 )</f>
        <v>13.076120548859775</v>
      </c>
      <c r="F304" s="277">
        <f xml:space="preserve"> SUM( $E242:F242 ) * N( F242 &lt;&gt; 0 )</f>
        <v>26.069406615064189</v>
      </c>
      <c r="G304" s="277">
        <f xml:space="preserve"> SUM( $E242:G242 ) * N( G242 &lt;&gt; 0 )</f>
        <v>38.743611569496586</v>
      </c>
      <c r="H304" s="277">
        <f xml:space="preserve"> SUM( $E242:H242 ) * N( H242 &lt;&gt; 0 )</f>
        <v>51.688611569496587</v>
      </c>
      <c r="I304" s="277">
        <f xml:space="preserve"> SUM( $E242:I242 ) * N( I242 &lt;&gt; 0 )</f>
        <v>0</v>
      </c>
    </row>
    <row r="305" spans="2:10" x14ac:dyDescent="0.2">
      <c r="C305" s="8" t="s">
        <v>109</v>
      </c>
      <c r="D305" s="11" t="s">
        <v>126</v>
      </c>
      <c r="E305" s="277">
        <f xml:space="preserve"> SUM( $E243:E243 ) * N( E243 &lt;&gt; 0 )</f>
        <v>6.2610000000000001</v>
      </c>
      <c r="F305" s="277">
        <f xml:space="preserve"> SUM( $E243:F243 ) * N( F243 &lt;&gt; 0 )</f>
        <v>12.55</v>
      </c>
      <c r="G305" s="277">
        <f xml:space="preserve"> SUM( $E243:G243 ) * N( G243 &lt;&gt; 0 )</f>
        <v>19.742000000000001</v>
      </c>
      <c r="H305" s="277">
        <f xml:space="preserve"> SUM( $E243:H243 ) * N( H243 &lt;&gt; 0 )</f>
        <v>27.816000000000003</v>
      </c>
      <c r="I305" s="277">
        <f xml:space="preserve"> SUM( $E243:I243 ) * N( I243 &lt;&gt; 0 )</f>
        <v>0</v>
      </c>
    </row>
    <row r="307" spans="2:10" ht="13.5" x14ac:dyDescent="0.25">
      <c r="B307" s="36" t="s">
        <v>489</v>
      </c>
      <c r="C307" s="36"/>
      <c r="D307" s="37"/>
      <c r="E307" s="36"/>
      <c r="F307" s="36"/>
      <c r="G307" s="36"/>
      <c r="H307" s="36"/>
      <c r="I307" s="36"/>
      <c r="J307" s="36"/>
    </row>
    <row r="309" spans="2:10" x14ac:dyDescent="0.2">
      <c r="C309" s="8" t="s">
        <v>79</v>
      </c>
      <c r="D309" s="11" t="s">
        <v>126</v>
      </c>
      <c r="E309" s="15">
        <f xml:space="preserve"> E289 - E269</f>
        <v>1.1153991881613337</v>
      </c>
      <c r="F309" s="15">
        <f t="shared" ref="F309:I309" si="8" xml:space="preserve"> F289 - F269</f>
        <v>-1.9935804247471651</v>
      </c>
      <c r="G309" s="15">
        <f t="shared" si="8"/>
        <v>-0.96671271867083419</v>
      </c>
      <c r="H309" s="15">
        <f t="shared" si="8"/>
        <v>-0.26586068117575223</v>
      </c>
      <c r="I309" s="15">
        <f t="shared" si="8"/>
        <v>0</v>
      </c>
    </row>
    <row r="310" spans="2:10" x14ac:dyDescent="0.2">
      <c r="C310" s="8" t="s">
        <v>81</v>
      </c>
      <c r="D310" s="11" t="s">
        <v>126</v>
      </c>
      <c r="E310" s="15">
        <f t="shared" ref="E310:I325" si="9" xml:space="preserve"> E290 - E270</f>
        <v>7.7418327141969314</v>
      </c>
      <c r="F310" s="15">
        <f t="shared" si="9"/>
        <v>12.082085085985369</v>
      </c>
      <c r="G310" s="15">
        <f t="shared" si="9"/>
        <v>19.534230788757526</v>
      </c>
      <c r="H310" s="15">
        <f t="shared" si="9"/>
        <v>25.989251580319717</v>
      </c>
      <c r="I310" s="15">
        <f t="shared" si="9"/>
        <v>0</v>
      </c>
    </row>
    <row r="311" spans="2:10" x14ac:dyDescent="0.2">
      <c r="C311" s="8" t="s">
        <v>84</v>
      </c>
      <c r="D311" s="11" t="s">
        <v>126</v>
      </c>
      <c r="E311" s="15">
        <f t="shared" si="9"/>
        <v>6.0013871470507851E-2</v>
      </c>
      <c r="F311" s="15">
        <f t="shared" si="9"/>
        <v>-0.13970416487195969</v>
      </c>
      <c r="G311" s="15">
        <f t="shared" si="9"/>
        <v>-0.6814765741157558</v>
      </c>
      <c r="H311" s="15">
        <f t="shared" si="9"/>
        <v>-0.3473701765367796</v>
      </c>
      <c r="I311" s="15">
        <f t="shared" si="9"/>
        <v>0</v>
      </c>
    </row>
    <row r="312" spans="2:10" x14ac:dyDescent="0.2">
      <c r="C312" s="8" t="s">
        <v>86</v>
      </c>
      <c r="D312" s="11" t="s">
        <v>126</v>
      </c>
      <c r="E312" s="15">
        <f t="shared" si="9"/>
        <v>-7.988817867866878</v>
      </c>
      <c r="F312" s="15">
        <f t="shared" si="9"/>
        <v>-15.290961368598005</v>
      </c>
      <c r="G312" s="15">
        <f t="shared" si="9"/>
        <v>-19.211228359305267</v>
      </c>
      <c r="H312" s="15">
        <f t="shared" si="9"/>
        <v>-16.246274930127612</v>
      </c>
      <c r="I312" s="15">
        <f t="shared" si="9"/>
        <v>0</v>
      </c>
    </row>
    <row r="313" spans="2:10" x14ac:dyDescent="0.2">
      <c r="C313" s="8" t="s">
        <v>88</v>
      </c>
      <c r="D313" s="11" t="s">
        <v>126</v>
      </c>
      <c r="E313" s="15">
        <f t="shared" si="9"/>
        <v>-21.643244011252378</v>
      </c>
      <c r="F313" s="15">
        <f t="shared" si="9"/>
        <v>-46.717951831367373</v>
      </c>
      <c r="G313" s="15">
        <f t="shared" si="9"/>
        <v>-66.352823220515859</v>
      </c>
      <c r="H313" s="15">
        <f t="shared" si="9"/>
        <v>-81.454207414691382</v>
      </c>
      <c r="I313" s="15">
        <f t="shared" si="9"/>
        <v>0</v>
      </c>
    </row>
    <row r="314" spans="2:10" x14ac:dyDescent="0.2">
      <c r="C314" s="8" t="s">
        <v>90</v>
      </c>
      <c r="D314" s="11" t="s">
        <v>126</v>
      </c>
      <c r="E314" s="15">
        <f t="shared" si="9"/>
        <v>1.9459917351419662</v>
      </c>
      <c r="F314" s="15">
        <f t="shared" si="9"/>
        <v>0.38801846630695991</v>
      </c>
      <c r="G314" s="15">
        <f t="shared" si="9"/>
        <v>-2.9956830545770146</v>
      </c>
      <c r="H314" s="15">
        <f t="shared" si="9"/>
        <v>-9.8842196358483392</v>
      </c>
      <c r="I314" s="15">
        <f t="shared" si="9"/>
        <v>0</v>
      </c>
    </row>
    <row r="315" spans="2:10" x14ac:dyDescent="0.2">
      <c r="C315" s="8" t="s">
        <v>93</v>
      </c>
      <c r="D315" s="11" t="s">
        <v>126</v>
      </c>
      <c r="E315" s="15">
        <f t="shared" si="9"/>
        <v>17.927276504880965</v>
      </c>
      <c r="F315" s="15">
        <f t="shared" si="9"/>
        <v>42.550707091202639</v>
      </c>
      <c r="G315" s="15">
        <f t="shared" si="9"/>
        <v>62.026375582168868</v>
      </c>
      <c r="H315" s="15">
        <f t="shared" si="9"/>
        <v>73.050741017799226</v>
      </c>
      <c r="I315" s="15">
        <f t="shared" si="9"/>
        <v>0</v>
      </c>
    </row>
    <row r="316" spans="2:10" x14ac:dyDescent="0.2">
      <c r="C316" s="8" t="s">
        <v>95</v>
      </c>
      <c r="D316" s="11" t="s">
        <v>126</v>
      </c>
      <c r="E316" s="15">
        <f t="shared" si="9"/>
        <v>10.06443925768761</v>
      </c>
      <c r="F316" s="15">
        <f t="shared" si="9"/>
        <v>21.460222733539126</v>
      </c>
      <c r="G316" s="15">
        <f t="shared" si="9"/>
        <v>39.618797560604378</v>
      </c>
      <c r="H316" s="15">
        <f t="shared" si="9"/>
        <v>64.242157326108895</v>
      </c>
      <c r="I316" s="15">
        <f t="shared" si="9"/>
        <v>0</v>
      </c>
    </row>
    <row r="317" spans="2:10" x14ac:dyDescent="0.2">
      <c r="C317" s="8" t="s">
        <v>97</v>
      </c>
      <c r="D317" s="11" t="s">
        <v>126</v>
      </c>
      <c r="E317" s="15">
        <f t="shared" si="9"/>
        <v>-4.859018788863068</v>
      </c>
      <c r="F317" s="15">
        <f t="shared" si="9"/>
        <v>-11.139128257068023</v>
      </c>
      <c r="G317" s="15">
        <f t="shared" si="9"/>
        <v>-10.98720249316716</v>
      </c>
      <c r="H317" s="15">
        <f t="shared" si="9"/>
        <v>-7.2936613708638447</v>
      </c>
      <c r="I317" s="15">
        <f t="shared" si="9"/>
        <v>0</v>
      </c>
    </row>
    <row r="318" spans="2:10" x14ac:dyDescent="0.2">
      <c r="C318" s="8" t="s">
        <v>99</v>
      </c>
      <c r="D318" s="11" t="s">
        <v>126</v>
      </c>
      <c r="E318" s="15">
        <f t="shared" si="9"/>
        <v>-3.6458185297540417</v>
      </c>
      <c r="F318" s="15">
        <f t="shared" si="9"/>
        <v>-7.5663650638020741</v>
      </c>
      <c r="G318" s="15">
        <f t="shared" si="9"/>
        <v>-10.015669146292623</v>
      </c>
      <c r="H318" s="15">
        <f t="shared" si="9"/>
        <v>-9.1375910404333496</v>
      </c>
      <c r="I318" s="15">
        <f t="shared" si="9"/>
        <v>0</v>
      </c>
    </row>
    <row r="319" spans="2:10" x14ac:dyDescent="0.2">
      <c r="C319" s="8" t="s">
        <v>101</v>
      </c>
      <c r="D319" s="11" t="s">
        <v>126</v>
      </c>
      <c r="E319" s="15">
        <f t="shared" si="9"/>
        <v>0.17354241012058935</v>
      </c>
      <c r="F319" s="15">
        <f t="shared" si="9"/>
        <v>-3.0794186269792903</v>
      </c>
      <c r="G319" s="15">
        <f t="shared" si="9"/>
        <v>-2.8806658742828688</v>
      </c>
      <c r="H319" s="15">
        <f t="shared" si="9"/>
        <v>0.86325698675568674</v>
      </c>
      <c r="I319" s="15">
        <f t="shared" si="9"/>
        <v>0</v>
      </c>
    </row>
    <row r="320" spans="2:10" x14ac:dyDescent="0.2">
      <c r="C320" s="8" t="s">
        <v>103</v>
      </c>
      <c r="D320" s="11" t="s">
        <v>126</v>
      </c>
      <c r="E320" s="15">
        <f t="shared" si="9"/>
        <v>3.517060263371004</v>
      </c>
      <c r="F320" s="15">
        <f t="shared" si="9"/>
        <v>7.5574478047146698</v>
      </c>
      <c r="G320" s="15">
        <f t="shared" si="9"/>
        <v>12.46211274916881</v>
      </c>
      <c r="H320" s="15">
        <f t="shared" si="9"/>
        <v>14.278350736252619</v>
      </c>
      <c r="I320" s="15">
        <f t="shared" si="9"/>
        <v>0</v>
      </c>
    </row>
    <row r="321" spans="2:10" x14ac:dyDescent="0.2">
      <c r="C321" s="8" t="s">
        <v>105</v>
      </c>
      <c r="D321" s="11" t="s">
        <v>126</v>
      </c>
      <c r="E321" s="15">
        <f t="shared" si="9"/>
        <v>-1.3977744691465226</v>
      </c>
      <c r="F321" s="15">
        <f t="shared" si="9"/>
        <v>-3.0531131680151766</v>
      </c>
      <c r="G321" s="15">
        <f t="shared" si="9"/>
        <v>-4.0837089736654946</v>
      </c>
      <c r="H321" s="15">
        <f t="shared" si="9"/>
        <v>-3.888736527034915</v>
      </c>
      <c r="I321" s="15">
        <f t="shared" si="9"/>
        <v>0</v>
      </c>
    </row>
    <row r="322" spans="2:10" x14ac:dyDescent="0.2">
      <c r="C322" s="8" t="s">
        <v>107</v>
      </c>
      <c r="D322" s="11" t="s">
        <v>126</v>
      </c>
      <c r="E322" s="15">
        <f t="shared" si="9"/>
        <v>0.37122221558292701</v>
      </c>
      <c r="F322" s="15">
        <f t="shared" si="9"/>
        <v>7.5586314406830724E-2</v>
      </c>
      <c r="G322" s="15">
        <f t="shared" si="9"/>
        <v>0.53157597433505543</v>
      </c>
      <c r="H322" s="15">
        <f t="shared" si="9"/>
        <v>0.59901702328250295</v>
      </c>
      <c r="I322" s="15">
        <f t="shared" si="9"/>
        <v>0</v>
      </c>
    </row>
    <row r="323" spans="2:10" x14ac:dyDescent="0.2">
      <c r="C323" s="8" t="s">
        <v>111</v>
      </c>
      <c r="D323" s="11" t="s">
        <v>126</v>
      </c>
      <c r="E323" s="15">
        <f t="shared" si="9"/>
        <v>-2.1072773758079535</v>
      </c>
      <c r="F323" s="15">
        <f t="shared" si="9"/>
        <v>-6.3939542434738286</v>
      </c>
      <c r="G323" s="15">
        <f t="shared" si="9"/>
        <v>-11.485238102885987</v>
      </c>
      <c r="H323" s="15">
        <f t="shared" si="9"/>
        <v>-15.991617438036741</v>
      </c>
      <c r="I323" s="15">
        <f t="shared" si="9"/>
        <v>0</v>
      </c>
    </row>
    <row r="324" spans="2:10" x14ac:dyDescent="0.2">
      <c r="C324" s="8" t="s">
        <v>113</v>
      </c>
      <c r="D324" s="11" t="s">
        <v>126</v>
      </c>
      <c r="E324" s="15">
        <f t="shared" si="9"/>
        <v>-1.9256903437883022</v>
      </c>
      <c r="F324" s="15">
        <f t="shared" si="9"/>
        <v>-4.0219384228837143</v>
      </c>
      <c r="G324" s="15">
        <f t="shared" si="9"/>
        <v>-6.9075156726845819</v>
      </c>
      <c r="H324" s="15">
        <f t="shared" si="9"/>
        <v>-10.148417607278944</v>
      </c>
      <c r="I324" s="15">
        <f t="shared" si="9"/>
        <v>0</v>
      </c>
    </row>
    <row r="325" spans="2:10" x14ac:dyDescent="0.2">
      <c r="C325" s="8" t="s">
        <v>109</v>
      </c>
      <c r="D325" s="11" t="s">
        <v>126</v>
      </c>
      <c r="E325" s="15">
        <f t="shared" si="9"/>
        <v>0.91645433754984307</v>
      </c>
      <c r="F325" s="15">
        <f t="shared" si="9"/>
        <v>1.8540477576655938</v>
      </c>
      <c r="G325" s="15">
        <f t="shared" si="9"/>
        <v>3.5021008422355671</v>
      </c>
      <c r="H325" s="15">
        <f t="shared" si="9"/>
        <v>6.0735694779064815</v>
      </c>
      <c r="I325" s="15">
        <f t="shared" si="9"/>
        <v>0</v>
      </c>
    </row>
    <row r="327" spans="2:10" ht="13.5" x14ac:dyDescent="0.25">
      <c r="B327" s="36" t="s">
        <v>490</v>
      </c>
      <c r="C327" s="36"/>
      <c r="D327" s="37"/>
      <c r="E327" s="36"/>
      <c r="F327" s="36"/>
      <c r="G327" s="36"/>
      <c r="H327" s="36"/>
      <c r="I327" s="36"/>
      <c r="J327" s="36"/>
    </row>
    <row r="329" spans="2:10" x14ac:dyDescent="0.2">
      <c r="C329" s="8" t="s">
        <v>79</v>
      </c>
      <c r="D329" s="11" t="s">
        <v>132</v>
      </c>
      <c r="E329" s="278">
        <f xml:space="preserve"> IFERROR( E309 / E269, 0 )</f>
        <v>1.5711537942206408E-2</v>
      </c>
      <c r="F329" s="278">
        <f t="shared" ref="F329:I329" si="10" xml:space="preserve"> IFERROR( F309 / F269, 0 )</f>
        <v>-1.3797709178468131E-2</v>
      </c>
      <c r="G329" s="278">
        <f t="shared" si="10"/>
        <v>-4.4026444868816928E-3</v>
      </c>
      <c r="H329" s="278">
        <f t="shared" si="10"/>
        <v>-8.9765873370247862E-4</v>
      </c>
      <c r="I329" s="278">
        <f t="shared" si="10"/>
        <v>0</v>
      </c>
    </row>
    <row r="330" spans="2:10" x14ac:dyDescent="0.2">
      <c r="C330" s="8" t="s">
        <v>81</v>
      </c>
      <c r="D330" s="11" t="s">
        <v>132</v>
      </c>
      <c r="E330" s="278">
        <f t="shared" ref="E330:I345" si="11" xml:space="preserve"> IFERROR( E310 / E270, 0 )</f>
        <v>0.14252750232647088</v>
      </c>
      <c r="F330" s="278">
        <f t="shared" si="11"/>
        <v>0.11253918778577533</v>
      </c>
      <c r="G330" s="278">
        <f t="shared" si="11"/>
        <v>0.1229621510665701</v>
      </c>
      <c r="H330" s="278">
        <f t="shared" si="11"/>
        <v>0.12453595019916663</v>
      </c>
      <c r="I330" s="278">
        <f t="shared" si="11"/>
        <v>0</v>
      </c>
    </row>
    <row r="331" spans="2:10" x14ac:dyDescent="0.2">
      <c r="C331" s="8" t="s">
        <v>84</v>
      </c>
      <c r="D331" s="11" t="s">
        <v>132</v>
      </c>
      <c r="E331" s="278">
        <f t="shared" si="11"/>
        <v>2.2348219666571249E-2</v>
      </c>
      <c r="F331" s="278">
        <f t="shared" si="11"/>
        <v>-2.5856219956685252E-2</v>
      </c>
      <c r="G331" s="278">
        <f t="shared" si="11"/>
        <v>-8.3628160109658289E-2</v>
      </c>
      <c r="H331" s="278">
        <f t="shared" si="11"/>
        <v>-3.2632905459238595E-2</v>
      </c>
      <c r="I331" s="278">
        <f t="shared" si="11"/>
        <v>0</v>
      </c>
    </row>
    <row r="332" spans="2:10" x14ac:dyDescent="0.2">
      <c r="C332" s="8" t="s">
        <v>86</v>
      </c>
      <c r="D332" s="11" t="s">
        <v>132</v>
      </c>
      <c r="E332" s="278">
        <f t="shared" si="11"/>
        <v>-0.15359325249713701</v>
      </c>
      <c r="F332" s="278">
        <f t="shared" si="11"/>
        <v>-0.14604553018664362</v>
      </c>
      <c r="G332" s="278">
        <f t="shared" si="11"/>
        <v>-0.1217108174927462</v>
      </c>
      <c r="H332" s="278">
        <f t="shared" si="11"/>
        <v>-7.6832239178960079E-2</v>
      </c>
      <c r="I332" s="278">
        <f t="shared" si="11"/>
        <v>0</v>
      </c>
    </row>
    <row r="333" spans="2:10" x14ac:dyDescent="0.2">
      <c r="C333" s="8" t="s">
        <v>88</v>
      </c>
      <c r="D333" s="11" t="s">
        <v>132</v>
      </c>
      <c r="E333" s="278">
        <f t="shared" si="11"/>
        <v>-0.19969916019164413</v>
      </c>
      <c r="F333" s="278">
        <f t="shared" si="11"/>
        <v>-0.21429373169733087</v>
      </c>
      <c r="G333" s="278">
        <f t="shared" si="11"/>
        <v>-0.20003333820398661</v>
      </c>
      <c r="H333" s="278">
        <f t="shared" si="11"/>
        <v>-0.18256717219736798</v>
      </c>
      <c r="I333" s="278">
        <f t="shared" si="11"/>
        <v>0</v>
      </c>
    </row>
    <row r="334" spans="2:10" x14ac:dyDescent="0.2">
      <c r="C334" s="8" t="s">
        <v>90</v>
      </c>
      <c r="D334" s="11" t="s">
        <v>132</v>
      </c>
      <c r="E334" s="278">
        <f t="shared" si="11"/>
        <v>5.8967644852663655E-2</v>
      </c>
      <c r="F334" s="278">
        <f t="shared" si="11"/>
        <v>5.8311829218745097E-3</v>
      </c>
      <c r="G334" s="278">
        <f t="shared" si="11"/>
        <v>-2.9667371033854337E-2</v>
      </c>
      <c r="H334" s="278">
        <f t="shared" si="11"/>
        <v>-7.2907411727842875E-2</v>
      </c>
      <c r="I334" s="278">
        <f t="shared" si="11"/>
        <v>0</v>
      </c>
    </row>
    <row r="335" spans="2:10" x14ac:dyDescent="0.2">
      <c r="C335" s="8" t="s">
        <v>93</v>
      </c>
      <c r="D335" s="11" t="s">
        <v>132</v>
      </c>
      <c r="E335" s="278">
        <f t="shared" si="11"/>
        <v>0.28411022286441073</v>
      </c>
      <c r="F335" s="278">
        <f t="shared" si="11"/>
        <v>0.34167863403186977</v>
      </c>
      <c r="G335" s="278">
        <f t="shared" si="11"/>
        <v>0.34235119144251436</v>
      </c>
      <c r="H335" s="278">
        <f t="shared" si="11"/>
        <v>0.31338629974271082</v>
      </c>
      <c r="I335" s="278">
        <f t="shared" si="11"/>
        <v>0</v>
      </c>
    </row>
    <row r="336" spans="2:10" x14ac:dyDescent="0.2">
      <c r="C336" s="8" t="s">
        <v>95</v>
      </c>
      <c r="D336" s="11" t="s">
        <v>132</v>
      </c>
      <c r="E336" s="278">
        <f t="shared" si="11"/>
        <v>6.613618456103898E-2</v>
      </c>
      <c r="F336" s="278">
        <f t="shared" si="11"/>
        <v>7.055739282890594E-2</v>
      </c>
      <c r="G336" s="278">
        <f t="shared" si="11"/>
        <v>8.6542823314248007E-2</v>
      </c>
      <c r="H336" s="278">
        <f t="shared" si="11"/>
        <v>0.10502253588439407</v>
      </c>
      <c r="I336" s="278">
        <f t="shared" si="11"/>
        <v>0</v>
      </c>
    </row>
    <row r="337" spans="2:10" x14ac:dyDescent="0.2">
      <c r="C337" s="8" t="s">
        <v>97</v>
      </c>
      <c r="D337" s="11" t="s">
        <v>132</v>
      </c>
      <c r="E337" s="278">
        <f t="shared" si="11"/>
        <v>-3.8821163260186468E-2</v>
      </c>
      <c r="F337" s="278">
        <f t="shared" si="11"/>
        <v>-4.5300250656683146E-2</v>
      </c>
      <c r="G337" s="278">
        <f t="shared" si="11"/>
        <v>-3.0574011206206841E-2</v>
      </c>
      <c r="H337" s="278">
        <f t="shared" si="11"/>
        <v>-1.5631249980451224E-2</v>
      </c>
      <c r="I337" s="278">
        <f t="shared" si="11"/>
        <v>0</v>
      </c>
    </row>
    <row r="338" spans="2:10" x14ac:dyDescent="0.2">
      <c r="C338" s="8" t="s">
        <v>99</v>
      </c>
      <c r="D338" s="11" t="s">
        <v>132</v>
      </c>
      <c r="E338" s="278">
        <f t="shared" si="11"/>
        <v>-0.1199266383231584</v>
      </c>
      <c r="F338" s="278">
        <f t="shared" si="11"/>
        <v>-0.1228412867471626</v>
      </c>
      <c r="G338" s="278">
        <f t="shared" si="11"/>
        <v>-0.10675974477003251</v>
      </c>
      <c r="H338" s="278">
        <f t="shared" si="11"/>
        <v>-7.2009389607536542E-2</v>
      </c>
      <c r="I338" s="278">
        <f t="shared" si="11"/>
        <v>0</v>
      </c>
    </row>
    <row r="339" spans="2:10" x14ac:dyDescent="0.2">
      <c r="C339" s="8" t="s">
        <v>101</v>
      </c>
      <c r="D339" s="11" t="s">
        <v>132</v>
      </c>
      <c r="E339" s="278">
        <f t="shared" si="11"/>
        <v>3.1051954418012963E-3</v>
      </c>
      <c r="F339" s="278">
        <f t="shared" si="11"/>
        <v>-2.7286815750908813E-2</v>
      </c>
      <c r="G339" s="278">
        <f t="shared" si="11"/>
        <v>-1.6894710779187892E-2</v>
      </c>
      <c r="H339" s="278">
        <f t="shared" si="11"/>
        <v>3.790303677311611E-3</v>
      </c>
      <c r="I339" s="278">
        <f t="shared" si="11"/>
        <v>0</v>
      </c>
    </row>
    <row r="340" spans="2:10" x14ac:dyDescent="0.2">
      <c r="C340" s="8" t="s">
        <v>103</v>
      </c>
      <c r="D340" s="11" t="s">
        <v>132</v>
      </c>
      <c r="E340" s="278">
        <f t="shared" si="11"/>
        <v>0.12679601645851848</v>
      </c>
      <c r="F340" s="278">
        <f t="shared" si="11"/>
        <v>0.13722961317516055</v>
      </c>
      <c r="G340" s="278">
        <f t="shared" si="11"/>
        <v>0.15214603893965542</v>
      </c>
      <c r="H340" s="278">
        <f t="shared" si="11"/>
        <v>0.13228822367862264</v>
      </c>
      <c r="I340" s="278">
        <f t="shared" si="11"/>
        <v>0</v>
      </c>
    </row>
    <row r="341" spans="2:10" x14ac:dyDescent="0.2">
      <c r="C341" s="8" t="s">
        <v>105</v>
      </c>
      <c r="D341" s="11" t="s">
        <v>132</v>
      </c>
      <c r="E341" s="278">
        <f t="shared" si="11"/>
        <v>-0.14407410454569003</v>
      </c>
      <c r="F341" s="278">
        <f t="shared" si="11"/>
        <v>-0.15479874510715619</v>
      </c>
      <c r="G341" s="278">
        <f t="shared" si="11"/>
        <v>-0.13568172172967072</v>
      </c>
      <c r="H341" s="278">
        <f xml:space="preserve"> IFERROR( H321 / H281, 0 )</f>
        <v>-9.5207776024237079E-2</v>
      </c>
      <c r="I341" s="278">
        <f t="shared" si="11"/>
        <v>0</v>
      </c>
    </row>
    <row r="342" spans="2:10" x14ac:dyDescent="0.2">
      <c r="C342" s="8" t="s">
        <v>107</v>
      </c>
      <c r="D342" s="11" t="s">
        <v>132</v>
      </c>
      <c r="E342" s="278">
        <f t="shared" si="11"/>
        <v>8.5225241955865089E-2</v>
      </c>
      <c r="F342" s="278">
        <f t="shared" si="11"/>
        <v>8.5987209601649395E-3</v>
      </c>
      <c r="G342" s="278">
        <f t="shared" si="11"/>
        <v>4.0129771876932757E-2</v>
      </c>
      <c r="H342" s="278">
        <f t="shared" si="11"/>
        <v>3.3776013434514883E-2</v>
      </c>
      <c r="I342" s="278">
        <f t="shared" si="11"/>
        <v>0</v>
      </c>
    </row>
    <row r="343" spans="2:10" x14ac:dyDescent="0.2">
      <c r="C343" s="8" t="s">
        <v>111</v>
      </c>
      <c r="D343" s="11" t="s">
        <v>132</v>
      </c>
      <c r="E343" s="278">
        <f t="shared" si="11"/>
        <v>-0.10791455128397098</v>
      </c>
      <c r="F343" s="278">
        <f t="shared" si="11"/>
        <v>-0.16170869101420793</v>
      </c>
      <c r="G343" s="278">
        <f t="shared" si="11"/>
        <v>-0.19203759389671213</v>
      </c>
      <c r="H343" s="278">
        <f t="shared" si="11"/>
        <v>-0.19921386313978784</v>
      </c>
      <c r="I343" s="278">
        <f t="shared" si="11"/>
        <v>0</v>
      </c>
    </row>
    <row r="344" spans="2:10" x14ac:dyDescent="0.2">
      <c r="C344" s="8" t="s">
        <v>113</v>
      </c>
      <c r="D344" s="11" t="s">
        <v>132</v>
      </c>
      <c r="E344" s="278">
        <f t="shared" si="11"/>
        <v>-0.12836385937460545</v>
      </c>
      <c r="F344" s="278">
        <f t="shared" si="11"/>
        <v>-0.13365764866315172</v>
      </c>
      <c r="G344" s="278">
        <f t="shared" si="11"/>
        <v>-0.15131095528134317</v>
      </c>
      <c r="H344" s="278">
        <f t="shared" si="11"/>
        <v>-0.16411554278048079</v>
      </c>
      <c r="I344" s="278">
        <f t="shared" si="11"/>
        <v>0</v>
      </c>
    </row>
    <row r="345" spans="2:10" x14ac:dyDescent="0.2">
      <c r="C345" s="8" t="s">
        <v>109</v>
      </c>
      <c r="D345" s="11" t="s">
        <v>132</v>
      </c>
      <c r="E345" s="278">
        <f t="shared" si="11"/>
        <v>0.17147469503136459</v>
      </c>
      <c r="F345" s="278">
        <f t="shared" si="11"/>
        <v>0.17334106544785258</v>
      </c>
      <c r="G345" s="278">
        <f t="shared" si="11"/>
        <v>0.21564794265124379</v>
      </c>
      <c r="H345" s="278">
        <f t="shared" si="11"/>
        <v>0.27934179077793708</v>
      </c>
      <c r="I345" s="278">
        <f t="shared" si="11"/>
        <v>0</v>
      </c>
    </row>
    <row r="347" spans="2:10" x14ac:dyDescent="0.2">
      <c r="B347" s="187" t="s">
        <v>26</v>
      </c>
      <c r="C347" s="187"/>
      <c r="D347" s="188"/>
      <c r="E347" s="187"/>
      <c r="F347" s="187"/>
      <c r="G347" s="187"/>
      <c r="H347" s="187"/>
      <c r="I347" s="187"/>
      <c r="J347" s="18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Document" ma:contentTypeID="0x010100F4DFDAAAF13D1349B950D9BC3ADF5970" ma:contentTypeVersion="4" ma:contentTypeDescription="Create a new document." ma:contentTypeScope="" ma:versionID="469d4fdb981bbfd801a67b99f793168b">
  <xsd:schema xmlns:xsd="http://www.w3.org/2001/XMLSchema" xmlns:xs="http://www.w3.org/2001/XMLSchema" xmlns:p="http://schemas.microsoft.com/office/2006/metadata/properties" xmlns:ns2="7041854e-4853-44f9-9e63-23b7acad5461" xmlns:ns3="11354919-975d-48ee-8859-4dc7ad3be72c" xmlns:ns4="5caa30ce-0a95-4e58-9252-2de2c94d7d2a" targetNamespace="http://schemas.microsoft.com/office/2006/metadata/properties" ma:root="true" ma:fieldsID="c08878889e7b148a78c0dbfaf31de22f" ns2:_="" ns3:_="" ns4:_="">
    <xsd:import namespace="7041854e-4853-44f9-9e63-23b7acad5461"/>
    <xsd:import namespace="11354919-975d-48ee-8859-4dc7ad3be72c"/>
    <xsd:import namespace="5caa30ce-0a95-4e58-9252-2de2c94d7d2a"/>
    <xsd:element name="properties">
      <xsd:complexType>
        <xsd:sequence>
          <xsd:element name="documentManagement">
            <xsd:complexType>
              <xsd:all>
                <xsd:element ref="ns2:Follow-up" minOccurs="0"/>
                <xsd:element ref="ns3:SharedWithUsers" minOccurs="0"/>
                <xsd:element ref="ns3:SharedWithDetails"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8"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caa30ce-0a95-4e58-9252-2de2c94d7d2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8F1BA4-3EED-4E0B-9A33-94F8B428B767}">
  <ds:schemaRefs>
    <ds:schemaRef ds:uri="http://purl.org/dc/elements/1.1/"/>
    <ds:schemaRef ds:uri="http://schemas.microsoft.com/office/2006/metadata/properties"/>
    <ds:schemaRef ds:uri="7041854e-4853-44f9-9e63-23b7acad5461"/>
    <ds:schemaRef ds:uri="http://purl.org/dc/terms/"/>
    <ds:schemaRef ds:uri="11354919-975d-48ee-8859-4dc7ad3be72c"/>
    <ds:schemaRef ds:uri="http://schemas.microsoft.com/office/2006/documentManagement/types"/>
    <ds:schemaRef ds:uri="5caa30ce-0a95-4e58-9252-2de2c94d7d2a"/>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27C7F2F1-BB11-41BB-BBEF-EAF07960D471}">
  <ds:schemaRefs>
    <ds:schemaRef ds:uri="http://schemas.microsoft.com/sharepoint/v3/contenttype/forms"/>
  </ds:schemaRefs>
</ds:datastoreItem>
</file>

<file path=customXml/itemProps3.xml><?xml version="1.0" encoding="utf-8"?>
<ds:datastoreItem xmlns:ds="http://schemas.openxmlformats.org/officeDocument/2006/customXml" ds:itemID="{647FF2BE-BB2F-45E4-9C15-D71D504B8EE8}">
  <ds:schemaRefs>
    <ds:schemaRef ds:uri="http://schemas.microsoft.com/office/2006/metadata/customXsn"/>
  </ds:schemaRefs>
</ds:datastoreItem>
</file>

<file path=customXml/itemProps4.xml><?xml version="1.0" encoding="utf-8"?>
<ds:datastoreItem xmlns:ds="http://schemas.openxmlformats.org/officeDocument/2006/customXml" ds:itemID="{12887012-8B9B-4B42-8231-8AF5ECF8F6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11354919-975d-48ee-8859-4dc7ad3be72c"/>
    <ds:schemaRef ds:uri="5caa30ce-0a95-4e58-9252-2de2c94d7d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Cover</vt:lpstr>
      <vt:lpstr>Map &amp; Key</vt:lpstr>
      <vt:lpstr>OUTPUT│Summary</vt:lpstr>
      <vt:lpstr>INPUTS│Wholesale Totex</vt:lpstr>
      <vt:lpstr>INPUTS│Residential Retail</vt:lpstr>
      <vt:lpstr>INPUTS│Outcomes</vt:lpstr>
      <vt:lpstr>INPUTS│Performance Commitments</vt:lpstr>
      <vt:lpstr>CALCS│Wholesale Totex</vt:lpstr>
      <vt:lpstr>CALCS│Residential Retail</vt:lpstr>
      <vt:lpstr>CALCS│Outcomes</vt:lpstr>
      <vt:lpstr>CALCS│Performance Commitments</vt:lpstr>
      <vt:lpstr>CALCS│Summary</vt:lpstr>
      <vt:lpstr>OUTPUT│Totex</vt:lpstr>
      <vt:lpstr>OUTPUT│Performance Commitments</vt:lpstr>
      <vt:lpstr>OUTPUT│Outcomes Trends</vt:lpstr>
      <vt:lpstr>Last_year</vt:lpstr>
      <vt:lpstr>Year</vt:lpstr>
    </vt:vector>
  </TitlesOfParts>
  <Manager/>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Miles Evans</dc:creator>
  <cp:keywords/>
  <dc:description/>
  <cp:lastModifiedBy>Miles Evans</cp:lastModifiedBy>
  <cp:revision/>
  <dcterms:created xsi:type="dcterms:W3CDTF">2015-10-14T16:49:04Z</dcterms:created>
  <dcterms:modified xsi:type="dcterms:W3CDTF">2019-10-28T18:31:36Z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0x010100F4DFDAAAF13D1349B950D9BC3ADF5970</vt:lpwstr>
  </property>
</Properties>
</file>