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0" windowWidth="13680" windowHeight="8970" tabRatio="836"/>
  </bookViews>
  <sheets>
    <sheet name="Cover" sheetId="1" r:id="rId1"/>
    <sheet name="Policy decisions" sheetId="4" r:id="rId2"/>
    <sheet name="Company data" sheetId="10" r:id="rId3"/>
    <sheet name="Industry data" sheetId="11" r:id="rId4"/>
    <sheet name="Company score" sheetId="13" r:id="rId5"/>
    <sheet name="Higher payments gates" sheetId="12" r:id="rId6"/>
    <sheet name="Payments" sheetId="14" r:id="rId7"/>
    <sheet name="Outputs" sheetId="7" r:id="rId8"/>
  </sheets>
  <definedNames>
    <definedName name="_xlnm._FilterDatabase" localSheetId="7" hidden="1">Outputs!$E$9:$J$9</definedName>
    <definedName name="Avg_complaints">'Industry data'!$H$112</definedName>
    <definedName name="Billing_propn">'Company data'!$H$30</definedName>
    <definedName name="CES_weighting">'Policy decisions'!$H$10</definedName>
    <definedName name="CMeX_ASUQ">'Industry data'!$H$85</definedName>
    <definedName name="CMeX_dummy_rank">'Industry data'!$K$10:$K$26</definedName>
    <definedName name="CMeX_rank">'Industry data'!$I$10:$I$26</definedName>
    <definedName name="CMeX_scores">'Industry data'!$H$10:$H$26</definedName>
    <definedName name="Company_name">'Company data'!$H$9</definedName>
    <definedName name="Company_names">'Industry data'!$E$10:$E$26</definedName>
    <definedName name="Company_type">'Company data'!$H$13</definedName>
    <definedName name="Complaints">'Industry data'!$H$92:$H$108</definedName>
    <definedName name="CSS_weighting">'Policy decisions'!$H$11</definedName>
    <definedName name="Gate_ranking">'Higher payments gates'!$I$32:$I$48</definedName>
    <definedName name="Gates">'Higher payments gates'!$I$9:$I$25</definedName>
    <definedName name="OCF">'Policy decisions'!$H$25</definedName>
    <definedName name="Ops_waste_propn">'Company data'!$H$32</definedName>
    <definedName name="Ops_water_propn">'Company data'!$H$31</definedName>
    <definedName name="Payments">Payments!$I$10:$I$26</definedName>
    <definedName name="Top_x_CMeX">'Policy decisions'!$H$41</definedName>
    <definedName name="Total_payments">Payments!$K$10:$K$26</definedName>
    <definedName name="UKCSI_scores">'Industry data'!$H$62:$H$78</definedName>
    <definedName name="WASC_billing_weighting">'Policy decisions'!$H$19</definedName>
    <definedName name="WASC_ops_waste_weighting">'Policy decisions'!$H$21</definedName>
    <definedName name="WASC_ops_water_weighting">'Policy decisions'!$H$20</definedName>
    <definedName name="WASC_WOC">#REF!</definedName>
    <definedName name="WOC_billing_weighting">'Policy decisions'!$H$16</definedName>
    <definedName name="WOC_ops_weighting">'Policy decisions'!$H$17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9" i="11" l="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18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9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62" i="11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10" i="7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10" i="14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32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9" i="12"/>
  <c r="H23" i="13" l="1"/>
  <c r="I26" i="11" l="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K10" i="11" l="1"/>
  <c r="K11" i="11" s="1"/>
  <c r="F9" i="12"/>
  <c r="K12" i="11" l="1"/>
  <c r="K13" i="11" s="1"/>
  <c r="F50" i="13"/>
  <c r="F49" i="13"/>
  <c r="F48" i="13"/>
  <c r="K14" i="11" l="1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K15" i="11" l="1"/>
  <c r="K16" i="11" s="1"/>
  <c r="H11" i="13"/>
  <c r="H34" i="11"/>
  <c r="H84" i="11"/>
  <c r="H83" i="11"/>
  <c r="K17" i="11" l="1"/>
  <c r="F34" i="14"/>
  <c r="H33" i="11"/>
  <c r="F33" i="14" s="1"/>
  <c r="H32" i="11"/>
  <c r="F32" i="14" s="1"/>
  <c r="H31" i="11"/>
  <c r="F31" i="14" s="1"/>
  <c r="H30" i="11"/>
  <c r="F30" i="14" s="1"/>
  <c r="F29" i="14"/>
  <c r="F28" i="14"/>
  <c r="K18" i="11" l="1"/>
  <c r="F35" i="14"/>
  <c r="H85" i="11"/>
  <c r="H78" i="13" s="1"/>
  <c r="F36" i="14"/>
  <c r="K19" i="11" l="1"/>
  <c r="K20" i="11" s="1"/>
  <c r="K21" i="11" s="1"/>
  <c r="K22" i="11" s="1"/>
  <c r="K23" i="11" s="1"/>
  <c r="K24" i="11" s="1"/>
  <c r="K25" i="11" s="1"/>
  <c r="K26" i="11" s="1"/>
  <c r="E38" i="11" s="1"/>
  <c r="G23" i="12"/>
  <c r="G19" i="12"/>
  <c r="G15" i="12"/>
  <c r="G11" i="12"/>
  <c r="G10" i="12"/>
  <c r="G14" i="12"/>
  <c r="G24" i="12"/>
  <c r="G20" i="12"/>
  <c r="G9" i="12"/>
  <c r="G16" i="12"/>
  <c r="G17" i="12"/>
  <c r="G25" i="12"/>
  <c r="G18" i="12"/>
  <c r="G13" i="12"/>
  <c r="G12" i="12"/>
  <c r="G21" i="12"/>
  <c r="G22" i="12"/>
  <c r="H42" i="4"/>
  <c r="F26" i="14" l="1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7"/>
  <c r="A1" i="14"/>
  <c r="E70" i="13"/>
  <c r="F61" i="13"/>
  <c r="F60" i="13"/>
  <c r="H55" i="13"/>
  <c r="H61" i="13" s="1"/>
  <c r="F10" i="14" l="1"/>
  <c r="F11" i="7"/>
  <c r="F20" i="7"/>
  <c r="F12" i="7"/>
  <c r="F16" i="7"/>
  <c r="F18" i="7"/>
  <c r="F22" i="7"/>
  <c r="F14" i="7"/>
  <c r="F17" i="7"/>
  <c r="F24" i="7"/>
  <c r="F21" i="7"/>
  <c r="F15" i="7"/>
  <c r="F19" i="7"/>
  <c r="F13" i="7"/>
  <c r="F25" i="7"/>
  <c r="F26" i="7"/>
  <c r="F23" i="7"/>
  <c r="H14" i="14"/>
  <c r="H42" i="13"/>
  <c r="H41" i="13"/>
  <c r="F43" i="13"/>
  <c r="H35" i="13"/>
  <c r="H34" i="13"/>
  <c r="F36" i="13"/>
  <c r="H22" i="13"/>
  <c r="F29" i="13"/>
  <c r="H28" i="13"/>
  <c r="H27" i="13"/>
  <c r="H29" i="13" l="1"/>
  <c r="H30" i="13" s="1"/>
  <c r="G11" i="14"/>
  <c r="G13" i="14"/>
  <c r="G14" i="14"/>
  <c r="G20" i="14"/>
  <c r="G26" i="14"/>
  <c r="G10" i="14"/>
  <c r="G25" i="14"/>
  <c r="G23" i="14"/>
  <c r="G24" i="14"/>
  <c r="G21" i="14"/>
  <c r="G22" i="14"/>
  <c r="G16" i="14"/>
  <c r="G19" i="14"/>
  <c r="G17" i="14"/>
  <c r="G18" i="14"/>
  <c r="G15" i="14"/>
  <c r="G12" i="14"/>
  <c r="H10" i="14"/>
  <c r="I10" i="14" s="1"/>
  <c r="H19" i="14"/>
  <c r="H21" i="14"/>
  <c r="H22" i="14"/>
  <c r="I22" i="14" s="1"/>
  <c r="H11" i="14"/>
  <c r="H13" i="14"/>
  <c r="H24" i="14"/>
  <c r="H20" i="14"/>
  <c r="H16" i="14"/>
  <c r="H12" i="14"/>
  <c r="I12" i="14" s="1"/>
  <c r="H15" i="14"/>
  <c r="H17" i="14"/>
  <c r="H18" i="14"/>
  <c r="H23" i="14"/>
  <c r="H26" i="14"/>
  <c r="H25" i="14"/>
  <c r="H43" i="13"/>
  <c r="H44" i="13" s="1"/>
  <c r="H36" i="13"/>
  <c r="H37" i="13" s="1"/>
  <c r="H10" i="13"/>
  <c r="H15" i="4"/>
  <c r="J16" i="4" s="1"/>
  <c r="H9" i="4"/>
  <c r="H86" i="13"/>
  <c r="H85" i="13"/>
  <c r="H84" i="13"/>
  <c r="A1" i="13"/>
  <c r="F47" i="12"/>
  <c r="F43" i="12"/>
  <c r="F40" i="12"/>
  <c r="F39" i="12"/>
  <c r="A1" i="12"/>
  <c r="F35" i="12" l="1"/>
  <c r="H50" i="13"/>
  <c r="I19" i="14"/>
  <c r="I20" i="14"/>
  <c r="H20" i="7" s="1"/>
  <c r="I13" i="14"/>
  <c r="I15" i="14"/>
  <c r="I24" i="14"/>
  <c r="H10" i="7"/>
  <c r="I23" i="14"/>
  <c r="I21" i="14"/>
  <c r="H24" i="7" s="1"/>
  <c r="I11" i="14"/>
  <c r="I17" i="14"/>
  <c r="H23" i="7" s="1"/>
  <c r="I25" i="14"/>
  <c r="I16" i="14"/>
  <c r="I26" i="14"/>
  <c r="I18" i="14"/>
  <c r="H13" i="7" s="1"/>
  <c r="I14" i="14"/>
  <c r="H25" i="7" s="1"/>
  <c r="H48" i="13"/>
  <c r="H49" i="13"/>
  <c r="H15" i="13"/>
  <c r="H66" i="13" s="1"/>
  <c r="F48" i="12"/>
  <c r="F32" i="12"/>
  <c r="F36" i="12"/>
  <c r="F44" i="12"/>
  <c r="F37" i="12"/>
  <c r="F33" i="12"/>
  <c r="F41" i="12"/>
  <c r="F45" i="12"/>
  <c r="F34" i="12"/>
  <c r="F38" i="12"/>
  <c r="F42" i="12"/>
  <c r="F46" i="12"/>
  <c r="H112" i="11"/>
  <c r="A1" i="11"/>
  <c r="A1" i="10"/>
  <c r="J11" i="4"/>
  <c r="J17" i="4"/>
  <c r="H18" i="4"/>
  <c r="J21" i="4" s="1"/>
  <c r="H15" i="7" l="1"/>
  <c r="H12" i="7"/>
  <c r="H16" i="7"/>
  <c r="H26" i="7"/>
  <c r="H17" i="7"/>
  <c r="H18" i="7"/>
  <c r="H11" i="7"/>
  <c r="H14" i="7"/>
  <c r="H21" i="7"/>
  <c r="H22" i="7"/>
  <c r="H19" i="7"/>
  <c r="H51" i="13"/>
  <c r="H79" i="13"/>
  <c r="H14" i="12"/>
  <c r="H10" i="12"/>
  <c r="I10" i="12" s="1"/>
  <c r="H9" i="12"/>
  <c r="I9" i="12" s="1"/>
  <c r="H23" i="12"/>
  <c r="I23" i="12" s="1"/>
  <c r="H19" i="12"/>
  <c r="H15" i="12"/>
  <c r="H11" i="12"/>
  <c r="I11" i="12" s="1"/>
  <c r="H25" i="12"/>
  <c r="H16" i="12"/>
  <c r="H13" i="12"/>
  <c r="H24" i="12"/>
  <c r="I24" i="12" s="1"/>
  <c r="G47" i="12" s="1"/>
  <c r="H47" i="12" s="1"/>
  <c r="H18" i="12"/>
  <c r="H20" i="12"/>
  <c r="I20" i="12" s="1"/>
  <c r="H17" i="12"/>
  <c r="I17" i="12" s="1"/>
  <c r="G40" i="12" s="1"/>
  <c r="H40" i="12" s="1"/>
  <c r="I40" i="12" s="1"/>
  <c r="H12" i="12"/>
  <c r="H22" i="12"/>
  <c r="H21" i="12"/>
  <c r="H54" i="11"/>
  <c r="H50" i="11"/>
  <c r="H46" i="11"/>
  <c r="H42" i="11"/>
  <c r="H38" i="11"/>
  <c r="E52" i="11"/>
  <c r="E48" i="11"/>
  <c r="E44" i="11"/>
  <c r="E40" i="11"/>
  <c r="H51" i="11"/>
  <c r="H47" i="11"/>
  <c r="H39" i="11"/>
  <c r="E49" i="11"/>
  <c r="E41" i="11"/>
  <c r="H53" i="11"/>
  <c r="H49" i="11"/>
  <c r="H45" i="11"/>
  <c r="H41" i="11"/>
  <c r="E51" i="11"/>
  <c r="E47" i="11"/>
  <c r="E43" i="11"/>
  <c r="E39" i="11"/>
  <c r="H52" i="11"/>
  <c r="H48" i="11"/>
  <c r="H44" i="11"/>
  <c r="H40" i="11"/>
  <c r="E54" i="11"/>
  <c r="E50" i="11"/>
  <c r="E46" i="11"/>
  <c r="E42" i="11"/>
  <c r="H77" i="13"/>
  <c r="H43" i="11"/>
  <c r="E53" i="11"/>
  <c r="E45" i="11"/>
  <c r="H43" i="4"/>
  <c r="J19" i="4"/>
  <c r="J20" i="4"/>
  <c r="J10" i="4"/>
  <c r="G33" i="12" l="1"/>
  <c r="H33" i="12" s="1"/>
  <c r="I33" i="12" s="1"/>
  <c r="G46" i="12"/>
  <c r="H46" i="12" s="1"/>
  <c r="G32" i="12"/>
  <c r="H32" i="12" s="1"/>
  <c r="I32" i="12" s="1"/>
  <c r="H62" i="13"/>
  <c r="H70" i="13" s="1"/>
  <c r="I19" i="12"/>
  <c r="I14" i="12"/>
  <c r="G37" i="12" s="1"/>
  <c r="H37" i="12" s="1"/>
  <c r="I16" i="12"/>
  <c r="G39" i="12" s="1"/>
  <c r="H39" i="12" s="1"/>
  <c r="I39" i="12" s="1"/>
  <c r="I21" i="12"/>
  <c r="G44" i="12" s="1"/>
  <c r="H44" i="12" s="1"/>
  <c r="H80" i="13"/>
  <c r="I22" i="12"/>
  <c r="I15" i="12"/>
  <c r="G38" i="12" s="1"/>
  <c r="H38" i="12" s="1"/>
  <c r="I38" i="12" s="1"/>
  <c r="I25" i="12"/>
  <c r="G48" i="12" s="1"/>
  <c r="H48" i="12" s="1"/>
  <c r="I48" i="12" s="1"/>
  <c r="I13" i="12"/>
  <c r="G36" i="12" s="1"/>
  <c r="H36" i="12" s="1"/>
  <c r="I36" i="12" s="1"/>
  <c r="I12" i="12"/>
  <c r="I18" i="12"/>
  <c r="G41" i="12" s="1"/>
  <c r="H41" i="12" s="1"/>
  <c r="H60" i="13"/>
  <c r="G45" i="12" l="1"/>
  <c r="H45" i="12" s="1"/>
  <c r="I45" i="12" s="1"/>
  <c r="G43" i="12"/>
  <c r="H43" i="12" s="1"/>
  <c r="G42" i="12"/>
  <c r="H42" i="12" s="1"/>
  <c r="I42" i="12" s="1"/>
  <c r="G35" i="12"/>
  <c r="H35" i="12" s="1"/>
  <c r="I47" i="12" s="1"/>
  <c r="G34" i="12"/>
  <c r="H34" i="12" s="1"/>
  <c r="I34" i="12" s="1"/>
  <c r="I41" i="12"/>
  <c r="I37" i="12"/>
  <c r="I44" i="12"/>
  <c r="I43" i="12"/>
  <c r="A1" i="4"/>
  <c r="A1" i="7"/>
  <c r="A1" i="1"/>
  <c r="I46" i="12" l="1"/>
  <c r="I35" i="12"/>
  <c r="E84" i="13" s="1"/>
  <c r="E85" i="13" l="1"/>
  <c r="E86" i="13"/>
  <c r="J21" i="14" l="1"/>
  <c r="K21" i="14" s="1"/>
  <c r="J24" i="14"/>
  <c r="K24" i="14" s="1"/>
  <c r="J19" i="14"/>
  <c r="K19" i="14" s="1"/>
  <c r="J10" i="14"/>
  <c r="K10" i="14" s="1"/>
  <c r="I10" i="7" s="1"/>
  <c r="J10" i="7" s="1"/>
  <c r="J20" i="14"/>
  <c r="K20" i="14" s="1"/>
  <c r="J12" i="14"/>
  <c r="K12" i="14" s="1"/>
  <c r="J14" i="14"/>
  <c r="K14" i="14" s="1"/>
  <c r="J16" i="14"/>
  <c r="K16" i="14" s="1"/>
  <c r="J11" i="14"/>
  <c r="K11" i="14" s="1"/>
  <c r="J23" i="14"/>
  <c r="K23" i="14" s="1"/>
  <c r="J18" i="14"/>
  <c r="K18" i="14" s="1"/>
  <c r="J25" i="14"/>
  <c r="K25" i="14" s="1"/>
  <c r="J22" i="14"/>
  <c r="K22" i="14" s="1"/>
  <c r="J13" i="14"/>
  <c r="K13" i="14" s="1"/>
  <c r="H90" i="13"/>
  <c r="J26" i="14"/>
  <c r="K26" i="14" s="1"/>
  <c r="J15" i="14"/>
  <c r="K15" i="14" s="1"/>
  <c r="J17" i="14"/>
  <c r="K17" i="14" s="1"/>
  <c r="I24" i="7" l="1"/>
  <c r="J24" i="7" s="1"/>
  <c r="I21" i="7"/>
  <c r="J21" i="7" s="1"/>
  <c r="I23" i="7"/>
  <c r="J23" i="7" s="1"/>
  <c r="I14" i="7"/>
  <c r="J14" i="7" s="1"/>
  <c r="I20" i="7"/>
  <c r="J20" i="7" s="1"/>
  <c r="I12" i="7"/>
  <c r="J12" i="7" s="1"/>
  <c r="I15" i="7"/>
  <c r="J15" i="7" s="1"/>
  <c r="I19" i="7"/>
  <c r="J19" i="7" s="1"/>
  <c r="I22" i="7"/>
  <c r="J22" i="7" s="1"/>
  <c r="I26" i="7"/>
  <c r="J26" i="7" s="1"/>
  <c r="I13" i="7"/>
  <c r="J13" i="7" s="1"/>
  <c r="I18" i="7"/>
  <c r="J18" i="7" s="1"/>
  <c r="I17" i="7"/>
  <c r="J17" i="7" s="1"/>
  <c r="I11" i="7"/>
  <c r="J11" i="7" s="1"/>
  <c r="I25" i="7"/>
  <c r="J25" i="7" s="1"/>
  <c r="I16" i="7"/>
  <c r="J16" i="7" s="1"/>
</calcChain>
</file>

<file path=xl/sharedStrings.xml><?xml version="1.0" encoding="utf-8"?>
<sst xmlns="http://schemas.openxmlformats.org/spreadsheetml/2006/main" count="544" uniqueCount="241">
  <si>
    <t>Workbook title:</t>
  </si>
  <si>
    <t>Version:</t>
  </si>
  <si>
    <t>Filename:</t>
  </si>
  <si>
    <t>Date:</t>
  </si>
  <si>
    <t>Author:</t>
  </si>
  <si>
    <t>Ofwat</t>
  </si>
  <si>
    <t>Author contact information:</t>
  </si>
  <si>
    <t>PR19@ofwat.gov.uk</t>
  </si>
  <si>
    <t>Summary of workbook:</t>
  </si>
  <si>
    <t>Known limitations:</t>
  </si>
  <si>
    <t>Instructions:</t>
  </si>
  <si>
    <t>Feedback:</t>
  </si>
  <si>
    <t>We would welcome feedback on this workbook. Please send any feedback to the following email address:</t>
  </si>
  <si>
    <t>END OF SHEET</t>
  </si>
  <si>
    <t>This worksheet is used to enter Ofwat policy decisions that are fixed over the price control</t>
  </si>
  <si>
    <t>Source</t>
  </si>
  <si>
    <t>Units</t>
  </si>
  <si>
    <t>Value</t>
  </si>
  <si>
    <t>Policy decision inputs (fixed over price control)</t>
  </si>
  <si>
    <t>WEIGHTINGS</t>
  </si>
  <si>
    <t>Calculation of C-MeX</t>
  </si>
  <si>
    <t>What is the weighting attached to each component of the C-MeX calculation?</t>
  </si>
  <si>
    <t>CSAT Customer Experience Survey</t>
  </si>
  <si>
    <t>Policy decision</t>
  </si>
  <si>
    <t>%</t>
  </si>
  <si>
    <t>CSAT Customer Service Survey</t>
  </si>
  <si>
    <t>Weighting</t>
  </si>
  <si>
    <t>WOC</t>
  </si>
  <si>
    <t>Billing</t>
  </si>
  <si>
    <t>Operations</t>
  </si>
  <si>
    <t>WASC</t>
  </si>
  <si>
    <t>Operations - water</t>
  </si>
  <si>
    <t>Operations - wastewater</t>
  </si>
  <si>
    <t>Online correction factor</t>
  </si>
  <si>
    <t>What is the online correction factor to be added to online scores?</t>
  </si>
  <si>
    <t>Available contact channels</t>
  </si>
  <si>
    <t>Points deduction for fewer than required number of contact channels</t>
  </si>
  <si>
    <t>Required total number of contact channels</t>
  </si>
  <si>
    <t>#</t>
  </si>
  <si>
    <t>Required number of online contact channels</t>
  </si>
  <si>
    <t>Points deduction for fewer than required number</t>
  </si>
  <si>
    <t>#, 0-100</t>
  </si>
  <si>
    <t>MAXIMUM AND MINIMUM REWARD PAYMENTS</t>
  </si>
  <si>
    <t>Maximum outperformance payment</t>
  </si>
  <si>
    <t>Maximum underperformance payment</t>
  </si>
  <si>
    <t>GATES FOR HIGHER PERFORMANCE PAYMENTS</t>
  </si>
  <si>
    <t>Gates to pass</t>
  </si>
  <si>
    <t>What are the gates that must be passed to achieve higher performance payments?</t>
  </si>
  <si>
    <t>One of the top 'x' performers on C-MeX</t>
  </si>
  <si>
    <t>#, 1-17</t>
  </si>
  <si>
    <t>Threshold for UKCSI customer satisfaction</t>
  </si>
  <si>
    <t>Text</t>
  </si>
  <si>
    <t>Lower than the industry average ('x') for household complaints</t>
  </si>
  <si>
    <t>Company data</t>
  </si>
  <si>
    <t>#, 0-10,000</t>
  </si>
  <si>
    <t>Higher performance payments for top-ranked companies</t>
  </si>
  <si>
    <t>What are the payments that the top 'x' ranked companies can achieve?</t>
  </si>
  <si>
    <t>Top-ranked company</t>
  </si>
  <si>
    <t>Second-ranked company</t>
  </si>
  <si>
    <t>Third-ranked company</t>
  </si>
  <si>
    <t>This worksheet allows companies to input the company-specific data that generates their individual score</t>
  </si>
  <si>
    <t>Company annual scores</t>
  </si>
  <si>
    <t>COMPANY NAME</t>
  </si>
  <si>
    <t>Select the company name from the drop-down list</t>
  </si>
  <si>
    <t>Company name</t>
  </si>
  <si>
    <t>Company</t>
  </si>
  <si>
    <t>Name</t>
  </si>
  <si>
    <t>COMPANY TYPE</t>
  </si>
  <si>
    <t>Is the nominated company a WASC or a WOC?</t>
  </si>
  <si>
    <t>Company type</t>
  </si>
  <si>
    <t>CUSTOMER SERVICE SURVEY</t>
  </si>
  <si>
    <t>Enter the annual scores for each component in the billing calculations</t>
  </si>
  <si>
    <t>Telephone billing</t>
  </si>
  <si>
    <t>Agent</t>
  </si>
  <si>
    <t>Online billing</t>
  </si>
  <si>
    <t>Enter the annual scores for each component in the operations calculations</t>
  </si>
  <si>
    <t>Telephone water operations</t>
  </si>
  <si>
    <t>Online water operations</t>
  </si>
  <si>
    <t>Telephone wastewater operations</t>
  </si>
  <si>
    <t>Online wastewater operations</t>
  </si>
  <si>
    <t>Proportion of online contacts</t>
  </si>
  <si>
    <t xml:space="preserve">Enter the proportion of online contacts </t>
  </si>
  <si>
    <t>Billing - proportion of online contacts</t>
  </si>
  <si>
    <t>Operations - water - proportion of online contacts</t>
  </si>
  <si>
    <t>Operations - wastewater - proportion of online contacts</t>
  </si>
  <si>
    <t>CUSTOMER EXPERIENCE SURVEY</t>
  </si>
  <si>
    <t>Enter the customer experience survey score</t>
  </si>
  <si>
    <t>Customer experience survey score</t>
  </si>
  <si>
    <t>CONTACT CHANNELS AVAILABLE</t>
  </si>
  <si>
    <t>How many contact channels has the company made available</t>
  </si>
  <si>
    <t>Total contact channels</t>
  </si>
  <si>
    <t>Online contact channels</t>
  </si>
  <si>
    <t>This worksheet presents summary data for all companies in the industry individually</t>
  </si>
  <si>
    <t>Rank</t>
  </si>
  <si>
    <t>Annual company C-MeX scores</t>
  </si>
  <si>
    <t>ANNUAL C-MEX SCORES</t>
  </si>
  <si>
    <t>All company C-MeX scores</t>
  </si>
  <si>
    <t>Enter the annual C-MeX score for each company</t>
  </si>
  <si>
    <t>Statistical measures of C-MeX scores</t>
  </si>
  <si>
    <t>Calculates various statistical measures for company C-MeX scores</t>
  </si>
  <si>
    <t>Mean score</t>
  </si>
  <si>
    <t>Median score</t>
  </si>
  <si>
    <t>Maximum score</t>
  </si>
  <si>
    <t>Minimum score</t>
  </si>
  <si>
    <t>Standard deviation of scores</t>
  </si>
  <si>
    <t>Ranked C-MeX scores</t>
  </si>
  <si>
    <t>C-MeX scores ranked by company score; those companies meeting C-MeX top 'x' company gate for higher payment threshold highlighted in green</t>
  </si>
  <si>
    <t>Annual company UKCSI score</t>
  </si>
  <si>
    <t>COMPANY UKCSI SCORE</t>
  </si>
  <si>
    <t>Company UKCSI scores</t>
  </si>
  <si>
    <t>Enter each company's relevant UKCSI score; those companies exceeding the C-MeX ASUQ higher payment threshold highlighted in green</t>
  </si>
  <si>
    <t>Calculation of C-MeX ASUQ</t>
  </si>
  <si>
    <t>Statistics and calculations to determine C-MeX ASUQ</t>
  </si>
  <si>
    <t>Upper quartile of all sector UKCSI scores</t>
  </si>
  <si>
    <t>Mean of water company UKCSI scores</t>
  </si>
  <si>
    <t>Standard deviation of water company UKCSI scores</t>
  </si>
  <si>
    <t>C-MeX ASUQ threshold</t>
  </si>
  <si>
    <t>Annual company complaints per 10,000 customers</t>
  </si>
  <si>
    <t>NUMBER OF COMPANY COMPLAINTS</t>
  </si>
  <si>
    <t>Number of complaints</t>
  </si>
  <si>
    <t>Enter the annual number of complaints per 10,000 customers; those companies meeting lower than industry average higher payment threshold highlighted in green</t>
  </si>
  <si>
    <t>Companies</t>
  </si>
  <si>
    <t>Average number of complaints</t>
  </si>
  <si>
    <t>Calculates the average number of household complaints for the industry</t>
  </si>
  <si>
    <t>Industry average number of household complaints</t>
  </si>
  <si>
    <t>Company annual allowed residential retail revenue</t>
  </si>
  <si>
    <t>Allowed revenue</t>
  </si>
  <si>
    <t>Enter each company's annual allowed residential retail revenue for the year of performance</t>
  </si>
  <si>
    <t>£m</t>
  </si>
  <si>
    <t>This worksheet calculates a company's individual score</t>
  </si>
  <si>
    <t>Contact channel payment calculator</t>
  </si>
  <si>
    <t>CONTACT CHANNEL PAYMENT CALCULATOR</t>
  </si>
  <si>
    <t>Achieving the required number of contact channels</t>
  </si>
  <si>
    <t>Did the company achieve the required number of contact channels</t>
  </si>
  <si>
    <t>Payment deduction for not achieving required number of contact channels</t>
  </si>
  <si>
    <t>How many points are deducted from the company's score for their contact channel achievement?</t>
  </si>
  <si>
    <t>Points deduction</t>
  </si>
  <si>
    <t>C-MeX CSAT score calculator</t>
  </si>
  <si>
    <t>CUSTOMER SERVICE SURVEY SCORE CALCULATION</t>
  </si>
  <si>
    <t>Constant</t>
  </si>
  <si>
    <t>Unit</t>
  </si>
  <si>
    <t>Company name and type</t>
  </si>
  <si>
    <t>Descriptive information of the company</t>
  </si>
  <si>
    <t>Billing score</t>
  </si>
  <si>
    <t>Calculation of the billing component of the CSS score</t>
  </si>
  <si>
    <t>Adjusted online billing</t>
  </si>
  <si>
    <t>Total billing score</t>
  </si>
  <si>
    <t>Operations score - water</t>
  </si>
  <si>
    <t>Calculation of the water operations component of the CSS score</t>
  </si>
  <si>
    <t>Adjusted water operations</t>
  </si>
  <si>
    <t>Total water operations score</t>
  </si>
  <si>
    <t>Operations score - wastewater</t>
  </si>
  <si>
    <t>Calculation of the wastewater operations component of the CSS score</t>
  </si>
  <si>
    <t>Adjusted wastewater operations</t>
  </si>
  <si>
    <t>Total wastewater operations score</t>
  </si>
  <si>
    <t>Total customer service survey score</t>
  </si>
  <si>
    <t>Calculation of the total customer service survey score (before adjustments)</t>
  </si>
  <si>
    <t>Billing weighting and score</t>
  </si>
  <si>
    <t>Operations water weighting and score</t>
  </si>
  <si>
    <t>Operations wastewater weighting and score</t>
  </si>
  <si>
    <t>CUSTOMER EXPERIENCE SURVEY SCORE CALCULATION</t>
  </si>
  <si>
    <t>Customer service survey score</t>
  </si>
  <si>
    <t>Total customer experience score</t>
  </si>
  <si>
    <t>TOTAL C-MEX SCORE CALCULATION</t>
  </si>
  <si>
    <t>C-MeX score prior to deductions</t>
  </si>
  <si>
    <t>Calculates the total C-MeX score for a company before any deductions are incorporated</t>
  </si>
  <si>
    <t>C-MeX score after deductions</t>
  </si>
  <si>
    <t>Calculates the total C-MeX score for a company after any deductions are incorporated</t>
  </si>
  <si>
    <t>Higher threshold payment calculator</t>
  </si>
  <si>
    <t>Higher threshold payment calculations</t>
  </si>
  <si>
    <t>Meeting gates for higher threshold payments</t>
  </si>
  <si>
    <t>Has the company met the gates required for higher threshold payments?</t>
  </si>
  <si>
    <t>Y/N</t>
  </si>
  <si>
    <t>Meet all three gates</t>
  </si>
  <si>
    <t>Companies achieving higher threshold payments</t>
  </si>
  <si>
    <t>Which three companies to meet the gates have the highest CMeX scores?</t>
  </si>
  <si>
    <t>Company higher threshold payment achieved</t>
  </si>
  <si>
    <t>What higher threshold payment does the company qualify for?</t>
  </si>
  <si>
    <t>Higher threshold payment</t>
  </si>
  <si>
    <t>Calculates whether companies meet the three gates for higher performance payments</t>
  </si>
  <si>
    <t>Companies meeting gates for higher payments</t>
  </si>
  <si>
    <t>COMPANIES MEETING THREE GATES</t>
  </si>
  <si>
    <t>Did the company meet all gates for higher payment gates?</t>
  </si>
  <si>
    <t>Top 3 C-MeX</t>
  </si>
  <si>
    <t>UKCSI threshold</t>
  </si>
  <si>
    <t>Low complaints</t>
  </si>
  <si>
    <t>All three gates</t>
  </si>
  <si>
    <t>Ranking of companies to achieve three gates for higher payments</t>
  </si>
  <si>
    <t>RANKINGS OF COMPANIES TO ACHIEVE ALL THREE GATES</t>
  </si>
  <si>
    <t>Calculations of ranking of companies to achieve all three gates for higher threshold payments</t>
  </si>
  <si>
    <t>CMeX score</t>
  </si>
  <si>
    <t>Meet all three gates?</t>
  </si>
  <si>
    <t>Qualifying score</t>
  </si>
  <si>
    <t>Ranking of achievers</t>
  </si>
  <si>
    <t>This worksheet calculates the performance payments for each company</t>
  </si>
  <si>
    <t>Calculation of outperformance and underperformance payments</t>
  </si>
  <si>
    <t>PAYMENT CALCULATION</t>
  </si>
  <si>
    <t>Calculates the payment for each company based on C-MeX scores</t>
  </si>
  <si>
    <t>Score</t>
  </si>
  <si>
    <t>Difference from median</t>
  </si>
  <si>
    <t>Standard payment</t>
  </si>
  <si>
    <t>Higher performance payment</t>
  </si>
  <si>
    <t>Total performance payment</t>
  </si>
  <si>
    <t>Maximum payment</t>
  </si>
  <si>
    <t>Minimum payment</t>
  </si>
  <si>
    <t>Outperformance payment - % revenue per score</t>
  </si>
  <si>
    <t>Underperformance payment - % revenue per score</t>
  </si>
  <si>
    <t>This worksheet presents the key outputs from the rate calculator</t>
  </si>
  <si>
    <t>Summary table of C-MeX scores and performance payment adjustments</t>
  </si>
  <si>
    <t>SUMMARY TABLE OF SCORES AND PERFORMANCE PAYMENT ADJUSTMENTS</t>
  </si>
  <si>
    <t>Performance payments</t>
  </si>
  <si>
    <t>C-MeX score</t>
  </si>
  <si>
    <t>Standard (%)</t>
  </si>
  <si>
    <t>Total (%)</t>
  </si>
  <si>
    <t>Total (£m)</t>
  </si>
  <si>
    <t>Affinity Water</t>
  </si>
  <si>
    <t>Anglian Water</t>
  </si>
  <si>
    <t>Bristol Water</t>
  </si>
  <si>
    <t>Dŵr Cymru</t>
  </si>
  <si>
    <t>Hafren Dyfrdwy</t>
  </si>
  <si>
    <t>Northumbrian Water</t>
  </si>
  <si>
    <t>Portsmouth Water</t>
  </si>
  <si>
    <t>SES Water</t>
  </si>
  <si>
    <t>Severn Trent Water</t>
  </si>
  <si>
    <t>South East Water</t>
  </si>
  <si>
    <t>South Staffs Water</t>
  </si>
  <si>
    <t>South West Water</t>
  </si>
  <si>
    <t>Southern Water</t>
  </si>
  <si>
    <t>Thames Water</t>
  </si>
  <si>
    <t>United Utilities</t>
  </si>
  <si>
    <t>Wessex Water</t>
  </si>
  <si>
    <t>Yorkshire Water</t>
  </si>
  <si>
    <t>WASC or WOC</t>
  </si>
  <si>
    <t>NA</t>
  </si>
  <si>
    <t>Use 'Company data' and 'Compare score' to illustrate how weightings work in C-MeX.
'Industry data' is to be used by Ofwat to set financial C-MeX payments based on how companies perform relative to each other.</t>
  </si>
  <si>
    <t>This model shows how a company can calculate its C-MeX score based on our policy decisions relating to weightings. It also shows how we intend to reconcile outperformance and underperformance payments during our in-period reconciliation of C-MeX.
See our policy decisions in 'PR19 final determinations: Customer measure of experience (C-MeX) and developer services measure of experience (D-MeX) policy appendix'.</t>
  </si>
  <si>
    <t>December 2019</t>
  </si>
  <si>
    <t>v1.0</t>
  </si>
  <si>
    <t>C-MeX PR19 reconciliation model</t>
  </si>
  <si>
    <t>What are the maximum and minimum payments for C-MeX?</t>
  </si>
  <si>
    <t>UKCSI/Ofwat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</si>
</sst>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;&quot;-  &quot;;&quot; &quot;@&quot; &quot;"/>
    <numFmt numFmtId="165" formatCode="0.0"/>
    <numFmt numFmtId="166" formatCode="0.000"/>
  </numFmts>
  <fonts count="24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24"/>
      <color theme="0"/>
      <name val="Franklin Gothic Demi"/>
      <family val="2"/>
    </font>
    <font>
      <sz val="10"/>
      <color theme="1"/>
      <name val="Arial"/>
      <family val="2"/>
    </font>
    <font>
      <sz val="11"/>
      <color theme="1"/>
      <name val="Franklin Gothic Demi"/>
      <family val="2"/>
    </font>
    <font>
      <sz val="10"/>
      <color theme="1"/>
      <name val="Franklin Gothic Demi"/>
      <family val="2"/>
    </font>
    <font>
      <sz val="10"/>
      <color rgb="FF0078C9"/>
      <name val="Arial"/>
      <family val="2"/>
    </font>
    <font>
      <sz val="10"/>
      <color theme="0"/>
      <name val="Franklin Gothic Dem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78C9"/>
      <name val="Franklin Gothic Demi"/>
      <family val="2"/>
    </font>
    <font>
      <sz val="10"/>
      <color rgb="FFFE4819"/>
      <name val="Arial"/>
      <family val="2"/>
    </font>
    <font>
      <sz val="10"/>
      <color rgb="FF719500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u/>
      <sz val="10"/>
      <color theme="10"/>
      <name val="Arial"/>
      <family val="2"/>
    </font>
    <font>
      <sz val="12"/>
      <color theme="0"/>
      <name val="Franklin Gothic Demi"/>
      <family val="2"/>
    </font>
    <font>
      <u/>
      <sz val="12"/>
      <color theme="0"/>
      <name val="Franklin Gothic Demi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CEABF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7FBBE4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/>
      </top>
      <bottom/>
      <diagonal/>
    </border>
  </borders>
  <cellStyleXfs count="28">
    <xf numFmtId="0" fontId="0" fillId="0" borderId="0"/>
    <xf numFmtId="0" fontId="2" fillId="11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3" fillId="6" borderId="0" applyNumberFormat="0" applyAlignment="0" applyProtection="0"/>
    <xf numFmtId="0" fontId="3" fillId="0" borderId="0" applyNumberFormat="0" applyBorder="0" applyAlignment="0" applyProtection="0"/>
    <xf numFmtId="0" fontId="3" fillId="0" borderId="0" applyNumberFormat="0" applyBorder="0" applyAlignment="0" applyProtection="0"/>
    <xf numFmtId="0" fontId="6" fillId="0" borderId="0" applyNumberFormat="0" applyBorder="0" applyAlignment="0" applyProtection="0"/>
    <xf numFmtId="164" fontId="8" fillId="9" borderId="0" applyAlignment="0" applyProtection="0"/>
    <xf numFmtId="0" fontId="7" fillId="9" borderId="0" applyNumberFormat="0" applyBorder="0" applyAlignment="0" applyProtection="0"/>
    <xf numFmtId="0" fontId="12" fillId="5" borderId="0" applyNumberFormat="0" applyFill="0" applyAlignment="0" applyProtection="0"/>
    <xf numFmtId="0" fontId="12" fillId="0" borderId="0" applyNumberFormat="0" applyBorder="0" applyAlignment="0" applyProtection="0"/>
    <xf numFmtId="0" fontId="1" fillId="0" borderId="1" applyNumberFormat="0" applyFill="0" applyAlignment="0" applyProtection="0"/>
    <xf numFmtId="0" fontId="3" fillId="7" borderId="0" applyNumberFormat="0" applyBorder="0" applyAlignment="0" applyProtection="0"/>
    <xf numFmtId="0" fontId="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Font="0" applyBorder="0" applyAlignment="0" applyProtection="0"/>
    <xf numFmtId="0" fontId="10" fillId="10" borderId="0" applyNumberFormat="0" applyAlignment="0" applyProtection="0"/>
    <xf numFmtId="0" fontId="3" fillId="13" borderId="0" applyNumberFormat="0" applyBorder="0" applyAlignment="0" applyProtection="0"/>
    <xf numFmtId="0" fontId="11" fillId="0" borderId="0" applyNumberFormat="0" applyBorder="0" applyAlignment="0" applyProtection="0"/>
    <xf numFmtId="0" fontId="7" fillId="11" borderId="0" applyNumberFormat="0" applyAlignment="0" applyProtection="0"/>
    <xf numFmtId="0" fontId="15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2"/>
    <xf numFmtId="0" fontId="5" fillId="0" borderId="0" xfId="3"/>
    <xf numFmtId="0" fontId="2" fillId="11" borderId="0" xfId="1"/>
    <xf numFmtId="0" fontId="12" fillId="0" borderId="0" xfId="16"/>
    <xf numFmtId="0" fontId="3" fillId="6" borderId="0" xfId="9"/>
    <xf numFmtId="0" fontId="6" fillId="0" borderId="0" xfId="12"/>
    <xf numFmtId="0" fontId="10" fillId="10" borderId="0" xfId="22"/>
    <xf numFmtId="0" fontId="0" fillId="0" borderId="0" xfId="0"/>
    <xf numFmtId="0" fontId="7" fillId="11" borderId="0" xfId="25"/>
    <xf numFmtId="0" fontId="15" fillId="0" borderId="0" xfId="26"/>
    <xf numFmtId="0" fontId="16" fillId="11" borderId="0" xfId="0" applyFont="1" applyFill="1"/>
    <xf numFmtId="0" fontId="17" fillId="11" borderId="0" xfId="26" applyFont="1" applyFill="1"/>
    <xf numFmtId="0" fontId="16" fillId="11" borderId="2" xfId="0" applyFont="1" applyFill="1" applyBorder="1"/>
    <xf numFmtId="0" fontId="16" fillId="12" borderId="0" xfId="0" applyFont="1" applyFill="1"/>
    <xf numFmtId="9" fontId="3" fillId="6" borderId="0" xfId="27" applyFill="1"/>
    <xf numFmtId="0" fontId="5" fillId="0" borderId="0" xfId="3" applyFill="1"/>
    <xf numFmtId="0" fontId="19" fillId="0" borderId="0" xfId="0" applyFont="1"/>
    <xf numFmtId="0" fontId="21" fillId="0" borderId="0" xfId="0" applyFont="1"/>
    <xf numFmtId="9" fontId="0" fillId="0" borderId="0" xfId="0" applyNumberFormat="1"/>
    <xf numFmtId="9" fontId="8" fillId="0" borderId="0" xfId="0" applyNumberFormat="1" applyFont="1"/>
    <xf numFmtId="0" fontId="18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0" xfId="0" applyFont="1"/>
    <xf numFmtId="2" fontId="3" fillId="6" borderId="0" xfId="9" applyNumberFormat="1"/>
    <xf numFmtId="1" fontId="3" fillId="6" borderId="0" xfId="9" applyNumberFormat="1"/>
    <xf numFmtId="0" fontId="0" fillId="0" borderId="0" xfId="0" applyFill="1"/>
    <xf numFmtId="0" fontId="0" fillId="0" borderId="0" xfId="0" applyNumberFormat="1" applyFill="1"/>
    <xf numFmtId="9" fontId="3" fillId="0" borderId="0" xfId="27" applyFill="1"/>
    <xf numFmtId="1" fontId="3" fillId="6" borderId="0" xfId="9" applyNumberFormat="1" applyFill="1"/>
    <xf numFmtId="0" fontId="3" fillId="6" borderId="0" xfId="9" applyFill="1"/>
    <xf numFmtId="2" fontId="0" fillId="0" borderId="0" xfId="0" applyNumberFormat="1"/>
    <xf numFmtId="2" fontId="0" fillId="0" borderId="0" xfId="0" applyNumberFormat="1" applyFill="1"/>
    <xf numFmtId="10" fontId="6" fillId="0" borderId="0" xfId="27" applyNumberFormat="1" applyFont="1"/>
    <xf numFmtId="2" fontId="18" fillId="0" borderId="0" xfId="0" applyNumberFormat="1" applyFont="1" applyFill="1"/>
    <xf numFmtId="2" fontId="18" fillId="0" borderId="0" xfId="0" applyNumberFormat="1" applyFont="1"/>
    <xf numFmtId="10" fontId="3" fillId="6" borderId="0" xfId="27" applyNumberFormat="1" applyFill="1"/>
    <xf numFmtId="2" fontId="6" fillId="7" borderId="0" xfId="19" applyNumberFormat="1"/>
    <xf numFmtId="2" fontId="3" fillId="6" borderId="0" xfId="9" applyNumberFormat="1" applyFill="1"/>
    <xf numFmtId="1" fontId="0" fillId="0" borderId="0" xfId="0" applyNumberFormat="1" applyFill="1"/>
    <xf numFmtId="1" fontId="22" fillId="0" borderId="0" xfId="24" applyNumberFormat="1" applyFont="1" applyFill="1"/>
    <xf numFmtId="2" fontId="6" fillId="7" borderId="0" xfId="19" applyNumberFormat="1" applyFill="1"/>
    <xf numFmtId="9" fontId="6" fillId="0" borderId="0" xfId="27" applyFont="1" applyFill="1"/>
    <xf numFmtId="0" fontId="2" fillId="11" borderId="0" xfId="1" applyFill="1"/>
    <xf numFmtId="10" fontId="6" fillId="0" borderId="0" xfId="27" applyNumberFormat="1" applyFont="1" applyFill="1"/>
    <xf numFmtId="2" fontId="6" fillId="0" borderId="0" xfId="12" applyNumberFormat="1" applyFill="1"/>
    <xf numFmtId="0" fontId="8" fillId="0" borderId="0" xfId="0" applyFont="1" applyFill="1"/>
    <xf numFmtId="2" fontId="20" fillId="0" borderId="0" xfId="0" applyNumberFormat="1" applyFont="1" applyFill="1"/>
    <xf numFmtId="165" fontId="3" fillId="6" borderId="0" xfId="9" applyNumberFormat="1" applyFill="1"/>
    <xf numFmtId="165" fontId="0" fillId="0" borderId="0" xfId="0" applyNumberFormat="1"/>
    <xf numFmtId="165" fontId="22" fillId="0" borderId="0" xfId="24" applyNumberFormat="1" applyFont="1" applyFill="1"/>
    <xf numFmtId="166" fontId="3" fillId="6" borderId="0" xfId="9" applyNumberFormat="1" applyFill="1"/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24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8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10" fillId="10" borderId="0" xfId="22" applyAlignment="1">
      <alignment horizontal="center"/>
    </xf>
    <xf numFmtId="0" fontId="7" fillId="11" borderId="0" xfId="25" applyAlignment="1">
      <alignment horizontal="center"/>
    </xf>
    <xf numFmtId="0" fontId="2" fillId="11" borderId="0" xfId="1" applyAlignment="1">
      <alignment horizontal="center"/>
    </xf>
    <xf numFmtId="0" fontId="18" fillId="0" borderId="0" xfId="0" applyFont="1" applyAlignment="1">
      <alignment horizontal="center"/>
    </xf>
    <xf numFmtId="0" fontId="2" fillId="11" borderId="0" xfId="1" applyAlignment="1">
      <alignment horizontal="center" vertical="center"/>
    </xf>
    <xf numFmtId="0" fontId="10" fillId="10" borderId="0" xfId="22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11" borderId="0" xfId="25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" fontId="6" fillId="0" borderId="0" xfId="0" applyNumberFormat="1" applyFont="1" applyFill="1"/>
    <xf numFmtId="2" fontId="6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11" borderId="0" xfId="25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10" fontId="0" fillId="0" borderId="0" xfId="27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0" borderId="0" xfId="27" applyNumberFormat="1" applyFont="1" applyFill="1" applyAlignment="1">
      <alignment horizontal="right"/>
    </xf>
    <xf numFmtId="10" fontId="6" fillId="0" borderId="0" xfId="27" applyNumberFormat="1" applyFont="1" applyFill="1" applyAlignment="1">
      <alignment horizontal="right"/>
    </xf>
    <xf numFmtId="166" fontId="6" fillId="0" borderId="0" xfId="27" applyNumberFormat="1" applyFont="1" applyFill="1" applyAlignment="1">
      <alignment horizontal="right"/>
    </xf>
    <xf numFmtId="1" fontId="20" fillId="0" borderId="0" xfId="0" applyNumberFormat="1" applyFont="1" applyFill="1"/>
    <xf numFmtId="0" fontId="0" fillId="6" borderId="0" xfId="0" applyFill="1"/>
    <xf numFmtId="0" fontId="0" fillId="6" borderId="0" xfId="9" applyFont="1"/>
    <xf numFmtId="0" fontId="0" fillId="0" borderId="0" xfId="0" applyAlignment="1">
      <alignment vertical="top" wrapText="1"/>
    </xf>
    <xf numFmtId="0" fontId="4" fillId="0" borderId="0" xfId="2" applyAlignment="1">
      <alignment vertical="top"/>
    </xf>
    <xf numFmtId="0" fontId="16" fillId="11" borderId="0" xfId="0" quotePrefix="1" applyNumberFormat="1" applyFont="1" applyFill="1" applyAlignment="1">
      <alignment horizontal="left"/>
    </xf>
  </cellXfs>
  <cellStyles count="28">
    <cellStyle name="Bad" xfId="7" builtinId="27" customBuiltin="1"/>
    <cellStyle name="Between-worksheet counter-flow" xfId="19"/>
    <cellStyle name="Calculation" xfId="11" builtinId="22" customBuiltin="1"/>
    <cellStyle name="Check Cell" xfId="13" builtinId="23" customBuiltin="1"/>
    <cellStyle name="Empty cell" xfId="21"/>
    <cellStyle name="End of sheet" xfId="25"/>
    <cellStyle name="Explanatory Text" xfId="16" builtinId="53" customBuiltin="1"/>
    <cellStyle name="Exported to another sheet or section" xfId="24"/>
    <cellStyle name="Good" xfId="6" builtinId="26" customBuiltin="1"/>
    <cellStyle name="Hard coded output" xfId="20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2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hidden="1" customBuiltin="1"/>
    <cellStyle name="Output" xfId="10" builtinId="21" customBuiltin="1"/>
    <cellStyle name="Percent" xfId="27" builtinId="5"/>
    <cellStyle name="Section separator" xfId="22"/>
    <cellStyle name="Title" xfId="1" builtinId="15" customBuiltin="1"/>
    <cellStyle name="To be reviewed or discussed" xfId="23"/>
    <cellStyle name="Total" xfId="17" builtinId="25" hidden="1"/>
    <cellStyle name="Warning Text" xfId="14" builtinId="11" customBuiltin="1"/>
    <cellStyle name="Within-worksheet counter-flow" xfId="18"/>
  </cellStyles>
  <dxfs count="8">
    <dxf>
      <font>
        <b/>
        <i val="0"/>
        <color theme="5" tint="-0.24994659260841701"/>
      </font>
      <fill>
        <patternFill patternType="none">
          <bgColor auto="1"/>
        </patternFill>
      </fill>
    </dxf>
    <dxf>
      <font>
        <color rgb="FF9C0006"/>
      </font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0DCD8"/>
      <color rgb="FFFCEABF"/>
      <color rgb="FFD740A2"/>
      <color rgb="FFCC0099"/>
      <color rgb="FF0078C9"/>
      <color rgb="FFFFFF00"/>
      <color rgb="FF003479"/>
      <color rgb="FF95B040"/>
      <color rgb="FF719500"/>
      <color rgb="FFFE48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3</xdr:row>
      <xdr:rowOff>38100</xdr:rowOff>
    </xdr:from>
    <xdr:to>
      <xdr:col>2</xdr:col>
      <xdr:colOff>2848467</xdr:colOff>
      <xdr:row>6</xdr:row>
      <xdr:rowOff>192884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685800"/>
          <a:ext cx="2619867" cy="783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19@ofwat.gov.uk" TargetMode="External"/><Relationship Id="rId1" Type="http://schemas.openxmlformats.org/officeDocument/2006/relationships/hyperlink" Target="mailto:PR19@ofwat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DCD8"/>
  </sheetPr>
  <dimension ref="A1:C20"/>
  <sheetViews>
    <sheetView tabSelected="1" zoomScale="80" zoomScaleNormal="80" workbookViewId="0">
      <pane ySplit="9" topLeftCell="A10" activePane="bottomLeft" state="frozen"/>
      <selection pane="bottomLeft" activeCell="B3" sqref="B3"/>
    </sheetView>
  </sheetViews>
  <sheetFormatPr defaultRowHeight="12.5" x14ac:dyDescent="0.25"/>
  <cols>
    <col min="1" max="1" width="30.453125" bestFit="1" customWidth="1"/>
    <col min="2" max="2" width="108" bestFit="1" customWidth="1"/>
    <col min="3" max="3" width="45.7265625" customWidth="1"/>
  </cols>
  <sheetData>
    <row r="1" spans="1:3" ht="32.5" thickBot="1" x14ac:dyDescent="0.85">
      <c r="A1" s="3" t="str">
        <f ca="1" xml:space="preserve"> RIGHT(CELL("filename", $A$1), LEN(CELL("filename", $A$1)) - SEARCH("]", CELL("filename", $A$1)))</f>
        <v>Cover</v>
      </c>
      <c r="B1" s="3"/>
      <c r="C1" s="3"/>
    </row>
    <row r="2" spans="1:3" ht="4" customHeight="1" x14ac:dyDescent="0.4">
      <c r="A2" s="13"/>
      <c r="B2" s="13"/>
      <c r="C2" s="13"/>
    </row>
    <row r="3" spans="1:3" ht="16" x14ac:dyDescent="0.4">
      <c r="A3" s="11" t="s">
        <v>0</v>
      </c>
      <c r="B3" s="11" t="s">
        <v>238</v>
      </c>
      <c r="C3" s="14"/>
    </row>
    <row r="4" spans="1:3" ht="16" x14ac:dyDescent="0.4">
      <c r="A4" s="11" t="s">
        <v>1</v>
      </c>
      <c r="B4" s="11" t="s">
        <v>237</v>
      </c>
      <c r="C4" s="14"/>
    </row>
    <row r="5" spans="1:3" ht="16" x14ac:dyDescent="0.4">
      <c r="A5" s="11" t="s">
        <v>2</v>
      </c>
      <c r="B5" s="11" t="s">
        <v>238</v>
      </c>
      <c r="C5" s="14"/>
    </row>
    <row r="6" spans="1:3" ht="16" x14ac:dyDescent="0.4">
      <c r="A6" s="11" t="s">
        <v>3</v>
      </c>
      <c r="B6" s="95" t="s">
        <v>236</v>
      </c>
      <c r="C6" s="14"/>
    </row>
    <row r="7" spans="1:3" ht="16" x14ac:dyDescent="0.4">
      <c r="A7" s="11" t="s">
        <v>4</v>
      </c>
      <c r="B7" s="11" t="s">
        <v>5</v>
      </c>
      <c r="C7" s="14"/>
    </row>
    <row r="8" spans="1:3" ht="16" x14ac:dyDescent="0.4">
      <c r="A8" s="11" t="s">
        <v>6</v>
      </c>
      <c r="B8" s="12" t="s">
        <v>7</v>
      </c>
      <c r="C8" s="14"/>
    </row>
    <row r="9" spans="1:3" ht="4" customHeight="1" x14ac:dyDescent="0.4">
      <c r="A9" s="11"/>
      <c r="B9" s="11"/>
      <c r="C9" s="11"/>
    </row>
    <row r="10" spans="1:3" s="8" customFormat="1" x14ac:dyDescent="0.25">
      <c r="A10" s="27"/>
    </row>
    <row r="11" spans="1:3" ht="62.5" x14ac:dyDescent="0.25">
      <c r="A11" s="94" t="s">
        <v>8</v>
      </c>
      <c r="B11" s="93" t="s">
        <v>235</v>
      </c>
      <c r="C11" s="8"/>
    </row>
    <row r="13" spans="1:3" ht="15" x14ac:dyDescent="0.4">
      <c r="A13" s="1" t="s">
        <v>9</v>
      </c>
      <c r="B13" s="8" t="s">
        <v>233</v>
      </c>
      <c r="C13" s="8"/>
    </row>
    <row r="15" spans="1:3" s="8" customFormat="1" ht="37.5" x14ac:dyDescent="0.25">
      <c r="A15" s="94" t="s">
        <v>10</v>
      </c>
      <c r="B15" s="93" t="s">
        <v>234</v>
      </c>
    </row>
    <row r="16" spans="1:3" s="8" customFormat="1" x14ac:dyDescent="0.25"/>
    <row r="17" spans="1:3" ht="15" x14ac:dyDescent="0.4">
      <c r="A17" s="1" t="s">
        <v>11</v>
      </c>
      <c r="B17" s="8" t="s">
        <v>12</v>
      </c>
      <c r="C17" s="8"/>
    </row>
    <row r="18" spans="1:3" x14ac:dyDescent="0.25">
      <c r="A18" s="8"/>
      <c r="B18" s="10" t="s">
        <v>7</v>
      </c>
      <c r="C18" s="8"/>
    </row>
    <row r="20" spans="1:3" ht="13.5" x14ac:dyDescent="0.35">
      <c r="A20" s="9" t="s">
        <v>13</v>
      </c>
      <c r="B20" s="9"/>
      <c r="C20" s="9"/>
    </row>
  </sheetData>
  <hyperlinks>
    <hyperlink ref="B8" r:id="rId1"/>
    <hyperlink ref="B18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ABF"/>
  </sheetPr>
  <dimension ref="A1:Y51"/>
  <sheetViews>
    <sheetView zoomScale="80" zoomScaleNormal="80" workbookViewId="0">
      <pane ySplit="3" topLeftCell="A4" activePane="bottomLeft" state="frozen"/>
      <selection pane="bottomLeft" activeCell="L27" sqref="L27"/>
    </sheetView>
  </sheetViews>
  <sheetFormatPr defaultRowHeight="12.5" x14ac:dyDescent="0.25"/>
  <cols>
    <col min="1" max="4" width="2.7265625" customWidth="1"/>
    <col min="5" max="5" width="60.7265625" customWidth="1"/>
    <col min="6" max="6" width="15.7265625" style="8" customWidth="1"/>
    <col min="7" max="7" width="12.7265625" style="77" customWidth="1"/>
    <col min="8" max="8" width="11.7265625" customWidth="1"/>
    <col min="9" max="9" width="2.7265625" customWidth="1"/>
  </cols>
  <sheetData>
    <row r="1" spans="1:25" ht="32" x14ac:dyDescent="0.8">
      <c r="A1" s="3" t="str">
        <f ca="1" xml:space="preserve"> RIGHT(CELL("filename", $A$1), LEN(CELL("filename", $A$1)) - SEARCH("]", CELL("filename", $A$1)))</f>
        <v>Policy decisions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8" t="s">
        <v>14</v>
      </c>
      <c r="B2" s="8"/>
      <c r="C2" s="8"/>
      <c r="D2" s="8"/>
      <c r="E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8" customFormat="1" ht="13" x14ac:dyDescent="0.3">
      <c r="F3" s="63" t="s">
        <v>15</v>
      </c>
      <c r="G3" s="63" t="s">
        <v>16</v>
      </c>
      <c r="H3" s="63" t="s">
        <v>17</v>
      </c>
    </row>
    <row r="4" spans="1:25" s="8" customFormat="1" x14ac:dyDescent="0.25"/>
    <row r="5" spans="1:25" s="8" customFormat="1" ht="13.5" x14ac:dyDescent="0.35">
      <c r="A5" s="7" t="s">
        <v>18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25">
      <c r="A6" s="8"/>
      <c r="B6" s="8"/>
      <c r="C6" s="8"/>
      <c r="D6" s="8"/>
      <c r="E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8" customFormat="1" ht="15" x14ac:dyDescent="0.4">
      <c r="A7" s="1" t="s">
        <v>19</v>
      </c>
    </row>
    <row r="8" spans="1:25" s="8" customFormat="1" ht="13.5" x14ac:dyDescent="0.35">
      <c r="B8" s="16" t="s">
        <v>20</v>
      </c>
    </row>
    <row r="9" spans="1:25" s="8" customFormat="1" x14ac:dyDescent="0.25">
      <c r="C9" s="4" t="s">
        <v>21</v>
      </c>
      <c r="H9" s="20">
        <f>SUM(H10:H11)</f>
        <v>1</v>
      </c>
    </row>
    <row r="10" spans="1:25" s="8" customFormat="1" ht="13" x14ac:dyDescent="0.3">
      <c r="C10" s="4"/>
      <c r="E10" s="8" t="s">
        <v>22</v>
      </c>
      <c r="F10" s="22" t="s">
        <v>23</v>
      </c>
      <c r="G10" s="74" t="s">
        <v>24</v>
      </c>
      <c r="H10" s="15">
        <v>0.5</v>
      </c>
      <c r="J10" s="18" t="str">
        <f>IF(H$9&lt;&gt;100%,"CHECK","")</f>
        <v/>
      </c>
    </row>
    <row r="11" spans="1:25" s="8" customFormat="1" ht="13" x14ac:dyDescent="0.3">
      <c r="C11" s="4"/>
      <c r="E11" s="8" t="s">
        <v>25</v>
      </c>
      <c r="F11" s="22" t="s">
        <v>23</v>
      </c>
      <c r="G11" s="74" t="s">
        <v>24</v>
      </c>
      <c r="H11" s="15">
        <v>0.5</v>
      </c>
      <c r="J11" s="18" t="str">
        <f>IF(H$9&lt;&gt;100%,"CHECK","")</f>
        <v/>
      </c>
    </row>
    <row r="12" spans="1:25" s="8" customFormat="1" x14ac:dyDescent="0.25">
      <c r="C12" s="4"/>
      <c r="F12" s="24"/>
      <c r="G12" s="75"/>
    </row>
    <row r="13" spans="1:25" s="8" customFormat="1" ht="13.5" x14ac:dyDescent="0.35">
      <c r="B13" s="16" t="s">
        <v>26</v>
      </c>
      <c r="F13" s="24"/>
      <c r="G13" s="75"/>
    </row>
    <row r="14" spans="1:25" s="8" customFormat="1" x14ac:dyDescent="0.25">
      <c r="C14" s="4" t="s">
        <v>21</v>
      </c>
      <c r="F14" s="24"/>
      <c r="G14" s="75"/>
    </row>
    <row r="15" spans="1:25" s="8" customFormat="1" x14ac:dyDescent="0.25">
      <c r="C15" s="4"/>
      <c r="D15" s="8" t="s">
        <v>27</v>
      </c>
      <c r="E15" s="17"/>
      <c r="F15" s="17"/>
      <c r="G15" s="76"/>
      <c r="H15" s="20">
        <f>SUM(H16:H17)</f>
        <v>1</v>
      </c>
    </row>
    <row r="16" spans="1:25" s="8" customFormat="1" ht="13" x14ac:dyDescent="0.3">
      <c r="C16" s="4"/>
      <c r="E16" s="8" t="s">
        <v>28</v>
      </c>
      <c r="F16" s="22" t="s">
        <v>23</v>
      </c>
      <c r="G16" s="74" t="s">
        <v>24</v>
      </c>
      <c r="H16" s="15">
        <v>0.5</v>
      </c>
      <c r="J16" s="18" t="str">
        <f>IF(H$15&lt;&gt;100%,"CHECK","")</f>
        <v/>
      </c>
    </row>
    <row r="17" spans="2:10" s="8" customFormat="1" ht="13" x14ac:dyDescent="0.3">
      <c r="C17" s="4"/>
      <c r="E17" s="8" t="s">
        <v>29</v>
      </c>
      <c r="F17" s="22" t="s">
        <v>23</v>
      </c>
      <c r="G17" s="74" t="s">
        <v>24</v>
      </c>
      <c r="H17" s="15">
        <v>0.5</v>
      </c>
      <c r="J17" s="18" t="str">
        <f>IF(H$15&lt;&gt;100%,"CHECK","")</f>
        <v/>
      </c>
    </row>
    <row r="18" spans="2:10" s="8" customFormat="1" x14ac:dyDescent="0.25">
      <c r="C18" s="4"/>
      <c r="D18" s="8" t="s">
        <v>30</v>
      </c>
      <c r="E18" s="17"/>
      <c r="F18" s="17"/>
      <c r="G18" s="76"/>
      <c r="H18" s="20">
        <f>SUM(H19:H21)</f>
        <v>1</v>
      </c>
    </row>
    <row r="19" spans="2:10" s="8" customFormat="1" ht="13" x14ac:dyDescent="0.3">
      <c r="C19" s="4"/>
      <c r="E19" s="8" t="s">
        <v>28</v>
      </c>
      <c r="F19" s="22" t="s">
        <v>23</v>
      </c>
      <c r="G19" s="74" t="s">
        <v>24</v>
      </c>
      <c r="H19" s="15">
        <v>0.5</v>
      </c>
      <c r="J19" s="18" t="str">
        <f>IF(H$18&lt;&gt;100%,"CHECK","")</f>
        <v/>
      </c>
    </row>
    <row r="20" spans="2:10" s="8" customFormat="1" ht="13" x14ac:dyDescent="0.3">
      <c r="C20" s="4"/>
      <c r="E20" s="8" t="s">
        <v>31</v>
      </c>
      <c r="F20" s="22" t="s">
        <v>23</v>
      </c>
      <c r="G20" s="74" t="s">
        <v>24</v>
      </c>
      <c r="H20" s="15">
        <v>0.25</v>
      </c>
      <c r="J20" s="18" t="str">
        <f>IF(H$18&lt;&gt;100%,"CHECK","")</f>
        <v/>
      </c>
    </row>
    <row r="21" spans="2:10" s="8" customFormat="1" ht="13" x14ac:dyDescent="0.3">
      <c r="C21" s="4"/>
      <c r="E21" s="8" t="s">
        <v>32</v>
      </c>
      <c r="F21" s="22" t="s">
        <v>23</v>
      </c>
      <c r="G21" s="74" t="s">
        <v>24</v>
      </c>
      <c r="H21" s="15">
        <v>0.25</v>
      </c>
      <c r="J21" s="18" t="str">
        <f>IF(H$18&lt;&gt;100%,"CHECK","")</f>
        <v/>
      </c>
    </row>
    <row r="22" spans="2:10" s="8" customFormat="1" x14ac:dyDescent="0.25">
      <c r="C22" s="4"/>
      <c r="G22" s="77"/>
    </row>
    <row r="23" spans="2:10" s="8" customFormat="1" ht="13.5" x14ac:dyDescent="0.35">
      <c r="B23" s="16" t="s">
        <v>33</v>
      </c>
      <c r="F23" s="24"/>
      <c r="G23" s="75"/>
    </row>
    <row r="24" spans="2:10" s="8" customFormat="1" x14ac:dyDescent="0.25">
      <c r="C24" s="4" t="s">
        <v>34</v>
      </c>
      <c r="F24" s="24"/>
      <c r="G24" s="75"/>
    </row>
    <row r="25" spans="2:10" s="8" customFormat="1" x14ac:dyDescent="0.25">
      <c r="C25" s="4"/>
      <c r="E25" s="8" t="s">
        <v>33</v>
      </c>
      <c r="F25" s="22" t="s">
        <v>23</v>
      </c>
      <c r="G25" s="74" t="s">
        <v>24</v>
      </c>
      <c r="H25" s="15">
        <v>0.05</v>
      </c>
    </row>
    <row r="26" spans="2:10" s="8" customFormat="1" x14ac:dyDescent="0.25">
      <c r="C26" s="4"/>
      <c r="F26" s="22"/>
      <c r="G26" s="74"/>
    </row>
    <row r="27" spans="2:10" s="8" customFormat="1" ht="13.5" x14ac:dyDescent="0.35">
      <c r="B27" s="16" t="s">
        <v>35</v>
      </c>
      <c r="F27" s="22"/>
      <c r="G27" s="74"/>
    </row>
    <row r="28" spans="2:10" s="8" customFormat="1" x14ac:dyDescent="0.25">
      <c r="C28" s="4" t="s">
        <v>36</v>
      </c>
      <c r="F28" s="22"/>
      <c r="G28" s="74"/>
    </row>
    <row r="29" spans="2:10" s="8" customFormat="1" x14ac:dyDescent="0.25">
      <c r="C29" s="4"/>
      <c r="E29" s="8" t="s">
        <v>37</v>
      </c>
      <c r="F29" s="22" t="s">
        <v>23</v>
      </c>
      <c r="G29" s="74" t="s">
        <v>38</v>
      </c>
      <c r="H29" s="5">
        <v>5</v>
      </c>
    </row>
    <row r="30" spans="2:10" s="8" customFormat="1" x14ac:dyDescent="0.25">
      <c r="C30" s="4"/>
      <c r="E30" s="8" t="s">
        <v>39</v>
      </c>
      <c r="F30" s="22" t="s">
        <v>23</v>
      </c>
      <c r="G30" s="74" t="s">
        <v>38</v>
      </c>
      <c r="H30" s="31">
        <v>3</v>
      </c>
    </row>
    <row r="31" spans="2:10" s="8" customFormat="1" x14ac:dyDescent="0.25">
      <c r="C31" s="4"/>
      <c r="E31" s="8" t="s">
        <v>40</v>
      </c>
      <c r="F31" s="22" t="s">
        <v>23</v>
      </c>
      <c r="G31" s="74" t="s">
        <v>41</v>
      </c>
      <c r="H31" s="5">
        <v>3</v>
      </c>
    </row>
    <row r="32" spans="2:10" s="8" customFormat="1" x14ac:dyDescent="0.25">
      <c r="C32" s="4"/>
      <c r="F32" s="22"/>
      <c r="G32" s="74"/>
    </row>
    <row r="33" spans="1:8" s="8" customFormat="1" ht="15" x14ac:dyDescent="0.4">
      <c r="A33" s="1" t="s">
        <v>42</v>
      </c>
      <c r="G33" s="77"/>
    </row>
    <row r="34" spans="1:8" s="8" customFormat="1" x14ac:dyDescent="0.25">
      <c r="C34" s="4" t="s">
        <v>239</v>
      </c>
      <c r="G34" s="77"/>
    </row>
    <row r="35" spans="1:8" s="8" customFormat="1" x14ac:dyDescent="0.25">
      <c r="C35" s="4"/>
      <c r="E35" s="8" t="s">
        <v>43</v>
      </c>
      <c r="F35" s="22" t="s">
        <v>23</v>
      </c>
      <c r="G35" s="74" t="s">
        <v>24</v>
      </c>
      <c r="H35" s="37">
        <v>0.06</v>
      </c>
    </row>
    <row r="36" spans="1:8" s="8" customFormat="1" x14ac:dyDescent="0.25">
      <c r="C36" s="4"/>
      <c r="E36" s="8" t="s">
        <v>44</v>
      </c>
      <c r="F36" s="22" t="s">
        <v>23</v>
      </c>
      <c r="G36" s="74" t="s">
        <v>24</v>
      </c>
      <c r="H36" s="37">
        <v>-0.12</v>
      </c>
    </row>
    <row r="37" spans="1:8" s="8" customFormat="1" x14ac:dyDescent="0.25">
      <c r="C37" s="4"/>
      <c r="F37" s="22"/>
      <c r="G37" s="74"/>
    </row>
    <row r="38" spans="1:8" s="8" customFormat="1" ht="15" x14ac:dyDescent="0.4">
      <c r="A38" s="1" t="s">
        <v>45</v>
      </c>
      <c r="G38" s="77"/>
    </row>
    <row r="39" spans="1:8" s="8" customFormat="1" ht="13.5" x14ac:dyDescent="0.35">
      <c r="B39" s="16" t="s">
        <v>46</v>
      </c>
      <c r="F39" s="22"/>
      <c r="G39" s="74"/>
    </row>
    <row r="40" spans="1:8" s="8" customFormat="1" x14ac:dyDescent="0.25">
      <c r="C40" s="4" t="s">
        <v>47</v>
      </c>
      <c r="G40" s="77"/>
    </row>
    <row r="41" spans="1:8" s="8" customFormat="1" x14ac:dyDescent="0.25">
      <c r="C41" s="4"/>
      <c r="E41" s="8" t="s">
        <v>48</v>
      </c>
      <c r="F41" s="22" t="s">
        <v>23</v>
      </c>
      <c r="G41" s="74" t="s">
        <v>49</v>
      </c>
      <c r="H41" s="31">
        <v>3</v>
      </c>
    </row>
    <row r="42" spans="1:8" s="8" customFormat="1" x14ac:dyDescent="0.25">
      <c r="C42" s="4"/>
      <c r="E42" s="8" t="s">
        <v>50</v>
      </c>
      <c r="F42" s="22" t="s">
        <v>23</v>
      </c>
      <c r="G42" s="74" t="s">
        <v>51</v>
      </c>
      <c r="H42" s="42" t="e">
        <f>CMeX_ASUQ</f>
        <v>#DIV/0!</v>
      </c>
    </row>
    <row r="43" spans="1:8" s="8" customFormat="1" x14ac:dyDescent="0.25">
      <c r="C43" s="4"/>
      <c r="E43" s="8" t="s">
        <v>52</v>
      </c>
      <c r="F43" s="22" t="s">
        <v>53</v>
      </c>
      <c r="G43" s="74" t="s">
        <v>54</v>
      </c>
      <c r="H43" s="38" t="e">
        <f>'Industry data'!H112</f>
        <v>#DIV/0!</v>
      </c>
    </row>
    <row r="44" spans="1:8" s="8" customFormat="1" x14ac:dyDescent="0.25">
      <c r="C44" s="4"/>
      <c r="F44" s="22"/>
      <c r="G44" s="74"/>
    </row>
    <row r="45" spans="1:8" s="8" customFormat="1" ht="13.5" x14ac:dyDescent="0.35">
      <c r="B45" s="16" t="s">
        <v>55</v>
      </c>
      <c r="C45" s="4"/>
      <c r="F45" s="22"/>
      <c r="G45" s="74"/>
    </row>
    <row r="46" spans="1:8" s="8" customFormat="1" x14ac:dyDescent="0.25">
      <c r="C46" s="4" t="s">
        <v>56</v>
      </c>
      <c r="F46" s="22"/>
      <c r="G46" s="74"/>
    </row>
    <row r="47" spans="1:8" s="8" customFormat="1" x14ac:dyDescent="0.25">
      <c r="C47" s="4"/>
      <c r="E47" s="8" t="s">
        <v>57</v>
      </c>
      <c r="F47" s="22" t="s">
        <v>23</v>
      </c>
      <c r="G47" s="74" t="s">
        <v>24</v>
      </c>
      <c r="H47" s="15">
        <v>0.06</v>
      </c>
    </row>
    <row r="48" spans="1:8" s="8" customFormat="1" x14ac:dyDescent="0.25">
      <c r="C48" s="4"/>
      <c r="E48" s="8" t="s">
        <v>58</v>
      </c>
      <c r="F48" s="22" t="s">
        <v>23</v>
      </c>
      <c r="G48" s="74" t="s">
        <v>24</v>
      </c>
      <c r="H48" s="15">
        <v>0.04</v>
      </c>
    </row>
    <row r="49" spans="1:25" s="8" customFormat="1" x14ac:dyDescent="0.25">
      <c r="C49" s="4"/>
      <c r="E49" s="8" t="s">
        <v>59</v>
      </c>
      <c r="F49" s="22" t="s">
        <v>23</v>
      </c>
      <c r="G49" s="74" t="s">
        <v>24</v>
      </c>
      <c r="H49" s="15">
        <v>0.02</v>
      </c>
    </row>
    <row r="50" spans="1:25" s="8" customFormat="1" x14ac:dyDescent="0.25">
      <c r="C50" s="4"/>
      <c r="F50" s="22"/>
      <c r="G50" s="74"/>
    </row>
    <row r="51" spans="1:25" ht="13.5" x14ac:dyDescent="0.35">
      <c r="A51" s="9" t="s">
        <v>13</v>
      </c>
      <c r="B51" s="9"/>
      <c r="C51" s="9"/>
      <c r="D51" s="9"/>
      <c r="E51" s="9"/>
      <c r="F51" s="9"/>
      <c r="G51" s="7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</sheetData>
  <conditionalFormatting sqref="H18">
    <cfRule type="cellIs" dxfId="7" priority="6" operator="notEqual">
      <formula>1</formula>
    </cfRule>
  </conditionalFormatting>
  <conditionalFormatting sqref="H15">
    <cfRule type="cellIs" dxfId="6" priority="5" operator="notEqual">
      <formula>1</formula>
    </cfRule>
  </conditionalFormatting>
  <conditionalFormatting sqref="H9">
    <cfRule type="cellIs" dxfId="5" priority="4" operator="notEqual">
      <formula>1</formula>
    </cfRule>
  </conditionalFormatting>
  <dataValidations count="4">
    <dataValidation type="decimal" allowBlank="1" showInputMessage="1" showErrorMessage="1" sqref="H10:H11 H16:H17 H19:H21 H25 H47:H49">
      <formula1>0</formula1>
      <formula2>1</formula2>
    </dataValidation>
    <dataValidation type="whole" allowBlank="1" showInputMessage="1" showErrorMessage="1" sqref="H31">
      <formula1>0</formula1>
      <formula2>100</formula2>
    </dataValidation>
    <dataValidation type="whole" allowBlank="1" showInputMessage="1" showErrorMessage="1" sqref="H41">
      <formula1>1</formula1>
      <formula2>17</formula2>
    </dataValidation>
    <dataValidation type="decimal" allowBlank="1" showInputMessage="1" showErrorMessage="1" sqref="H35:H36">
      <formula1>-1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ABF"/>
  </sheetPr>
  <dimension ref="A1:X43"/>
  <sheetViews>
    <sheetView zoomScale="80" zoomScaleNormal="80" workbookViewId="0">
      <pane ySplit="3" topLeftCell="A4" activePane="bottomLeft" state="frozen"/>
      <selection pane="bottomLeft" activeCell="O33" sqref="O33"/>
    </sheetView>
  </sheetViews>
  <sheetFormatPr defaultColWidth="9.1796875" defaultRowHeight="12.5" x14ac:dyDescent="0.25"/>
  <cols>
    <col min="1" max="4" width="2.7265625" style="8" customWidth="1"/>
    <col min="5" max="5" width="60.7265625" style="8" customWidth="1"/>
    <col min="6" max="6" width="15.7265625" style="8" customWidth="1"/>
    <col min="7" max="7" width="12.7265625" style="8" customWidth="1"/>
    <col min="8" max="8" width="18.7265625" style="8" bestFit="1" customWidth="1"/>
    <col min="9" max="9" width="2.7265625" style="8" customWidth="1"/>
    <col min="10" max="16384" width="9.1796875" style="8"/>
  </cols>
  <sheetData>
    <row r="1" spans="1:24" ht="32" x14ac:dyDescent="0.8">
      <c r="A1" s="3" t="str">
        <f ca="1" xml:space="preserve"> RIGHT(CELL("filename", $A$1), LEN(CELL("filename", $A$1)) - SEARCH("]", CELL("filename", $A$1)))</f>
        <v>Company data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5">
      <c r="A2" s="8" t="s">
        <v>60</v>
      </c>
    </row>
    <row r="3" spans="1:24" ht="13" x14ac:dyDescent="0.3">
      <c r="F3" s="63" t="s">
        <v>15</v>
      </c>
      <c r="G3" s="63" t="s">
        <v>16</v>
      </c>
      <c r="H3" s="63" t="s">
        <v>17</v>
      </c>
    </row>
    <row r="5" spans="1:24" ht="13.5" x14ac:dyDescent="0.35">
      <c r="A5" s="7" t="s">
        <v>61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7" spans="1:24" ht="15" x14ac:dyDescent="0.4">
      <c r="A7" s="1" t="s">
        <v>62</v>
      </c>
    </row>
    <row r="8" spans="1:24" x14ac:dyDescent="0.25">
      <c r="C8" s="4" t="s">
        <v>63</v>
      </c>
    </row>
    <row r="9" spans="1:24" x14ac:dyDescent="0.25">
      <c r="C9" s="4"/>
      <c r="E9" s="8" t="s">
        <v>64</v>
      </c>
      <c r="F9" s="22" t="s">
        <v>65</v>
      </c>
      <c r="G9" s="74" t="s">
        <v>66</v>
      </c>
      <c r="H9" s="92"/>
    </row>
    <row r="10" spans="1:24" x14ac:dyDescent="0.25">
      <c r="C10" s="4"/>
      <c r="F10" s="22"/>
      <c r="G10" s="74"/>
    </row>
    <row r="11" spans="1:24" customFormat="1" ht="15" x14ac:dyDescent="0.4">
      <c r="A11" s="1" t="s">
        <v>67</v>
      </c>
      <c r="B11" s="8"/>
      <c r="C11" s="8"/>
      <c r="D11" s="8"/>
      <c r="E11" s="8"/>
      <c r="F11" s="8"/>
      <c r="G11" s="7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x14ac:dyDescent="0.25">
      <c r="C12" s="4" t="s">
        <v>68</v>
      </c>
      <c r="G12" s="77"/>
    </row>
    <row r="13" spans="1:24" x14ac:dyDescent="0.25">
      <c r="C13" s="4"/>
      <c r="E13" s="8" t="s">
        <v>69</v>
      </c>
      <c r="F13" s="22" t="s">
        <v>65</v>
      </c>
      <c r="G13" s="74" t="s">
        <v>232</v>
      </c>
      <c r="H13" s="92"/>
    </row>
    <row r="14" spans="1:24" x14ac:dyDescent="0.25">
      <c r="C14" s="4"/>
      <c r="G14" s="77"/>
    </row>
    <row r="15" spans="1:24" ht="15" x14ac:dyDescent="0.4">
      <c r="A15" s="1" t="s">
        <v>70</v>
      </c>
      <c r="G15" s="77"/>
    </row>
    <row r="16" spans="1:24" ht="13.5" x14ac:dyDescent="0.35">
      <c r="B16" s="16" t="s">
        <v>28</v>
      </c>
      <c r="G16" s="77"/>
    </row>
    <row r="17" spans="2:8" x14ac:dyDescent="0.25">
      <c r="C17" s="4" t="s">
        <v>71</v>
      </c>
      <c r="G17" s="77"/>
    </row>
    <row r="18" spans="2:8" x14ac:dyDescent="0.25">
      <c r="C18" s="4"/>
      <c r="E18" s="8" t="s">
        <v>72</v>
      </c>
      <c r="F18" s="22" t="s">
        <v>73</v>
      </c>
      <c r="G18" s="74" t="s">
        <v>41</v>
      </c>
      <c r="H18" s="39"/>
    </row>
    <row r="19" spans="2:8" x14ac:dyDescent="0.25">
      <c r="C19" s="4"/>
      <c r="E19" s="8" t="s">
        <v>74</v>
      </c>
      <c r="F19" s="22" t="s">
        <v>73</v>
      </c>
      <c r="G19" s="74" t="s">
        <v>41</v>
      </c>
      <c r="H19" s="25"/>
    </row>
    <row r="20" spans="2:8" x14ac:dyDescent="0.25">
      <c r="C20" s="4"/>
      <c r="F20" s="22"/>
      <c r="G20" s="74"/>
    </row>
    <row r="21" spans="2:8" ht="13.5" x14ac:dyDescent="0.35">
      <c r="B21" s="16" t="s">
        <v>29</v>
      </c>
      <c r="G21" s="77"/>
    </row>
    <row r="22" spans="2:8" x14ac:dyDescent="0.25">
      <c r="C22" s="4" t="s">
        <v>75</v>
      </c>
      <c r="G22" s="77"/>
    </row>
    <row r="23" spans="2:8" x14ac:dyDescent="0.25">
      <c r="C23" s="4"/>
      <c r="E23" s="8" t="s">
        <v>76</v>
      </c>
      <c r="F23" s="22" t="s">
        <v>73</v>
      </c>
      <c r="G23" s="74" t="s">
        <v>41</v>
      </c>
      <c r="H23" s="39"/>
    </row>
    <row r="24" spans="2:8" x14ac:dyDescent="0.25">
      <c r="C24" s="4"/>
      <c r="E24" s="8" t="s">
        <v>77</v>
      </c>
      <c r="F24" s="22" t="s">
        <v>73</v>
      </c>
      <c r="G24" s="74" t="s">
        <v>41</v>
      </c>
      <c r="H24" s="25"/>
    </row>
    <row r="25" spans="2:8" x14ac:dyDescent="0.25">
      <c r="C25" s="4"/>
      <c r="E25" s="8" t="s">
        <v>78</v>
      </c>
      <c r="F25" s="22" t="s">
        <v>73</v>
      </c>
      <c r="G25" s="74" t="s">
        <v>41</v>
      </c>
      <c r="H25" s="25"/>
    </row>
    <row r="26" spans="2:8" x14ac:dyDescent="0.25">
      <c r="C26" s="4"/>
      <c r="E26" s="8" t="s">
        <v>79</v>
      </c>
      <c r="F26" s="22" t="s">
        <v>73</v>
      </c>
      <c r="G26" s="74" t="s">
        <v>41</v>
      </c>
      <c r="H26" s="25"/>
    </row>
    <row r="27" spans="2:8" x14ac:dyDescent="0.25">
      <c r="C27" s="4"/>
      <c r="F27" s="22"/>
      <c r="G27" s="74"/>
    </row>
    <row r="28" spans="2:8" ht="13.5" x14ac:dyDescent="0.35">
      <c r="B28" s="16" t="s">
        <v>80</v>
      </c>
      <c r="G28" s="77"/>
    </row>
    <row r="29" spans="2:8" x14ac:dyDescent="0.25">
      <c r="C29" s="4" t="s">
        <v>81</v>
      </c>
      <c r="G29" s="77"/>
    </row>
    <row r="30" spans="2:8" x14ac:dyDescent="0.25">
      <c r="C30" s="4"/>
      <c r="E30" s="8" t="s">
        <v>82</v>
      </c>
      <c r="F30" s="22" t="s">
        <v>73</v>
      </c>
      <c r="G30" s="74" t="s">
        <v>24</v>
      </c>
      <c r="H30" s="15"/>
    </row>
    <row r="31" spans="2:8" x14ac:dyDescent="0.25">
      <c r="C31" s="4"/>
      <c r="E31" s="8" t="s">
        <v>83</v>
      </c>
      <c r="F31" s="22" t="s">
        <v>73</v>
      </c>
      <c r="G31" s="74" t="s">
        <v>24</v>
      </c>
      <c r="H31" s="15"/>
    </row>
    <row r="32" spans="2:8" x14ac:dyDescent="0.25">
      <c r="C32" s="4"/>
      <c r="E32" s="8" t="s">
        <v>84</v>
      </c>
      <c r="F32" s="22" t="s">
        <v>73</v>
      </c>
      <c r="G32" s="74" t="s">
        <v>24</v>
      </c>
      <c r="H32" s="15"/>
    </row>
    <row r="33" spans="1:24" x14ac:dyDescent="0.25">
      <c r="C33" s="4"/>
      <c r="F33" s="22"/>
      <c r="G33" s="74"/>
    </row>
    <row r="34" spans="1:24" ht="15" x14ac:dyDescent="0.4">
      <c r="A34" s="1" t="s">
        <v>85</v>
      </c>
      <c r="C34" s="4"/>
      <c r="F34" s="22"/>
      <c r="G34" s="74"/>
    </row>
    <row r="35" spans="1:24" x14ac:dyDescent="0.25">
      <c r="C35" s="4" t="s">
        <v>86</v>
      </c>
      <c r="F35" s="22"/>
      <c r="G35" s="74"/>
    </row>
    <row r="36" spans="1:24" x14ac:dyDescent="0.25">
      <c r="C36" s="4"/>
      <c r="E36" s="8" t="s">
        <v>87</v>
      </c>
      <c r="F36" s="22" t="s">
        <v>73</v>
      </c>
      <c r="G36" s="74" t="s">
        <v>41</v>
      </c>
      <c r="H36" s="39"/>
    </row>
    <row r="37" spans="1:24" x14ac:dyDescent="0.25">
      <c r="C37" s="4"/>
      <c r="F37" s="22"/>
      <c r="G37" s="74"/>
    </row>
    <row r="38" spans="1:24" ht="15" x14ac:dyDescent="0.4">
      <c r="A38" s="1" t="s">
        <v>88</v>
      </c>
      <c r="C38" s="4"/>
      <c r="F38" s="22"/>
      <c r="G38" s="74"/>
    </row>
    <row r="39" spans="1:24" x14ac:dyDescent="0.25">
      <c r="C39" s="4" t="s">
        <v>89</v>
      </c>
      <c r="F39" s="22"/>
      <c r="G39" s="74"/>
    </row>
    <row r="40" spans="1:24" x14ac:dyDescent="0.25">
      <c r="C40" s="4"/>
      <c r="E40" s="8" t="s">
        <v>90</v>
      </c>
      <c r="F40" s="22" t="s">
        <v>65</v>
      </c>
      <c r="G40" s="74" t="s">
        <v>41</v>
      </c>
      <c r="H40" s="26"/>
    </row>
    <row r="41" spans="1:24" x14ac:dyDescent="0.25">
      <c r="C41" s="4"/>
      <c r="E41" s="8" t="s">
        <v>91</v>
      </c>
      <c r="F41" s="22" t="s">
        <v>65</v>
      </c>
      <c r="G41" s="74" t="s">
        <v>41</v>
      </c>
      <c r="H41" s="30"/>
    </row>
    <row r="42" spans="1:24" x14ac:dyDescent="0.25">
      <c r="G42" s="77"/>
    </row>
    <row r="43" spans="1:24" ht="13.5" x14ac:dyDescent="0.35">
      <c r="A43" s="9" t="s">
        <v>13</v>
      </c>
      <c r="B43" s="9"/>
      <c r="C43" s="9"/>
      <c r="D43" s="9"/>
      <c r="E43" s="9"/>
      <c r="F43" s="9"/>
      <c r="G43" s="7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</sheetData>
  <dataValidations count="2">
    <dataValidation type="decimal" allowBlank="1" showInputMessage="1" showErrorMessage="1" sqref="H18:H19 H23:H26 H36 H40:H41">
      <formula1>0</formula1>
      <formula2>100</formula2>
    </dataValidation>
    <dataValidation type="decimal" allowBlank="1" showInputMessage="1" showErrorMessage="1" sqref="H30:H32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ABF"/>
  </sheetPr>
  <dimension ref="A1:W136"/>
  <sheetViews>
    <sheetView zoomScale="80" zoomScaleNormal="80" workbookViewId="0">
      <pane ySplit="3" topLeftCell="A4" activePane="bottomLeft" state="frozen"/>
      <selection pane="bottomLeft" activeCell="E20" sqref="E20"/>
    </sheetView>
  </sheetViews>
  <sheetFormatPr defaultColWidth="9.1796875" defaultRowHeight="12.5" x14ac:dyDescent="0.25"/>
  <cols>
    <col min="1" max="4" width="2.7265625" style="8" customWidth="1"/>
    <col min="5" max="5" width="60.7265625" style="8" customWidth="1"/>
    <col min="6" max="6" width="15.7265625" style="8" customWidth="1"/>
    <col min="7" max="7" width="12.7265625" style="8" customWidth="1"/>
    <col min="8" max="9" width="11.7265625" style="8" customWidth="1"/>
    <col min="10" max="10" width="2.7265625" style="8" customWidth="1"/>
    <col min="11" max="11" width="9.1796875" style="8" customWidth="1"/>
    <col min="12" max="16384" width="9.1796875" style="8"/>
  </cols>
  <sheetData>
    <row r="1" spans="1:23" ht="32" x14ac:dyDescent="0.8">
      <c r="A1" s="44" t="str">
        <f ca="1" xml:space="preserve"> RIGHT(CELL("filename", $A$1), LEN(CELL("filename", $A$1)) - SEARCH("]", CELL("filename", $A$1)))</f>
        <v>Industry data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8" t="s">
        <v>92</v>
      </c>
    </row>
    <row r="3" spans="1:23" ht="13" x14ac:dyDescent="0.3">
      <c r="F3" s="63" t="s">
        <v>15</v>
      </c>
      <c r="G3" s="63" t="s">
        <v>16</v>
      </c>
      <c r="H3" s="63" t="s">
        <v>17</v>
      </c>
      <c r="I3" s="63" t="s">
        <v>93</v>
      </c>
    </row>
    <row r="5" spans="1:23" ht="13.5" x14ac:dyDescent="0.35">
      <c r="A5" s="7" t="s">
        <v>94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7" spans="1:23" ht="15" x14ac:dyDescent="0.4">
      <c r="A7" s="1" t="s">
        <v>95</v>
      </c>
    </row>
    <row r="8" spans="1:23" ht="13.5" customHeight="1" x14ac:dyDescent="0.4">
      <c r="A8" s="1"/>
      <c r="B8" s="16" t="s">
        <v>96</v>
      </c>
    </row>
    <row r="9" spans="1:23" x14ac:dyDescent="0.25">
      <c r="C9" s="4" t="s">
        <v>97</v>
      </c>
    </row>
    <row r="10" spans="1:23" x14ac:dyDescent="0.25">
      <c r="C10" s="4"/>
      <c r="E10" s="91" t="s">
        <v>215</v>
      </c>
      <c r="F10" s="22" t="s">
        <v>73</v>
      </c>
      <c r="G10" s="74" t="s">
        <v>41</v>
      </c>
      <c r="H10" s="39"/>
      <c r="I10" s="90" t="e">
        <f t="shared" ref="I10:I26" si="0">RANK(H10,H$10:H$26)</f>
        <v>#N/A</v>
      </c>
      <c r="K10" s="47" t="e">
        <f>IFERROR(IF(I10=INDEX(K$9:K9, MATCH(I10, K$9:K9, 0)), I10+1, I10), I10)</f>
        <v>#N/A</v>
      </c>
    </row>
    <row r="11" spans="1:23" x14ac:dyDescent="0.25">
      <c r="C11" s="4"/>
      <c r="E11" s="91" t="s">
        <v>216</v>
      </c>
      <c r="F11" s="22" t="s">
        <v>73</v>
      </c>
      <c r="G11" s="74" t="s">
        <v>41</v>
      </c>
      <c r="H11" s="39"/>
      <c r="I11" s="90" t="e">
        <f t="shared" si="0"/>
        <v>#N/A</v>
      </c>
      <c r="K11" s="47" t="e">
        <f>IFERROR(IF(I11=INDEX(K$9:K10, MATCH(I11, K$9:K10, 0)), I11+1, I11), I11)</f>
        <v>#N/A</v>
      </c>
    </row>
    <row r="12" spans="1:23" x14ac:dyDescent="0.25">
      <c r="C12" s="4"/>
      <c r="E12" s="91" t="s">
        <v>217</v>
      </c>
      <c r="F12" s="22" t="s">
        <v>73</v>
      </c>
      <c r="G12" s="74" t="s">
        <v>41</v>
      </c>
      <c r="H12" s="39"/>
      <c r="I12" s="90" t="e">
        <f t="shared" si="0"/>
        <v>#N/A</v>
      </c>
      <c r="K12" s="47" t="e">
        <f>IFERROR(IF(I12=INDEX(K$9:K11, MATCH(I12, K$9:K11, 0)), I12+1, I12), I12)</f>
        <v>#N/A</v>
      </c>
    </row>
    <row r="13" spans="1:23" x14ac:dyDescent="0.25">
      <c r="C13" s="4"/>
      <c r="E13" s="91" t="s">
        <v>218</v>
      </c>
      <c r="F13" s="22" t="s">
        <v>73</v>
      </c>
      <c r="G13" s="74" t="s">
        <v>41</v>
      </c>
      <c r="H13" s="39"/>
      <c r="I13" s="90" t="e">
        <f t="shared" si="0"/>
        <v>#N/A</v>
      </c>
      <c r="K13" s="47" t="e">
        <f>IFERROR(IF(I13=INDEX(K$9:K12, MATCH(I13, K$9:K12, 0)), I13+1, I13), I13)</f>
        <v>#N/A</v>
      </c>
    </row>
    <row r="14" spans="1:23" x14ac:dyDescent="0.25">
      <c r="C14" s="4"/>
      <c r="E14" s="91" t="s">
        <v>219</v>
      </c>
      <c r="F14" s="22" t="s">
        <v>73</v>
      </c>
      <c r="G14" s="74" t="s">
        <v>41</v>
      </c>
      <c r="H14" s="39"/>
      <c r="I14" s="90" t="e">
        <f t="shared" si="0"/>
        <v>#N/A</v>
      </c>
      <c r="K14" s="47" t="e">
        <f>IFERROR(IF(I14=INDEX(K$9:K13, MATCH(I14, K$9:K13, 0)), I14+1, I14), I14)</f>
        <v>#N/A</v>
      </c>
    </row>
    <row r="15" spans="1:23" x14ac:dyDescent="0.25">
      <c r="C15" s="4"/>
      <c r="E15" s="91" t="s">
        <v>220</v>
      </c>
      <c r="F15" s="22" t="s">
        <v>73</v>
      </c>
      <c r="G15" s="74" t="s">
        <v>41</v>
      </c>
      <c r="H15" s="39"/>
      <c r="I15" s="90" t="e">
        <f t="shared" si="0"/>
        <v>#N/A</v>
      </c>
      <c r="K15" s="47" t="e">
        <f>IFERROR(IF(I15=INDEX(K$9:K14, MATCH(I15, K$9:K14, 0)), I15+1, I15), I15)</f>
        <v>#N/A</v>
      </c>
    </row>
    <row r="16" spans="1:23" x14ac:dyDescent="0.25">
      <c r="C16" s="4"/>
      <c r="E16" s="91" t="s">
        <v>221</v>
      </c>
      <c r="F16" s="22" t="s">
        <v>73</v>
      </c>
      <c r="G16" s="74" t="s">
        <v>41</v>
      </c>
      <c r="H16" s="39"/>
      <c r="I16" s="90" t="e">
        <f t="shared" si="0"/>
        <v>#N/A</v>
      </c>
      <c r="K16" s="47" t="e">
        <f>IFERROR(IF(I16=INDEX(K$9:K15, MATCH(I16, K$9:K15, 0)), I16+1, I16), I16)</f>
        <v>#N/A</v>
      </c>
    </row>
    <row r="17" spans="2:11" x14ac:dyDescent="0.25">
      <c r="C17" s="4"/>
      <c r="E17" s="91" t="s">
        <v>222</v>
      </c>
      <c r="F17" s="22" t="s">
        <v>73</v>
      </c>
      <c r="G17" s="74" t="s">
        <v>41</v>
      </c>
      <c r="H17" s="39"/>
      <c r="I17" s="90" t="e">
        <f t="shared" si="0"/>
        <v>#N/A</v>
      </c>
      <c r="K17" s="47" t="e">
        <f>IFERROR(IF(I17=INDEX(K$9:K16, MATCH(I17, K$9:K16, 0)), I17+1, I17), I17)</f>
        <v>#N/A</v>
      </c>
    </row>
    <row r="18" spans="2:11" x14ac:dyDescent="0.25">
      <c r="C18" s="4"/>
      <c r="E18" s="91" t="s">
        <v>223</v>
      </c>
      <c r="F18" s="22" t="s">
        <v>73</v>
      </c>
      <c r="G18" s="74" t="s">
        <v>41</v>
      </c>
      <c r="H18" s="39"/>
      <c r="I18" s="90" t="e">
        <f t="shared" si="0"/>
        <v>#N/A</v>
      </c>
      <c r="K18" s="47" t="e">
        <f>IFERROR(IF(I18=INDEX(K$9:K17, MATCH(I18, K$9:K17, 0)), I18+1, I18), I18)</f>
        <v>#N/A</v>
      </c>
    </row>
    <row r="19" spans="2:11" x14ac:dyDescent="0.25">
      <c r="C19" s="4"/>
      <c r="E19" s="91" t="s">
        <v>224</v>
      </c>
      <c r="F19" s="22" t="s">
        <v>73</v>
      </c>
      <c r="G19" s="74" t="s">
        <v>41</v>
      </c>
      <c r="H19" s="39"/>
      <c r="I19" s="90" t="e">
        <f t="shared" si="0"/>
        <v>#N/A</v>
      </c>
      <c r="K19" s="47" t="e">
        <f>IFERROR(IF(I19=INDEX(K$9:K18, MATCH(I19, K$9:K18, 0)), I19+1, I19), I19)</f>
        <v>#N/A</v>
      </c>
    </row>
    <row r="20" spans="2:11" x14ac:dyDescent="0.25">
      <c r="C20" s="4"/>
      <c r="E20" s="91" t="s">
        <v>225</v>
      </c>
      <c r="F20" s="22" t="s">
        <v>73</v>
      </c>
      <c r="G20" s="74" t="s">
        <v>41</v>
      </c>
      <c r="H20" s="39"/>
      <c r="I20" s="90" t="e">
        <f t="shared" si="0"/>
        <v>#N/A</v>
      </c>
      <c r="K20" s="47" t="e">
        <f>IFERROR(IF(I20=INDEX(K$9:K19, MATCH(I20, K$9:K19, 0)), I20+1, I20), I20)</f>
        <v>#N/A</v>
      </c>
    </row>
    <row r="21" spans="2:11" x14ac:dyDescent="0.25">
      <c r="C21" s="4"/>
      <c r="E21" s="91" t="s">
        <v>226</v>
      </c>
      <c r="F21" s="22" t="s">
        <v>73</v>
      </c>
      <c r="G21" s="74" t="s">
        <v>41</v>
      </c>
      <c r="H21" s="39"/>
      <c r="I21" s="90" t="e">
        <f t="shared" si="0"/>
        <v>#N/A</v>
      </c>
      <c r="K21" s="47" t="e">
        <f>IFERROR(IF(I21=INDEX(K$9:K20, MATCH(I21, K$9:K20, 0)), I21+1, I21), I21)</f>
        <v>#N/A</v>
      </c>
    </row>
    <row r="22" spans="2:11" x14ac:dyDescent="0.25">
      <c r="C22" s="4"/>
      <c r="E22" s="91" t="s">
        <v>227</v>
      </c>
      <c r="F22" s="22" t="s">
        <v>73</v>
      </c>
      <c r="G22" s="74" t="s">
        <v>41</v>
      </c>
      <c r="H22" s="39"/>
      <c r="I22" s="90" t="e">
        <f t="shared" si="0"/>
        <v>#N/A</v>
      </c>
      <c r="K22" s="47" t="e">
        <f>IFERROR(IF(I22=INDEX(K$9:K21, MATCH(I22, K$9:K21, 0)), I22+1, I22), I22)</f>
        <v>#N/A</v>
      </c>
    </row>
    <row r="23" spans="2:11" x14ac:dyDescent="0.25">
      <c r="C23" s="4"/>
      <c r="E23" s="91" t="s">
        <v>228</v>
      </c>
      <c r="F23" s="22" t="s">
        <v>73</v>
      </c>
      <c r="G23" s="74" t="s">
        <v>41</v>
      </c>
      <c r="H23" s="39"/>
      <c r="I23" s="90" t="e">
        <f t="shared" si="0"/>
        <v>#N/A</v>
      </c>
      <c r="K23" s="47" t="e">
        <f>IFERROR(IF(I23=INDEX(K$9:K22, MATCH(I23, K$9:K22, 0)), I23+1, I23), I23)</f>
        <v>#N/A</v>
      </c>
    </row>
    <row r="24" spans="2:11" x14ac:dyDescent="0.25">
      <c r="C24" s="4"/>
      <c r="E24" s="91" t="s">
        <v>229</v>
      </c>
      <c r="F24" s="22" t="s">
        <v>73</v>
      </c>
      <c r="G24" s="74" t="s">
        <v>41</v>
      </c>
      <c r="H24" s="39"/>
      <c r="I24" s="90" t="e">
        <f t="shared" si="0"/>
        <v>#N/A</v>
      </c>
      <c r="K24" s="47" t="e">
        <f>IFERROR(IF(I24=INDEX(K$9:K23, MATCH(I24, K$9:K23, 0)), I24+1, I24), I24)</f>
        <v>#N/A</v>
      </c>
    </row>
    <row r="25" spans="2:11" x14ac:dyDescent="0.25">
      <c r="C25" s="4"/>
      <c r="E25" s="91" t="s">
        <v>230</v>
      </c>
      <c r="F25" s="22" t="s">
        <v>73</v>
      </c>
      <c r="G25" s="74" t="s">
        <v>41</v>
      </c>
      <c r="H25" s="39"/>
      <c r="I25" s="90" t="e">
        <f t="shared" si="0"/>
        <v>#N/A</v>
      </c>
      <c r="K25" s="47" t="e">
        <f>IFERROR(IF(I25=INDEX(K$9:K24, MATCH(I25, K$9:K24, 0)), I25+1, I25), I25)</f>
        <v>#N/A</v>
      </c>
    </row>
    <row r="26" spans="2:11" x14ac:dyDescent="0.25">
      <c r="C26" s="4"/>
      <c r="E26" s="91" t="s">
        <v>231</v>
      </c>
      <c r="F26" s="22" t="s">
        <v>73</v>
      </c>
      <c r="G26" s="74" t="s">
        <v>41</v>
      </c>
      <c r="H26" s="39"/>
      <c r="I26" s="90" t="e">
        <f t="shared" si="0"/>
        <v>#N/A</v>
      </c>
      <c r="K26" s="47" t="e">
        <f>IFERROR(IF(I26=INDEX(K$9:K25, MATCH(I26, K$9:K25, 0)), I26+1, I26), I26)</f>
        <v>#N/A</v>
      </c>
    </row>
    <row r="27" spans="2:11" x14ac:dyDescent="0.25">
      <c r="C27" s="4"/>
      <c r="F27" s="22"/>
      <c r="G27" s="23"/>
      <c r="H27" s="27"/>
      <c r="I27" s="27"/>
    </row>
    <row r="28" spans="2:11" ht="13.5" x14ac:dyDescent="0.35">
      <c r="B28" s="16" t="s">
        <v>98</v>
      </c>
      <c r="F28" s="24"/>
      <c r="G28" s="24"/>
    </row>
    <row r="29" spans="2:11" x14ac:dyDescent="0.25">
      <c r="C29" s="4" t="s">
        <v>99</v>
      </c>
    </row>
    <row r="30" spans="2:11" x14ac:dyDescent="0.25">
      <c r="C30" s="4"/>
      <c r="E30" s="8" t="s">
        <v>100</v>
      </c>
      <c r="H30" s="48" t="e">
        <f>AVERAGE(H10:H26)</f>
        <v>#DIV/0!</v>
      </c>
    </row>
    <row r="31" spans="2:11" x14ac:dyDescent="0.25">
      <c r="C31" s="4"/>
      <c r="E31" s="8" t="s">
        <v>101</v>
      </c>
      <c r="H31" s="48" t="e">
        <f>MEDIAN(H10:H26)</f>
        <v>#NUM!</v>
      </c>
    </row>
    <row r="32" spans="2:11" x14ac:dyDescent="0.25">
      <c r="C32" s="4"/>
      <c r="E32" s="8" t="s">
        <v>102</v>
      </c>
      <c r="H32" s="48">
        <f>MAX(H10:H26)</f>
        <v>0</v>
      </c>
    </row>
    <row r="33" spans="2:9" x14ac:dyDescent="0.25">
      <c r="C33" s="4"/>
      <c r="E33" s="8" t="s">
        <v>103</v>
      </c>
      <c r="H33" s="48">
        <f>MIN(H10:H26)</f>
        <v>0</v>
      </c>
    </row>
    <row r="34" spans="2:9" x14ac:dyDescent="0.25">
      <c r="C34" s="4"/>
      <c r="E34" s="8" t="s">
        <v>104</v>
      </c>
      <c r="H34" s="48" t="e">
        <f>_xlfn.STDEV.P(H10:H26)</f>
        <v>#DIV/0!</v>
      </c>
    </row>
    <row r="35" spans="2:9" x14ac:dyDescent="0.25">
      <c r="C35" s="4"/>
      <c r="F35" s="32"/>
    </row>
    <row r="36" spans="2:9" ht="13.5" x14ac:dyDescent="0.35">
      <c r="B36" s="16" t="s">
        <v>105</v>
      </c>
      <c r="C36" s="4"/>
      <c r="F36" s="22"/>
      <c r="G36" s="23"/>
      <c r="H36" s="27"/>
      <c r="I36" s="27"/>
    </row>
    <row r="37" spans="2:9" x14ac:dyDescent="0.25">
      <c r="C37" s="4" t="s">
        <v>106</v>
      </c>
      <c r="F37" s="22"/>
      <c r="G37" s="23"/>
      <c r="H37" s="27"/>
      <c r="I37" s="27"/>
    </row>
    <row r="38" spans="2:9" x14ac:dyDescent="0.25">
      <c r="C38" s="4"/>
      <c r="D38" s="47">
        <v>1</v>
      </c>
      <c r="E38" s="27" t="e">
        <f>INDEX(Company_names, MATCH($D38, CMeX_dummy_rank, 0))</f>
        <v>#N/A</v>
      </c>
      <c r="F38" s="22" t="s">
        <v>73</v>
      </c>
      <c r="G38" s="74" t="s">
        <v>41</v>
      </c>
      <c r="H38" s="70" t="e">
        <f t="shared" ref="H38:H54" si="1">INDEX(CMeX_scores, MATCH($D38, CMeX_dummy_rank, 0))</f>
        <v>#N/A</v>
      </c>
      <c r="I38" s="27"/>
    </row>
    <row r="39" spans="2:9" x14ac:dyDescent="0.25">
      <c r="C39" s="4"/>
      <c r="D39" s="47">
        <v>2</v>
      </c>
      <c r="E39" s="27" t="e">
        <f t="shared" ref="E39:E54" si="2">INDEX(Company_names, MATCH(D39, CMeX_dummy_rank, 0))</f>
        <v>#N/A</v>
      </c>
      <c r="F39" s="22" t="s">
        <v>73</v>
      </c>
      <c r="G39" s="74" t="s">
        <v>41</v>
      </c>
      <c r="H39" s="70" t="e">
        <f t="shared" si="1"/>
        <v>#N/A</v>
      </c>
      <c r="I39" s="27"/>
    </row>
    <row r="40" spans="2:9" x14ac:dyDescent="0.25">
      <c r="C40" s="4"/>
      <c r="D40" s="47">
        <v>3</v>
      </c>
      <c r="E40" s="27" t="e">
        <f t="shared" si="2"/>
        <v>#N/A</v>
      </c>
      <c r="F40" s="22" t="s">
        <v>73</v>
      </c>
      <c r="G40" s="74" t="s">
        <v>41</v>
      </c>
      <c r="H40" s="70" t="e">
        <f t="shared" si="1"/>
        <v>#N/A</v>
      </c>
      <c r="I40" s="27"/>
    </row>
    <row r="41" spans="2:9" x14ac:dyDescent="0.25">
      <c r="C41" s="4"/>
      <c r="D41" s="47">
        <v>4</v>
      </c>
      <c r="E41" s="27" t="e">
        <f t="shared" si="2"/>
        <v>#N/A</v>
      </c>
      <c r="F41" s="22" t="s">
        <v>73</v>
      </c>
      <c r="G41" s="74" t="s">
        <v>41</v>
      </c>
      <c r="H41" s="70" t="e">
        <f t="shared" si="1"/>
        <v>#N/A</v>
      </c>
      <c r="I41" s="27"/>
    </row>
    <row r="42" spans="2:9" x14ac:dyDescent="0.25">
      <c r="C42" s="4"/>
      <c r="D42" s="47">
        <v>5</v>
      </c>
      <c r="E42" s="27" t="e">
        <f t="shared" si="2"/>
        <v>#N/A</v>
      </c>
      <c r="F42" s="22" t="s">
        <v>73</v>
      </c>
      <c r="G42" s="74" t="s">
        <v>41</v>
      </c>
      <c r="H42" s="70" t="e">
        <f t="shared" si="1"/>
        <v>#N/A</v>
      </c>
      <c r="I42" s="27"/>
    </row>
    <row r="43" spans="2:9" x14ac:dyDescent="0.25">
      <c r="C43" s="4"/>
      <c r="D43" s="47">
        <v>6</v>
      </c>
      <c r="E43" s="27" t="e">
        <f t="shared" si="2"/>
        <v>#N/A</v>
      </c>
      <c r="F43" s="22" t="s">
        <v>73</v>
      </c>
      <c r="G43" s="74" t="s">
        <v>41</v>
      </c>
      <c r="H43" s="70" t="e">
        <f t="shared" si="1"/>
        <v>#N/A</v>
      </c>
      <c r="I43" s="27"/>
    </row>
    <row r="44" spans="2:9" x14ac:dyDescent="0.25">
      <c r="C44" s="4"/>
      <c r="D44" s="47">
        <v>7</v>
      </c>
      <c r="E44" s="27" t="e">
        <f t="shared" si="2"/>
        <v>#N/A</v>
      </c>
      <c r="F44" s="22" t="s">
        <v>73</v>
      </c>
      <c r="G44" s="74" t="s">
        <v>41</v>
      </c>
      <c r="H44" s="70" t="e">
        <f t="shared" si="1"/>
        <v>#N/A</v>
      </c>
      <c r="I44" s="27"/>
    </row>
    <row r="45" spans="2:9" x14ac:dyDescent="0.25">
      <c r="C45" s="4"/>
      <c r="D45" s="47">
        <v>8</v>
      </c>
      <c r="E45" s="27" t="e">
        <f t="shared" si="2"/>
        <v>#N/A</v>
      </c>
      <c r="F45" s="22" t="s">
        <v>73</v>
      </c>
      <c r="G45" s="74" t="s">
        <v>41</v>
      </c>
      <c r="H45" s="70" t="e">
        <f t="shared" si="1"/>
        <v>#N/A</v>
      </c>
      <c r="I45" s="27"/>
    </row>
    <row r="46" spans="2:9" x14ac:dyDescent="0.25">
      <c r="C46" s="4"/>
      <c r="D46" s="47">
        <v>9</v>
      </c>
      <c r="E46" s="27" t="e">
        <f t="shared" si="2"/>
        <v>#N/A</v>
      </c>
      <c r="F46" s="22" t="s">
        <v>73</v>
      </c>
      <c r="G46" s="74" t="s">
        <v>41</v>
      </c>
      <c r="H46" s="70" t="e">
        <f t="shared" si="1"/>
        <v>#N/A</v>
      </c>
      <c r="I46" s="27"/>
    </row>
    <row r="47" spans="2:9" x14ac:dyDescent="0.25">
      <c r="C47" s="4"/>
      <c r="D47" s="47">
        <v>10</v>
      </c>
      <c r="E47" s="27" t="e">
        <f t="shared" si="2"/>
        <v>#N/A</v>
      </c>
      <c r="F47" s="22" t="s">
        <v>73</v>
      </c>
      <c r="G47" s="74" t="s">
        <v>41</v>
      </c>
      <c r="H47" s="70" t="e">
        <f t="shared" si="1"/>
        <v>#N/A</v>
      </c>
      <c r="I47" s="27"/>
    </row>
    <row r="48" spans="2:9" x14ac:dyDescent="0.25">
      <c r="C48" s="4"/>
      <c r="D48" s="47">
        <v>11</v>
      </c>
      <c r="E48" s="27" t="e">
        <f t="shared" si="2"/>
        <v>#N/A</v>
      </c>
      <c r="F48" s="22" t="s">
        <v>73</v>
      </c>
      <c r="G48" s="74" t="s">
        <v>41</v>
      </c>
      <c r="H48" s="70" t="e">
        <f t="shared" si="1"/>
        <v>#N/A</v>
      </c>
      <c r="I48" s="27"/>
    </row>
    <row r="49" spans="1:23" x14ac:dyDescent="0.25">
      <c r="C49" s="4"/>
      <c r="D49" s="47">
        <v>12</v>
      </c>
      <c r="E49" s="27" t="e">
        <f t="shared" si="2"/>
        <v>#N/A</v>
      </c>
      <c r="F49" s="22" t="s">
        <v>73</v>
      </c>
      <c r="G49" s="74" t="s">
        <v>41</v>
      </c>
      <c r="H49" s="70" t="e">
        <f t="shared" si="1"/>
        <v>#N/A</v>
      </c>
      <c r="I49" s="27"/>
    </row>
    <row r="50" spans="1:23" x14ac:dyDescent="0.25">
      <c r="C50" s="4"/>
      <c r="D50" s="47">
        <v>13</v>
      </c>
      <c r="E50" s="27" t="e">
        <f t="shared" si="2"/>
        <v>#N/A</v>
      </c>
      <c r="F50" s="22" t="s">
        <v>73</v>
      </c>
      <c r="G50" s="74" t="s">
        <v>41</v>
      </c>
      <c r="H50" s="70" t="e">
        <f t="shared" si="1"/>
        <v>#N/A</v>
      </c>
      <c r="I50" s="27"/>
    </row>
    <row r="51" spans="1:23" x14ac:dyDescent="0.25">
      <c r="C51" s="4"/>
      <c r="D51" s="47">
        <v>14</v>
      </c>
      <c r="E51" s="27" t="e">
        <f t="shared" si="2"/>
        <v>#N/A</v>
      </c>
      <c r="F51" s="22" t="s">
        <v>73</v>
      </c>
      <c r="G51" s="74" t="s">
        <v>41</v>
      </c>
      <c r="H51" s="70" t="e">
        <f t="shared" si="1"/>
        <v>#N/A</v>
      </c>
      <c r="I51" s="27"/>
    </row>
    <row r="52" spans="1:23" x14ac:dyDescent="0.25">
      <c r="C52" s="4"/>
      <c r="D52" s="47">
        <v>15</v>
      </c>
      <c r="E52" s="27" t="e">
        <f t="shared" si="2"/>
        <v>#N/A</v>
      </c>
      <c r="F52" s="22" t="s">
        <v>73</v>
      </c>
      <c r="G52" s="74" t="s">
        <v>41</v>
      </c>
      <c r="H52" s="70" t="e">
        <f t="shared" si="1"/>
        <v>#N/A</v>
      </c>
      <c r="I52" s="27"/>
    </row>
    <row r="53" spans="1:23" x14ac:dyDescent="0.25">
      <c r="C53" s="4"/>
      <c r="D53" s="47">
        <v>16</v>
      </c>
      <c r="E53" s="27" t="e">
        <f t="shared" si="2"/>
        <v>#N/A</v>
      </c>
      <c r="F53" s="22" t="s">
        <v>73</v>
      </c>
      <c r="G53" s="74" t="s">
        <v>41</v>
      </c>
      <c r="H53" s="70" t="e">
        <f t="shared" si="1"/>
        <v>#N/A</v>
      </c>
      <c r="I53" s="27"/>
    </row>
    <row r="54" spans="1:23" x14ac:dyDescent="0.25">
      <c r="C54" s="4"/>
      <c r="D54" s="47">
        <v>17</v>
      </c>
      <c r="E54" s="27" t="e">
        <f t="shared" si="2"/>
        <v>#N/A</v>
      </c>
      <c r="F54" s="22" t="s">
        <v>73</v>
      </c>
      <c r="G54" s="74" t="s">
        <v>41</v>
      </c>
      <c r="H54" s="70" t="e">
        <f t="shared" si="1"/>
        <v>#N/A</v>
      </c>
      <c r="I54" s="27"/>
    </row>
    <row r="55" spans="1:23" x14ac:dyDescent="0.25">
      <c r="C55" s="4"/>
      <c r="F55" s="22"/>
      <c r="G55" s="23"/>
      <c r="H55" s="27"/>
      <c r="I55" s="27"/>
    </row>
    <row r="56" spans="1:23" x14ac:dyDescent="0.25">
      <c r="C56" s="4"/>
      <c r="F56" s="22"/>
      <c r="G56" s="23"/>
    </row>
    <row r="57" spans="1:23" ht="13.5" x14ac:dyDescent="0.35">
      <c r="A57" s="7" t="s">
        <v>107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9" spans="1:23" ht="15" x14ac:dyDescent="0.4">
      <c r="A59" s="1" t="s">
        <v>108</v>
      </c>
    </row>
    <row r="60" spans="1:23" ht="13.5" x14ac:dyDescent="0.35">
      <c r="B60" s="16" t="s">
        <v>109</v>
      </c>
      <c r="F60" s="24"/>
      <c r="G60" s="24"/>
    </row>
    <row r="61" spans="1:23" x14ac:dyDescent="0.25">
      <c r="C61" s="4" t="s">
        <v>110</v>
      </c>
    </row>
    <row r="62" spans="1:23" x14ac:dyDescent="0.25">
      <c r="C62" s="4"/>
      <c r="E62" s="27" t="str">
        <f>E10</f>
        <v>Affinity Water</v>
      </c>
      <c r="F62" s="22" t="s">
        <v>5</v>
      </c>
      <c r="G62" s="74" t="s">
        <v>41</v>
      </c>
      <c r="H62" s="39"/>
    </row>
    <row r="63" spans="1:23" x14ac:dyDescent="0.25">
      <c r="C63" s="4"/>
      <c r="E63" s="27" t="str">
        <f t="shared" ref="E63:E78" si="3">E11</f>
        <v>Anglian Water</v>
      </c>
      <c r="F63" s="22" t="s">
        <v>5</v>
      </c>
      <c r="G63" s="74" t="s">
        <v>41</v>
      </c>
      <c r="H63" s="39"/>
    </row>
    <row r="64" spans="1:23" x14ac:dyDescent="0.25">
      <c r="C64" s="4"/>
      <c r="E64" s="27" t="str">
        <f t="shared" si="3"/>
        <v>Bristol Water</v>
      </c>
      <c r="F64" s="22" t="s">
        <v>5</v>
      </c>
      <c r="G64" s="74" t="s">
        <v>41</v>
      </c>
      <c r="H64" s="39"/>
    </row>
    <row r="65" spans="2:8" x14ac:dyDescent="0.25">
      <c r="C65" s="4"/>
      <c r="E65" s="27" t="str">
        <f t="shared" si="3"/>
        <v>Dŵr Cymru</v>
      </c>
      <c r="F65" s="22" t="s">
        <v>5</v>
      </c>
      <c r="G65" s="74" t="s">
        <v>41</v>
      </c>
      <c r="H65" s="39"/>
    </row>
    <row r="66" spans="2:8" x14ac:dyDescent="0.25">
      <c r="C66" s="4"/>
      <c r="E66" s="27" t="str">
        <f t="shared" si="3"/>
        <v>Hafren Dyfrdwy</v>
      </c>
      <c r="F66" s="22" t="s">
        <v>5</v>
      </c>
      <c r="G66" s="74" t="s">
        <v>41</v>
      </c>
      <c r="H66" s="39"/>
    </row>
    <row r="67" spans="2:8" x14ac:dyDescent="0.25">
      <c r="C67" s="4"/>
      <c r="E67" s="27" t="str">
        <f t="shared" si="3"/>
        <v>Northumbrian Water</v>
      </c>
      <c r="F67" s="22" t="s">
        <v>5</v>
      </c>
      <c r="G67" s="74" t="s">
        <v>41</v>
      </c>
      <c r="H67" s="39"/>
    </row>
    <row r="68" spans="2:8" x14ac:dyDescent="0.25">
      <c r="C68" s="4"/>
      <c r="E68" s="27" t="str">
        <f t="shared" si="3"/>
        <v>Portsmouth Water</v>
      </c>
      <c r="F68" s="22" t="s">
        <v>5</v>
      </c>
      <c r="G68" s="74" t="s">
        <v>41</v>
      </c>
      <c r="H68" s="39"/>
    </row>
    <row r="69" spans="2:8" x14ac:dyDescent="0.25">
      <c r="C69" s="4"/>
      <c r="E69" s="27" t="str">
        <f t="shared" si="3"/>
        <v>SES Water</v>
      </c>
      <c r="F69" s="22" t="s">
        <v>5</v>
      </c>
      <c r="G69" s="74" t="s">
        <v>41</v>
      </c>
      <c r="H69" s="39"/>
    </row>
    <row r="70" spans="2:8" x14ac:dyDescent="0.25">
      <c r="C70" s="4"/>
      <c r="E70" s="27" t="str">
        <f t="shared" si="3"/>
        <v>Severn Trent Water</v>
      </c>
      <c r="F70" s="22" t="s">
        <v>5</v>
      </c>
      <c r="G70" s="74" t="s">
        <v>41</v>
      </c>
      <c r="H70" s="39"/>
    </row>
    <row r="71" spans="2:8" x14ac:dyDescent="0.25">
      <c r="C71" s="4"/>
      <c r="E71" s="27" t="str">
        <f t="shared" si="3"/>
        <v>South East Water</v>
      </c>
      <c r="F71" s="22" t="s">
        <v>5</v>
      </c>
      <c r="G71" s="74" t="s">
        <v>41</v>
      </c>
      <c r="H71" s="39"/>
    </row>
    <row r="72" spans="2:8" x14ac:dyDescent="0.25">
      <c r="C72" s="4"/>
      <c r="E72" s="27" t="str">
        <f t="shared" si="3"/>
        <v>South Staffs Water</v>
      </c>
      <c r="F72" s="22" t="s">
        <v>5</v>
      </c>
      <c r="G72" s="74" t="s">
        <v>41</v>
      </c>
      <c r="H72" s="39"/>
    </row>
    <row r="73" spans="2:8" x14ac:dyDescent="0.25">
      <c r="C73" s="4"/>
      <c r="E73" s="27" t="str">
        <f t="shared" si="3"/>
        <v>South West Water</v>
      </c>
      <c r="F73" s="22" t="s">
        <v>5</v>
      </c>
      <c r="G73" s="74" t="s">
        <v>41</v>
      </c>
      <c r="H73" s="39"/>
    </row>
    <row r="74" spans="2:8" x14ac:dyDescent="0.25">
      <c r="C74" s="4"/>
      <c r="E74" s="27" t="str">
        <f t="shared" si="3"/>
        <v>Southern Water</v>
      </c>
      <c r="F74" s="22" t="s">
        <v>5</v>
      </c>
      <c r="G74" s="74" t="s">
        <v>41</v>
      </c>
      <c r="H74" s="39"/>
    </row>
    <row r="75" spans="2:8" x14ac:dyDescent="0.25">
      <c r="C75" s="4"/>
      <c r="E75" s="27" t="str">
        <f t="shared" si="3"/>
        <v>Thames Water</v>
      </c>
      <c r="F75" s="22" t="s">
        <v>5</v>
      </c>
      <c r="G75" s="74" t="s">
        <v>41</v>
      </c>
      <c r="H75" s="39"/>
    </row>
    <row r="76" spans="2:8" x14ac:dyDescent="0.25">
      <c r="C76" s="4"/>
      <c r="E76" s="27" t="str">
        <f t="shared" si="3"/>
        <v>United Utilities</v>
      </c>
      <c r="F76" s="22" t="s">
        <v>5</v>
      </c>
      <c r="G76" s="74" t="s">
        <v>41</v>
      </c>
      <c r="H76" s="39"/>
    </row>
    <row r="77" spans="2:8" x14ac:dyDescent="0.25">
      <c r="C77" s="4"/>
      <c r="E77" s="27" t="str">
        <f t="shared" si="3"/>
        <v>Wessex Water</v>
      </c>
      <c r="F77" s="22" t="s">
        <v>5</v>
      </c>
      <c r="G77" s="74" t="s">
        <v>41</v>
      </c>
      <c r="H77" s="39"/>
    </row>
    <row r="78" spans="2:8" x14ac:dyDescent="0.25">
      <c r="C78" s="4"/>
      <c r="E78" s="27" t="str">
        <f t="shared" si="3"/>
        <v>Yorkshire Water</v>
      </c>
      <c r="F78" s="22" t="s">
        <v>5</v>
      </c>
      <c r="G78" s="74" t="s">
        <v>41</v>
      </c>
      <c r="H78" s="39"/>
    </row>
    <row r="79" spans="2:8" x14ac:dyDescent="0.25">
      <c r="C79" s="4"/>
      <c r="F79" s="22"/>
      <c r="G79" s="74"/>
    </row>
    <row r="80" spans="2:8" ht="13.5" x14ac:dyDescent="0.35">
      <c r="B80" s="16" t="s">
        <v>111</v>
      </c>
      <c r="F80" s="24"/>
      <c r="G80" s="75"/>
    </row>
    <row r="81" spans="1:23" x14ac:dyDescent="0.25">
      <c r="C81" s="4" t="s">
        <v>112</v>
      </c>
      <c r="G81" s="77"/>
    </row>
    <row r="82" spans="1:23" x14ac:dyDescent="0.25">
      <c r="C82" s="4"/>
      <c r="E82" s="8" t="s">
        <v>113</v>
      </c>
      <c r="F82" s="22" t="s">
        <v>240</v>
      </c>
      <c r="G82" s="74" t="s">
        <v>41</v>
      </c>
      <c r="H82" s="31"/>
    </row>
    <row r="83" spans="1:23" x14ac:dyDescent="0.25">
      <c r="C83" s="4"/>
      <c r="E83" s="8" t="s">
        <v>114</v>
      </c>
      <c r="F83" s="22"/>
      <c r="G83" s="74" t="s">
        <v>41</v>
      </c>
      <c r="H83" s="41" t="e">
        <f>AVERAGE(H62:H78)</f>
        <v>#DIV/0!</v>
      </c>
    </row>
    <row r="84" spans="1:23" x14ac:dyDescent="0.25">
      <c r="C84" s="4"/>
      <c r="E84" s="8" t="s">
        <v>115</v>
      </c>
      <c r="F84" s="22"/>
      <c r="G84" s="74" t="s">
        <v>41</v>
      </c>
      <c r="H84" s="41" t="e">
        <f>_xlfn.STDEV.P(H62:H78)</f>
        <v>#DIV/0!</v>
      </c>
    </row>
    <row r="85" spans="1:23" x14ac:dyDescent="0.25">
      <c r="C85" s="4"/>
      <c r="E85" s="8" t="s">
        <v>116</v>
      </c>
      <c r="F85" s="22"/>
      <c r="G85" s="74" t="s">
        <v>41</v>
      </c>
      <c r="H85" s="40" t="e">
        <f>H30 + (H82 - H83) / H84 * H34</f>
        <v>#DIV/0!</v>
      </c>
    </row>
    <row r="86" spans="1:23" x14ac:dyDescent="0.25">
      <c r="C86" s="4"/>
      <c r="F86" s="22"/>
      <c r="G86" s="23"/>
    </row>
    <row r="87" spans="1:23" ht="13.5" x14ac:dyDescent="0.35">
      <c r="A87" s="7" t="s">
        <v>117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9" spans="1:23" ht="15" x14ac:dyDescent="0.4">
      <c r="A89" s="1" t="s">
        <v>118</v>
      </c>
    </row>
    <row r="90" spans="1:23" ht="13.5" x14ac:dyDescent="0.35">
      <c r="B90" s="16" t="s">
        <v>119</v>
      </c>
      <c r="F90" s="24"/>
      <c r="G90" s="24"/>
    </row>
    <row r="91" spans="1:23" x14ac:dyDescent="0.25">
      <c r="C91" s="4" t="s">
        <v>120</v>
      </c>
    </row>
    <row r="92" spans="1:23" x14ac:dyDescent="0.25">
      <c r="C92" s="4"/>
      <c r="E92" s="27" t="str">
        <f>E10</f>
        <v>Affinity Water</v>
      </c>
      <c r="F92" s="22" t="s">
        <v>121</v>
      </c>
      <c r="G92" s="74" t="s">
        <v>54</v>
      </c>
      <c r="H92" s="49"/>
    </row>
    <row r="93" spans="1:23" x14ac:dyDescent="0.25">
      <c r="C93" s="4"/>
      <c r="E93" s="27" t="str">
        <f t="shared" ref="E93:E108" si="4">E11</f>
        <v>Anglian Water</v>
      </c>
      <c r="F93" s="22" t="s">
        <v>121</v>
      </c>
      <c r="G93" s="74" t="s">
        <v>54</v>
      </c>
      <c r="H93" s="49"/>
    </row>
    <row r="94" spans="1:23" x14ac:dyDescent="0.25">
      <c r="C94" s="4"/>
      <c r="E94" s="27" t="str">
        <f t="shared" si="4"/>
        <v>Bristol Water</v>
      </c>
      <c r="F94" s="22" t="s">
        <v>121</v>
      </c>
      <c r="G94" s="74" t="s">
        <v>54</v>
      </c>
      <c r="H94" s="49"/>
    </row>
    <row r="95" spans="1:23" x14ac:dyDescent="0.25">
      <c r="C95" s="4"/>
      <c r="E95" s="27" t="str">
        <f t="shared" si="4"/>
        <v>Dŵr Cymru</v>
      </c>
      <c r="F95" s="22" t="s">
        <v>121</v>
      </c>
      <c r="G95" s="74" t="s">
        <v>54</v>
      </c>
      <c r="H95" s="49"/>
    </row>
    <row r="96" spans="1:23" x14ac:dyDescent="0.25">
      <c r="C96" s="4"/>
      <c r="E96" s="27" t="str">
        <f t="shared" si="4"/>
        <v>Hafren Dyfrdwy</v>
      </c>
      <c r="F96" s="22" t="s">
        <v>121</v>
      </c>
      <c r="G96" s="74" t="s">
        <v>54</v>
      </c>
      <c r="H96" s="49"/>
    </row>
    <row r="97" spans="2:8" x14ac:dyDescent="0.25">
      <c r="C97" s="4"/>
      <c r="E97" s="27" t="str">
        <f t="shared" si="4"/>
        <v>Northumbrian Water</v>
      </c>
      <c r="F97" s="22" t="s">
        <v>121</v>
      </c>
      <c r="G97" s="74" t="s">
        <v>54</v>
      </c>
      <c r="H97" s="49"/>
    </row>
    <row r="98" spans="2:8" x14ac:dyDescent="0.25">
      <c r="C98" s="4"/>
      <c r="E98" s="27" t="str">
        <f t="shared" si="4"/>
        <v>Portsmouth Water</v>
      </c>
      <c r="F98" s="22" t="s">
        <v>121</v>
      </c>
      <c r="G98" s="74" t="s">
        <v>54</v>
      </c>
      <c r="H98" s="49"/>
    </row>
    <row r="99" spans="2:8" x14ac:dyDescent="0.25">
      <c r="C99" s="4"/>
      <c r="E99" s="27" t="str">
        <f t="shared" si="4"/>
        <v>SES Water</v>
      </c>
      <c r="F99" s="22" t="s">
        <v>121</v>
      </c>
      <c r="G99" s="74" t="s">
        <v>54</v>
      </c>
      <c r="H99" s="49"/>
    </row>
    <row r="100" spans="2:8" x14ac:dyDescent="0.25">
      <c r="C100" s="4"/>
      <c r="E100" s="27" t="str">
        <f t="shared" si="4"/>
        <v>Severn Trent Water</v>
      </c>
      <c r="F100" s="22" t="s">
        <v>121</v>
      </c>
      <c r="G100" s="74" t="s">
        <v>54</v>
      </c>
      <c r="H100" s="49"/>
    </row>
    <row r="101" spans="2:8" x14ac:dyDescent="0.25">
      <c r="C101" s="4"/>
      <c r="E101" s="27" t="str">
        <f t="shared" si="4"/>
        <v>South East Water</v>
      </c>
      <c r="F101" s="22" t="s">
        <v>121</v>
      </c>
      <c r="G101" s="74" t="s">
        <v>54</v>
      </c>
      <c r="H101" s="49"/>
    </row>
    <row r="102" spans="2:8" x14ac:dyDescent="0.25">
      <c r="C102" s="4"/>
      <c r="E102" s="27" t="str">
        <f t="shared" si="4"/>
        <v>South Staffs Water</v>
      </c>
      <c r="F102" s="22" t="s">
        <v>121</v>
      </c>
      <c r="G102" s="74" t="s">
        <v>54</v>
      </c>
      <c r="H102" s="49"/>
    </row>
    <row r="103" spans="2:8" x14ac:dyDescent="0.25">
      <c r="C103" s="4"/>
      <c r="E103" s="27" t="str">
        <f t="shared" si="4"/>
        <v>South West Water</v>
      </c>
      <c r="F103" s="22" t="s">
        <v>121</v>
      </c>
      <c r="G103" s="74" t="s">
        <v>54</v>
      </c>
      <c r="H103" s="49"/>
    </row>
    <row r="104" spans="2:8" x14ac:dyDescent="0.25">
      <c r="C104" s="4"/>
      <c r="E104" s="27" t="str">
        <f t="shared" si="4"/>
        <v>Southern Water</v>
      </c>
      <c r="F104" s="22" t="s">
        <v>121</v>
      </c>
      <c r="G104" s="74" t="s">
        <v>54</v>
      </c>
      <c r="H104" s="49"/>
    </row>
    <row r="105" spans="2:8" x14ac:dyDescent="0.25">
      <c r="C105" s="4"/>
      <c r="E105" s="27" t="str">
        <f t="shared" si="4"/>
        <v>Thames Water</v>
      </c>
      <c r="F105" s="22" t="s">
        <v>121</v>
      </c>
      <c r="G105" s="74" t="s">
        <v>54</v>
      </c>
      <c r="H105" s="49"/>
    </row>
    <row r="106" spans="2:8" x14ac:dyDescent="0.25">
      <c r="C106" s="4"/>
      <c r="E106" s="27" t="str">
        <f t="shared" si="4"/>
        <v>United Utilities</v>
      </c>
      <c r="F106" s="22" t="s">
        <v>121</v>
      </c>
      <c r="G106" s="74" t="s">
        <v>54</v>
      </c>
      <c r="H106" s="49"/>
    </row>
    <row r="107" spans="2:8" x14ac:dyDescent="0.25">
      <c r="C107" s="4"/>
      <c r="E107" s="27" t="str">
        <f t="shared" si="4"/>
        <v>Wessex Water</v>
      </c>
      <c r="F107" s="22" t="s">
        <v>121</v>
      </c>
      <c r="G107" s="74" t="s">
        <v>54</v>
      </c>
      <c r="H107" s="49"/>
    </row>
    <row r="108" spans="2:8" x14ac:dyDescent="0.25">
      <c r="C108" s="4"/>
      <c r="E108" s="27" t="str">
        <f t="shared" si="4"/>
        <v>Yorkshire Water</v>
      </c>
      <c r="F108" s="22" t="s">
        <v>121</v>
      </c>
      <c r="G108" s="74" t="s">
        <v>54</v>
      </c>
      <c r="H108" s="49"/>
    </row>
    <row r="109" spans="2:8" x14ac:dyDescent="0.25">
      <c r="C109" s="4"/>
      <c r="F109" s="22"/>
      <c r="G109" s="74"/>
      <c r="H109" s="50"/>
    </row>
    <row r="110" spans="2:8" ht="13.5" x14ac:dyDescent="0.35">
      <c r="B110" s="16" t="s">
        <v>122</v>
      </c>
      <c r="F110" s="24"/>
      <c r="G110" s="75"/>
      <c r="H110" s="50"/>
    </row>
    <row r="111" spans="2:8" x14ac:dyDescent="0.25">
      <c r="C111" s="4" t="s">
        <v>123</v>
      </c>
      <c r="G111" s="77"/>
      <c r="H111" s="50"/>
    </row>
    <row r="112" spans="2:8" x14ac:dyDescent="0.25">
      <c r="C112" s="4"/>
      <c r="E112" s="8" t="s">
        <v>124</v>
      </c>
      <c r="F112" s="22"/>
      <c r="G112" s="74" t="s">
        <v>54</v>
      </c>
      <c r="H112" s="51" t="e">
        <f>AVERAGE(H92:H108)</f>
        <v>#DIV/0!</v>
      </c>
    </row>
    <row r="113" spans="1:23" x14ac:dyDescent="0.25">
      <c r="C113" s="4"/>
      <c r="F113" s="22"/>
      <c r="G113" s="23"/>
    </row>
    <row r="114" spans="1:23" ht="13.5" x14ac:dyDescent="0.35">
      <c r="A114" s="7" t="s">
        <v>125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6" spans="1:23" ht="15" x14ac:dyDescent="0.4">
      <c r="A116" s="1" t="s">
        <v>126</v>
      </c>
    </row>
    <row r="117" spans="1:23" x14ac:dyDescent="0.25">
      <c r="C117" s="4" t="s">
        <v>127</v>
      </c>
    </row>
    <row r="118" spans="1:23" x14ac:dyDescent="0.25">
      <c r="C118" s="4"/>
      <c r="E118" s="27" t="str">
        <f>E10</f>
        <v>Affinity Water</v>
      </c>
      <c r="F118" s="22" t="s">
        <v>5</v>
      </c>
      <c r="G118" s="74" t="s">
        <v>128</v>
      </c>
      <c r="H118" s="52"/>
    </row>
    <row r="119" spans="1:23" x14ac:dyDescent="0.25">
      <c r="E119" s="27" t="str">
        <f t="shared" ref="E119:E134" si="5">E11</f>
        <v>Anglian Water</v>
      </c>
      <c r="F119" s="22" t="s">
        <v>5</v>
      </c>
      <c r="G119" s="74" t="s">
        <v>128</v>
      </c>
      <c r="H119" s="52"/>
    </row>
    <row r="120" spans="1:23" x14ac:dyDescent="0.25">
      <c r="E120" s="27" t="str">
        <f t="shared" si="5"/>
        <v>Bristol Water</v>
      </c>
      <c r="F120" s="22" t="s">
        <v>5</v>
      </c>
      <c r="G120" s="74" t="s">
        <v>128</v>
      </c>
      <c r="H120" s="52"/>
    </row>
    <row r="121" spans="1:23" x14ac:dyDescent="0.25">
      <c r="E121" s="27" t="str">
        <f t="shared" si="5"/>
        <v>Dŵr Cymru</v>
      </c>
      <c r="F121" s="22" t="s">
        <v>5</v>
      </c>
      <c r="G121" s="74" t="s">
        <v>128</v>
      </c>
      <c r="H121" s="52"/>
    </row>
    <row r="122" spans="1:23" x14ac:dyDescent="0.25">
      <c r="E122" s="27" t="str">
        <f t="shared" si="5"/>
        <v>Hafren Dyfrdwy</v>
      </c>
      <c r="F122" s="22" t="s">
        <v>5</v>
      </c>
      <c r="G122" s="74" t="s">
        <v>128</v>
      </c>
      <c r="H122" s="52"/>
    </row>
    <row r="123" spans="1:23" x14ac:dyDescent="0.25">
      <c r="E123" s="27" t="str">
        <f t="shared" si="5"/>
        <v>Northumbrian Water</v>
      </c>
      <c r="F123" s="22" t="s">
        <v>5</v>
      </c>
      <c r="G123" s="74" t="s">
        <v>128</v>
      </c>
      <c r="H123" s="52"/>
    </row>
    <row r="124" spans="1:23" x14ac:dyDescent="0.25">
      <c r="E124" s="27" t="str">
        <f t="shared" si="5"/>
        <v>Portsmouth Water</v>
      </c>
      <c r="F124" s="22" t="s">
        <v>5</v>
      </c>
      <c r="G124" s="74" t="s">
        <v>128</v>
      </c>
      <c r="H124" s="52"/>
    </row>
    <row r="125" spans="1:23" x14ac:dyDescent="0.25">
      <c r="E125" s="27" t="str">
        <f t="shared" si="5"/>
        <v>SES Water</v>
      </c>
      <c r="F125" s="22" t="s">
        <v>5</v>
      </c>
      <c r="G125" s="74" t="s">
        <v>128</v>
      </c>
      <c r="H125" s="52"/>
    </row>
    <row r="126" spans="1:23" x14ac:dyDescent="0.25">
      <c r="E126" s="27" t="str">
        <f t="shared" si="5"/>
        <v>Severn Trent Water</v>
      </c>
      <c r="F126" s="22" t="s">
        <v>5</v>
      </c>
      <c r="G126" s="74" t="s">
        <v>128</v>
      </c>
      <c r="H126" s="52"/>
    </row>
    <row r="127" spans="1:23" x14ac:dyDescent="0.25">
      <c r="E127" s="27" t="str">
        <f t="shared" si="5"/>
        <v>South East Water</v>
      </c>
      <c r="F127" s="22" t="s">
        <v>5</v>
      </c>
      <c r="G127" s="74" t="s">
        <v>128</v>
      </c>
      <c r="H127" s="52"/>
    </row>
    <row r="128" spans="1:23" x14ac:dyDescent="0.25">
      <c r="E128" s="27" t="str">
        <f t="shared" si="5"/>
        <v>South Staffs Water</v>
      </c>
      <c r="F128" s="22" t="s">
        <v>5</v>
      </c>
      <c r="G128" s="74" t="s">
        <v>128</v>
      </c>
      <c r="H128" s="52"/>
    </row>
    <row r="129" spans="1:23" x14ac:dyDescent="0.25">
      <c r="E129" s="27" t="str">
        <f t="shared" si="5"/>
        <v>South West Water</v>
      </c>
      <c r="F129" s="22" t="s">
        <v>5</v>
      </c>
      <c r="G129" s="74" t="s">
        <v>128</v>
      </c>
      <c r="H129" s="52"/>
    </row>
    <row r="130" spans="1:23" x14ac:dyDescent="0.25">
      <c r="E130" s="27" t="str">
        <f t="shared" si="5"/>
        <v>Southern Water</v>
      </c>
      <c r="F130" s="22" t="s">
        <v>5</v>
      </c>
      <c r="G130" s="74" t="s">
        <v>128</v>
      </c>
      <c r="H130" s="52"/>
    </row>
    <row r="131" spans="1:23" x14ac:dyDescent="0.25">
      <c r="E131" s="27" t="str">
        <f t="shared" si="5"/>
        <v>Thames Water</v>
      </c>
      <c r="F131" s="22" t="s">
        <v>5</v>
      </c>
      <c r="G131" s="74" t="s">
        <v>128</v>
      </c>
      <c r="H131" s="52"/>
    </row>
    <row r="132" spans="1:23" x14ac:dyDescent="0.25">
      <c r="E132" s="27" t="str">
        <f t="shared" si="5"/>
        <v>United Utilities</v>
      </c>
      <c r="F132" s="22" t="s">
        <v>5</v>
      </c>
      <c r="G132" s="74" t="s">
        <v>128</v>
      </c>
      <c r="H132" s="52"/>
    </row>
    <row r="133" spans="1:23" x14ac:dyDescent="0.25">
      <c r="E133" s="27" t="str">
        <f t="shared" si="5"/>
        <v>Wessex Water</v>
      </c>
      <c r="F133" s="22" t="s">
        <v>5</v>
      </c>
      <c r="G133" s="74" t="s">
        <v>128</v>
      </c>
      <c r="H133" s="52"/>
    </row>
    <row r="134" spans="1:23" x14ac:dyDescent="0.25">
      <c r="E134" s="27" t="str">
        <f t="shared" si="5"/>
        <v>Yorkshire Water</v>
      </c>
      <c r="F134" s="22" t="s">
        <v>5</v>
      </c>
      <c r="G134" s="74" t="s">
        <v>128</v>
      </c>
      <c r="H134" s="52"/>
    </row>
    <row r="135" spans="1:23" x14ac:dyDescent="0.25">
      <c r="E135" s="27"/>
    </row>
    <row r="136" spans="1:23" ht="13.5" x14ac:dyDescent="0.35">
      <c r="A136" s="9" t="s">
        <v>13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</sheetData>
  <conditionalFormatting sqref="E38:E54">
    <cfRule type="expression" dxfId="4" priority="10">
      <formula>INDEX(CMeX_rank, MATCH(E38, Company_names, 0)) &lt;=Top_x_CMeX</formula>
    </cfRule>
  </conditionalFormatting>
  <conditionalFormatting sqref="E92:E108">
    <cfRule type="expression" dxfId="3" priority="8">
      <formula>$H92&lt;Avg_complaints</formula>
    </cfRule>
  </conditionalFormatting>
  <conditionalFormatting sqref="E62:E78">
    <cfRule type="expression" dxfId="2" priority="4">
      <formula>$H62&gt;$H$85</formula>
    </cfRule>
  </conditionalFormatting>
  <dataValidations count="5">
    <dataValidation type="whole" allowBlank="1" showInputMessage="1" showErrorMessage="1" sqref="H82">
      <formula1>0</formula1>
      <formula2>10000</formula2>
    </dataValidation>
    <dataValidation type="decimal" allowBlank="1" showInputMessage="1" showErrorMessage="1" sqref="H10:H26 H62:H78">
      <formula1>0</formula1>
      <formula2>100</formula2>
    </dataValidation>
    <dataValidation type="decimal" allowBlank="1" showInputMessage="1" showErrorMessage="1" sqref="H92:H108">
      <formula1>0</formula1>
      <formula2>10000</formula2>
    </dataValidation>
    <dataValidation type="decimal" allowBlank="1" showInputMessage="1" showErrorMessage="1" sqref="H118:H134">
      <formula1>0</formula1>
      <formula2>1000</formula2>
    </dataValidation>
    <dataValidation type="whole" allowBlank="1" showInputMessage="1" showErrorMessage="1" sqref="I10:I26">
      <formula1>0</formula1>
      <formula2>105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DCD8"/>
  </sheetPr>
  <dimension ref="A1:Y92"/>
  <sheetViews>
    <sheetView zoomScale="80" zoomScaleNormal="80" workbookViewId="0">
      <pane ySplit="3" topLeftCell="A4" activePane="bottomLeft" state="frozen"/>
      <selection pane="bottomLeft" activeCell="E19" sqref="E19"/>
    </sheetView>
  </sheetViews>
  <sheetFormatPr defaultColWidth="9.1796875" defaultRowHeight="12.5" x14ac:dyDescent="0.25"/>
  <cols>
    <col min="1" max="4" width="2.7265625" style="8" customWidth="1"/>
    <col min="5" max="5" width="60.7265625" style="8" customWidth="1"/>
    <col min="6" max="6" width="15.7265625" style="8" customWidth="1"/>
    <col min="7" max="7" width="12.7265625" style="58" customWidth="1"/>
    <col min="8" max="8" width="18.7265625" style="8" bestFit="1" customWidth="1"/>
    <col min="9" max="9" width="18.26953125" style="8" bestFit="1" customWidth="1"/>
    <col min="10" max="10" width="2.7265625" style="8" customWidth="1"/>
    <col min="11" max="16384" width="9.1796875" style="8"/>
  </cols>
  <sheetData>
    <row r="1" spans="1:25" ht="32" x14ac:dyDescent="0.8">
      <c r="A1" s="44" t="str">
        <f ca="1" xml:space="preserve"> RIGHT(CELL("filename", $A$1), LEN(CELL("filename", $A$1)) - SEARCH("]", CELL("filename", $A$1)))</f>
        <v>Company score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8" t="s">
        <v>129</v>
      </c>
      <c r="G2" s="8"/>
    </row>
    <row r="3" spans="1:25" x14ac:dyDescent="0.25">
      <c r="G3" s="8"/>
    </row>
    <row r="4" spans="1:25" x14ac:dyDescent="0.25">
      <c r="G4" s="8"/>
    </row>
    <row r="5" spans="1:25" ht="13.5" x14ac:dyDescent="0.35">
      <c r="A5" s="7" t="s">
        <v>130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25">
      <c r="G6" s="8"/>
    </row>
    <row r="7" spans="1:25" ht="15" x14ac:dyDescent="0.4">
      <c r="A7" s="1" t="s">
        <v>131</v>
      </c>
      <c r="F7" s="63"/>
      <c r="G7" s="63"/>
      <c r="H7" s="63" t="s">
        <v>17</v>
      </c>
    </row>
    <row r="8" spans="1:25" ht="13.5" x14ac:dyDescent="0.35">
      <c r="B8" s="2" t="s">
        <v>132</v>
      </c>
      <c r="G8" s="8"/>
    </row>
    <row r="9" spans="1:25" x14ac:dyDescent="0.25">
      <c r="C9" s="4" t="s">
        <v>133</v>
      </c>
      <c r="G9" s="8"/>
    </row>
    <row r="10" spans="1:25" x14ac:dyDescent="0.25">
      <c r="C10" s="4"/>
      <c r="E10" s="8" t="s">
        <v>90</v>
      </c>
      <c r="G10" s="8"/>
      <c r="H10" s="79" t="str">
        <f>IF('Company data'!H40&lt;'Policy decisions'!H29,"No","Yes")</f>
        <v>No</v>
      </c>
    </row>
    <row r="11" spans="1:25" x14ac:dyDescent="0.25">
      <c r="C11" s="4"/>
      <c r="E11" s="8" t="s">
        <v>91</v>
      </c>
      <c r="G11" s="8"/>
      <c r="H11" s="80" t="str">
        <f>IF('Company data'!H41&lt;'Policy decisions'!H30,"No","Yes")</f>
        <v>No</v>
      </c>
    </row>
    <row r="12" spans="1:25" x14ac:dyDescent="0.25">
      <c r="C12" s="4"/>
      <c r="G12" s="8"/>
    </row>
    <row r="13" spans="1:25" ht="13.5" x14ac:dyDescent="0.35">
      <c r="B13" s="2" t="s">
        <v>134</v>
      </c>
      <c r="C13" s="4"/>
      <c r="G13" s="8"/>
    </row>
    <row r="14" spans="1:25" x14ac:dyDescent="0.25">
      <c r="C14" s="4" t="s">
        <v>135</v>
      </c>
      <c r="G14" s="8"/>
    </row>
    <row r="15" spans="1:25" x14ac:dyDescent="0.25">
      <c r="C15" s="4"/>
      <c r="E15" s="8" t="s">
        <v>136</v>
      </c>
      <c r="G15" s="8"/>
      <c r="H15" s="27">
        <f>IF(AND(H10="Yes",H11="Yes"),0,'Policy decisions'!H31)</f>
        <v>3</v>
      </c>
    </row>
    <row r="16" spans="1:25" x14ac:dyDescent="0.25">
      <c r="C16" s="4"/>
      <c r="G16" s="8"/>
    </row>
    <row r="17" spans="1:25" ht="13.5" x14ac:dyDescent="0.35">
      <c r="A17" s="7" t="s">
        <v>137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5">
      <c r="G18" s="8"/>
    </row>
    <row r="19" spans="1:25" ht="15" x14ac:dyDescent="0.4">
      <c r="A19" s="1" t="s">
        <v>138</v>
      </c>
      <c r="F19" s="63" t="s">
        <v>139</v>
      </c>
      <c r="G19" s="63" t="s">
        <v>140</v>
      </c>
      <c r="H19" s="63" t="s">
        <v>17</v>
      </c>
    </row>
    <row r="20" spans="1:25" ht="13.5" x14ac:dyDescent="0.35">
      <c r="B20" s="2" t="s">
        <v>141</v>
      </c>
      <c r="G20" s="8"/>
    </row>
    <row r="21" spans="1:25" x14ac:dyDescent="0.25">
      <c r="C21" s="4" t="s">
        <v>142</v>
      </c>
      <c r="G21" s="8"/>
    </row>
    <row r="22" spans="1:25" ht="12.75" customHeight="1" x14ac:dyDescent="0.4">
      <c r="A22" s="1"/>
      <c r="E22" s="8" t="s">
        <v>64</v>
      </c>
      <c r="G22" s="8"/>
      <c r="H22" s="46">
        <f>Company_name</f>
        <v>0</v>
      </c>
    </row>
    <row r="23" spans="1:25" ht="12.75" customHeight="1" x14ac:dyDescent="0.4">
      <c r="A23" s="1"/>
      <c r="E23" s="8" t="s">
        <v>69</v>
      </c>
      <c r="G23" s="8"/>
      <c r="H23" s="46">
        <f>'Company data'!H13</f>
        <v>0</v>
      </c>
    </row>
    <row r="24" spans="1:25" ht="12.75" customHeight="1" x14ac:dyDescent="0.4">
      <c r="A24" s="1"/>
      <c r="G24" s="8"/>
    </row>
    <row r="25" spans="1:25" ht="13.5" x14ac:dyDescent="0.35">
      <c r="B25" s="2" t="s">
        <v>143</v>
      </c>
      <c r="G25" s="77"/>
    </row>
    <row r="26" spans="1:25" x14ac:dyDescent="0.25">
      <c r="C26" s="4" t="s">
        <v>144</v>
      </c>
      <c r="G26" s="77"/>
    </row>
    <row r="27" spans="1:25" x14ac:dyDescent="0.25">
      <c r="C27" s="4"/>
      <c r="E27" s="8" t="s">
        <v>72</v>
      </c>
      <c r="G27" s="74" t="s">
        <v>41</v>
      </c>
      <c r="H27" s="46">
        <f>'Company data'!H18</f>
        <v>0</v>
      </c>
    </row>
    <row r="28" spans="1:25" x14ac:dyDescent="0.25">
      <c r="C28" s="4"/>
      <c r="E28" s="8" t="s">
        <v>74</v>
      </c>
      <c r="G28" s="74" t="s">
        <v>41</v>
      </c>
      <c r="H28" s="46">
        <f>'Company data'!H19</f>
        <v>0</v>
      </c>
    </row>
    <row r="29" spans="1:25" x14ac:dyDescent="0.25">
      <c r="C29" s="4"/>
      <c r="E29" s="8" t="s">
        <v>145</v>
      </c>
      <c r="F29" s="45">
        <f>OCF</f>
        <v>0.05</v>
      </c>
      <c r="G29" s="74" t="s">
        <v>41</v>
      </c>
      <c r="H29" s="33">
        <f>IF(H28*(1+F29)&gt;100, 100, H28*(1+F29))</f>
        <v>0</v>
      </c>
    </row>
    <row r="30" spans="1:25" ht="13" x14ac:dyDescent="0.3">
      <c r="C30" s="4"/>
      <c r="E30" s="8" t="s">
        <v>146</v>
      </c>
      <c r="F30" s="19"/>
      <c r="G30" s="74" t="s">
        <v>41</v>
      </c>
      <c r="H30" s="35">
        <f>H27 * (1-Billing_propn) + H29 * Billing_propn</f>
        <v>0</v>
      </c>
    </row>
    <row r="31" spans="1:25" x14ac:dyDescent="0.25">
      <c r="C31" s="4"/>
      <c r="G31" s="77"/>
    </row>
    <row r="32" spans="1:25" ht="13.5" x14ac:dyDescent="0.35">
      <c r="B32" s="2" t="s">
        <v>147</v>
      </c>
      <c r="G32" s="77"/>
    </row>
    <row r="33" spans="2:8" x14ac:dyDescent="0.25">
      <c r="C33" s="4" t="s">
        <v>148</v>
      </c>
      <c r="G33" s="77"/>
    </row>
    <row r="34" spans="2:8" x14ac:dyDescent="0.25">
      <c r="C34" s="4"/>
      <c r="E34" s="8" t="s">
        <v>76</v>
      </c>
      <c r="G34" s="74" t="s">
        <v>41</v>
      </c>
      <c r="H34" s="46">
        <f>'Company data'!H23</f>
        <v>0</v>
      </c>
    </row>
    <row r="35" spans="2:8" x14ac:dyDescent="0.25">
      <c r="C35" s="4"/>
      <c r="E35" s="8" t="s">
        <v>77</v>
      </c>
      <c r="G35" s="74" t="s">
        <v>41</v>
      </c>
      <c r="H35" s="46">
        <f>'Company data'!H24</f>
        <v>0</v>
      </c>
    </row>
    <row r="36" spans="2:8" x14ac:dyDescent="0.25">
      <c r="C36" s="4"/>
      <c r="E36" s="8" t="s">
        <v>149</v>
      </c>
      <c r="F36" s="45">
        <f>OCF</f>
        <v>0.05</v>
      </c>
      <c r="G36" s="74" t="s">
        <v>41</v>
      </c>
      <c r="H36" s="33">
        <f>IF(H35*(1+F36)&gt;100, 100, H35*(1+F36))</f>
        <v>0</v>
      </c>
    </row>
    <row r="37" spans="2:8" ht="13" x14ac:dyDescent="0.3">
      <c r="C37" s="4"/>
      <c r="E37" s="8" t="s">
        <v>150</v>
      </c>
      <c r="F37" s="19"/>
      <c r="G37" s="74" t="s">
        <v>41</v>
      </c>
      <c r="H37" s="35">
        <f>H34 * (1-Ops_water_propn) + H36 * Ops_water_propn</f>
        <v>0</v>
      </c>
    </row>
    <row r="38" spans="2:8" x14ac:dyDescent="0.25">
      <c r="C38" s="4"/>
      <c r="G38" s="77"/>
    </row>
    <row r="39" spans="2:8" ht="13.5" x14ac:dyDescent="0.35">
      <c r="B39" s="2" t="s">
        <v>151</v>
      </c>
      <c r="G39" s="77"/>
    </row>
    <row r="40" spans="2:8" x14ac:dyDescent="0.25">
      <c r="C40" s="4" t="s">
        <v>152</v>
      </c>
      <c r="G40" s="77"/>
    </row>
    <row r="41" spans="2:8" x14ac:dyDescent="0.25">
      <c r="C41" s="4"/>
      <c r="E41" s="8" t="s">
        <v>78</v>
      </c>
      <c r="G41" s="74" t="s">
        <v>41</v>
      </c>
      <c r="H41" s="46">
        <f>'Company data'!H25</f>
        <v>0</v>
      </c>
    </row>
    <row r="42" spans="2:8" x14ac:dyDescent="0.25">
      <c r="C42" s="4"/>
      <c r="E42" s="8" t="s">
        <v>79</v>
      </c>
      <c r="G42" s="74" t="s">
        <v>41</v>
      </c>
      <c r="H42" s="46">
        <f>'Company data'!H26</f>
        <v>0</v>
      </c>
    </row>
    <row r="43" spans="2:8" x14ac:dyDescent="0.25">
      <c r="C43" s="4"/>
      <c r="E43" s="8" t="s">
        <v>153</v>
      </c>
      <c r="F43" s="45">
        <f>OCF</f>
        <v>0.05</v>
      </c>
      <c r="G43" s="74" t="s">
        <v>41</v>
      </c>
      <c r="H43" s="33">
        <f>IF(H42*(1+F43)&gt;100, 100, H42*(1+F43))</f>
        <v>0</v>
      </c>
    </row>
    <row r="44" spans="2:8" ht="13" x14ac:dyDescent="0.3">
      <c r="C44" s="4"/>
      <c r="E44" s="8" t="s">
        <v>154</v>
      </c>
      <c r="F44" s="19"/>
      <c r="G44" s="74" t="s">
        <v>41</v>
      </c>
      <c r="H44" s="35">
        <f>H41 * (1-Ops_waste_propn) + H43 * Ops_waste_propn</f>
        <v>0</v>
      </c>
    </row>
    <row r="45" spans="2:8" x14ac:dyDescent="0.25">
      <c r="C45" s="4"/>
      <c r="G45" s="77"/>
    </row>
    <row r="46" spans="2:8" ht="13.5" x14ac:dyDescent="0.35">
      <c r="B46" s="2" t="s">
        <v>155</v>
      </c>
      <c r="C46" s="4"/>
      <c r="G46" s="77"/>
    </row>
    <row r="47" spans="2:8" x14ac:dyDescent="0.25">
      <c r="C47" s="4" t="s">
        <v>156</v>
      </c>
      <c r="G47" s="77"/>
    </row>
    <row r="48" spans="2:8" x14ac:dyDescent="0.25">
      <c r="C48" s="4"/>
      <c r="E48" s="8" t="s">
        <v>157</v>
      </c>
      <c r="F48" s="45">
        <f>IF(Company_type="WOC",WOC_billing_weighting,WASC_billing_weighting)</f>
        <v>0.5</v>
      </c>
      <c r="G48" s="74" t="s">
        <v>41</v>
      </c>
      <c r="H48" s="33">
        <f>F48 * H30</f>
        <v>0</v>
      </c>
    </row>
    <row r="49" spans="1:8" x14ac:dyDescent="0.25">
      <c r="C49" s="4"/>
      <c r="E49" s="8" t="s">
        <v>158</v>
      </c>
      <c r="F49" s="45">
        <f>IF(Company_type="WOC",WOC_ops_weighting,WASC_ops_water_weighting)</f>
        <v>0.25</v>
      </c>
      <c r="G49" s="74" t="s">
        <v>41</v>
      </c>
      <c r="H49" s="33">
        <f>F49 * H37</f>
        <v>0</v>
      </c>
    </row>
    <row r="50" spans="1:8" x14ac:dyDescent="0.25">
      <c r="C50" s="4"/>
      <c r="E50" s="8" t="s">
        <v>159</v>
      </c>
      <c r="F50" s="45">
        <f>IF(Company_type="WOC",0%,WASC_ops_waste_weighting)</f>
        <v>0.25</v>
      </c>
      <c r="G50" s="74" t="s">
        <v>41</v>
      </c>
      <c r="H50" s="33">
        <f>F50 * H44</f>
        <v>0</v>
      </c>
    </row>
    <row r="51" spans="1:8" ht="13" x14ac:dyDescent="0.3">
      <c r="C51" s="4"/>
      <c r="G51" s="77"/>
      <c r="H51" s="35">
        <f>SUM(H48:H50)</f>
        <v>0</v>
      </c>
    </row>
    <row r="52" spans="1:8" ht="13" x14ac:dyDescent="0.3">
      <c r="C52" s="4"/>
      <c r="G52" s="77"/>
      <c r="H52" s="36"/>
    </row>
    <row r="53" spans="1:8" ht="15" x14ac:dyDescent="0.4">
      <c r="A53" s="1" t="s">
        <v>160</v>
      </c>
      <c r="F53" s="63"/>
      <c r="G53" s="81"/>
      <c r="H53" s="63"/>
    </row>
    <row r="54" spans="1:8" x14ac:dyDescent="0.25">
      <c r="C54" s="4" t="s">
        <v>161</v>
      </c>
      <c r="G54" s="77"/>
    </row>
    <row r="55" spans="1:8" ht="12.75" customHeight="1" x14ac:dyDescent="0.4">
      <c r="A55" s="1"/>
      <c r="E55" s="8" t="s">
        <v>162</v>
      </c>
      <c r="G55" s="74" t="s">
        <v>41</v>
      </c>
      <c r="H55" s="46">
        <f>'Company data'!H36</f>
        <v>0</v>
      </c>
    </row>
    <row r="56" spans="1:8" x14ac:dyDescent="0.25">
      <c r="C56" s="4"/>
      <c r="G56" s="77"/>
    </row>
    <row r="57" spans="1:8" ht="15" x14ac:dyDescent="0.4">
      <c r="A57" s="1" t="s">
        <v>163</v>
      </c>
      <c r="G57" s="77"/>
    </row>
    <row r="58" spans="1:8" ht="13.5" x14ac:dyDescent="0.35">
      <c r="B58" s="2" t="s">
        <v>164</v>
      </c>
      <c r="C58" s="4"/>
      <c r="G58" s="77"/>
    </row>
    <row r="59" spans="1:8" x14ac:dyDescent="0.25">
      <c r="C59" s="4" t="s">
        <v>165</v>
      </c>
      <c r="G59" s="77"/>
    </row>
    <row r="60" spans="1:8" ht="12.75" customHeight="1" x14ac:dyDescent="0.4">
      <c r="A60" s="1"/>
      <c r="E60" s="8" t="s">
        <v>161</v>
      </c>
      <c r="F60" s="45">
        <f>CSS_weighting</f>
        <v>0.5</v>
      </c>
      <c r="G60" s="74" t="s">
        <v>41</v>
      </c>
      <c r="H60" s="33">
        <f>H51</f>
        <v>0</v>
      </c>
    </row>
    <row r="61" spans="1:8" x14ac:dyDescent="0.25">
      <c r="C61" s="4"/>
      <c r="E61" s="8" t="s">
        <v>87</v>
      </c>
      <c r="F61" s="45">
        <f>CES_weighting</f>
        <v>0.5</v>
      </c>
      <c r="G61" s="74" t="s">
        <v>41</v>
      </c>
      <c r="H61" s="33">
        <f>H55</f>
        <v>0</v>
      </c>
    </row>
    <row r="62" spans="1:8" ht="13" x14ac:dyDescent="0.3">
      <c r="C62" s="4"/>
      <c r="F62" s="34"/>
      <c r="G62" s="77"/>
      <c r="H62" s="35">
        <f>(F60*H51) + (F61*H55)</f>
        <v>0</v>
      </c>
    </row>
    <row r="63" spans="1:8" x14ac:dyDescent="0.25">
      <c r="C63" s="4"/>
      <c r="G63" s="77"/>
    </row>
    <row r="64" spans="1:8" ht="13.5" x14ac:dyDescent="0.35">
      <c r="B64" s="2" t="s">
        <v>134</v>
      </c>
      <c r="C64" s="4"/>
      <c r="G64" s="77"/>
    </row>
    <row r="65" spans="1:25" x14ac:dyDescent="0.25">
      <c r="C65" s="4" t="s">
        <v>135</v>
      </c>
      <c r="G65" s="77"/>
    </row>
    <row r="66" spans="1:25" x14ac:dyDescent="0.25">
      <c r="C66" s="4"/>
      <c r="E66" s="8" t="s">
        <v>136</v>
      </c>
      <c r="G66" s="74" t="s">
        <v>41</v>
      </c>
      <c r="H66" s="27">
        <f>H15</f>
        <v>3</v>
      </c>
    </row>
    <row r="67" spans="1:25" x14ac:dyDescent="0.25">
      <c r="C67" s="4"/>
      <c r="G67" s="77"/>
    </row>
    <row r="68" spans="1:25" ht="13.5" x14ac:dyDescent="0.35">
      <c r="B68" s="2" t="s">
        <v>166</v>
      </c>
      <c r="C68" s="4"/>
      <c r="G68" s="77"/>
    </row>
    <row r="69" spans="1:25" x14ac:dyDescent="0.25">
      <c r="C69" s="4" t="s">
        <v>167</v>
      </c>
      <c r="G69" s="77"/>
      <c r="H69" s="57"/>
    </row>
    <row r="70" spans="1:25" ht="12.75" customHeight="1" x14ac:dyDescent="0.4">
      <c r="A70" s="1"/>
      <c r="E70" s="27" t="str">
        <f>CONCATENATE("C-MeX score for ",Company_name)</f>
        <v xml:space="preserve">C-MeX score for </v>
      </c>
      <c r="F70" s="34"/>
      <c r="G70" s="74" t="s">
        <v>41</v>
      </c>
      <c r="H70" s="35">
        <f>H62-H66</f>
        <v>-3</v>
      </c>
    </row>
    <row r="71" spans="1:25" x14ac:dyDescent="0.25">
      <c r="C71" s="4"/>
    </row>
    <row r="72" spans="1:25" ht="13.5" x14ac:dyDescent="0.35">
      <c r="A72" s="7" t="s">
        <v>168</v>
      </c>
      <c r="B72" s="7"/>
      <c r="C72" s="7"/>
      <c r="D72" s="7"/>
      <c r="E72" s="7"/>
      <c r="F72" s="7"/>
      <c r="G72" s="60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4" spans="1:25" ht="15" x14ac:dyDescent="0.4">
      <c r="A74" s="1" t="s">
        <v>169</v>
      </c>
      <c r="F74" s="63"/>
      <c r="G74" s="63" t="s">
        <v>140</v>
      </c>
      <c r="H74" s="63" t="s">
        <v>17</v>
      </c>
    </row>
    <row r="75" spans="1:25" ht="13.5" x14ac:dyDescent="0.35">
      <c r="B75" s="2" t="s">
        <v>170</v>
      </c>
      <c r="H75" s="58"/>
    </row>
    <row r="76" spans="1:25" x14ac:dyDescent="0.25">
      <c r="C76" s="4" t="s">
        <v>171</v>
      </c>
      <c r="H76" s="58"/>
    </row>
    <row r="77" spans="1:25" x14ac:dyDescent="0.25">
      <c r="C77" s="4"/>
      <c r="E77" s="8" t="s">
        <v>48</v>
      </c>
      <c r="F77" s="22"/>
      <c r="G77" s="74" t="s">
        <v>172</v>
      </c>
      <c r="H77" s="59" t="e">
        <f>IF(INDEX(CMeX_dummy_rank,MATCH(Company_name,Company_names,0))&gt;'Policy decisions'!H41,"No","Yes")</f>
        <v>#N/A</v>
      </c>
    </row>
    <row r="78" spans="1:25" x14ac:dyDescent="0.25">
      <c r="E78" s="8" t="s">
        <v>50</v>
      </c>
      <c r="F78" s="22"/>
      <c r="G78" s="74" t="s">
        <v>172</v>
      </c>
      <c r="H78" s="56" t="e">
        <f>IF(INDEX(UKCSI_scores, MATCH(Company_name, Company_names, 0)) &gt; CMeX_ASUQ, "Yes", "No")</f>
        <v>#N/A</v>
      </c>
    </row>
    <row r="79" spans="1:25" x14ac:dyDescent="0.25">
      <c r="E79" s="8" t="s">
        <v>52</v>
      </c>
      <c r="F79" s="22"/>
      <c r="G79" s="74" t="s">
        <v>172</v>
      </c>
      <c r="H79" s="56" t="e">
        <f>IF(INDEX(Complaints,MATCH(Company_name,Company_names,0))&lt;Avg_complaints,"Yes","No")</f>
        <v>#N/A</v>
      </c>
    </row>
    <row r="80" spans="1:25" x14ac:dyDescent="0.25">
      <c r="E80" s="8" t="s">
        <v>173</v>
      </c>
      <c r="F80" s="22"/>
      <c r="G80" s="74" t="s">
        <v>172</v>
      </c>
      <c r="H80" s="56" t="e">
        <f>IF(AND(H77="Yes",H78="Yes",H79="Yes"),"Yes","No")</f>
        <v>#N/A</v>
      </c>
    </row>
    <row r="81" spans="1:25" x14ac:dyDescent="0.25">
      <c r="F81" s="22"/>
      <c r="G81" s="23"/>
    </row>
    <row r="82" spans="1:25" ht="13.5" x14ac:dyDescent="0.35">
      <c r="B82" s="2" t="s">
        <v>174</v>
      </c>
    </row>
    <row r="83" spans="1:25" x14ac:dyDescent="0.25">
      <c r="C83" s="4" t="s">
        <v>175</v>
      </c>
      <c r="F83" s="22"/>
      <c r="G83" s="23"/>
    </row>
    <row r="84" spans="1:25" x14ac:dyDescent="0.25">
      <c r="C84" s="4"/>
      <c r="D84" s="27">
        <v>1</v>
      </c>
      <c r="E84" s="28" t="str">
        <f>IFERROR(INDEX(Company_names,MATCH(D84,Gate_ranking,0)),"NONE")</f>
        <v>NONE</v>
      </c>
      <c r="F84" s="22"/>
      <c r="G84" s="74" t="s">
        <v>24</v>
      </c>
      <c r="H84" s="43">
        <f>'Policy decisions'!H47</f>
        <v>0.06</v>
      </c>
    </row>
    <row r="85" spans="1:25" x14ac:dyDescent="0.25">
      <c r="D85" s="27">
        <v>2</v>
      </c>
      <c r="E85" s="27" t="str">
        <f>IFERROR(INDEX(Company_names,MATCH(D85,Gate_ranking,0)),"NONE")</f>
        <v>NONE</v>
      </c>
      <c r="F85" s="22"/>
      <c r="G85" s="74" t="s">
        <v>24</v>
      </c>
      <c r="H85" s="43">
        <f>'Policy decisions'!H48</f>
        <v>0.04</v>
      </c>
    </row>
    <row r="86" spans="1:25" x14ac:dyDescent="0.25">
      <c r="D86" s="27">
        <v>3</v>
      </c>
      <c r="E86" s="27" t="str">
        <f>IFERROR(INDEX(Company_names,MATCH(D86,Gate_ranking,0)),"NONE")</f>
        <v>NONE</v>
      </c>
      <c r="F86" s="22"/>
      <c r="G86" s="74" t="s">
        <v>24</v>
      </c>
      <c r="H86" s="43">
        <f>'Policy decisions'!H49</f>
        <v>0.02</v>
      </c>
    </row>
    <row r="87" spans="1:25" x14ac:dyDescent="0.25">
      <c r="F87" s="22"/>
      <c r="G87" s="23"/>
    </row>
    <row r="88" spans="1:25" ht="13.5" x14ac:dyDescent="0.35">
      <c r="B88" s="2" t="s">
        <v>176</v>
      </c>
    </row>
    <row r="89" spans="1:25" x14ac:dyDescent="0.25">
      <c r="C89" s="4" t="s">
        <v>177</v>
      </c>
      <c r="F89" s="22"/>
      <c r="G89" s="23"/>
    </row>
    <row r="90" spans="1:25" x14ac:dyDescent="0.25">
      <c r="E90" s="8" t="s">
        <v>178</v>
      </c>
      <c r="F90" s="22"/>
      <c r="G90" s="74" t="s">
        <v>24</v>
      </c>
      <c r="H90" s="29">
        <f>IFERROR(INDEX(H84:H86,MATCH(Company_name,E84:E86,0)),0)</f>
        <v>0</v>
      </c>
    </row>
    <row r="92" spans="1:25" ht="13.5" x14ac:dyDescent="0.35">
      <c r="A92" s="9" t="s">
        <v>13</v>
      </c>
      <c r="B92" s="9"/>
      <c r="C92" s="9"/>
      <c r="D92" s="9"/>
      <c r="E92" s="9"/>
      <c r="F92" s="9"/>
      <c r="G92" s="61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</sheetData>
  <conditionalFormatting sqref="E84:E86">
    <cfRule type="cellIs" dxfId="1" priority="6" operator="equal">
      <formula>"NONE"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0</xm:f>
          </x14:formula1>
          <x14:formula2>
            <xm:f>'Policy decisions'!H47</xm:f>
          </x14:formula2>
          <xm:sqref>H90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DCD8"/>
  </sheetPr>
  <dimension ref="A1:Y50"/>
  <sheetViews>
    <sheetView zoomScale="80" zoomScaleNormal="80" workbookViewId="0">
      <pane ySplit="3" topLeftCell="A4" activePane="bottomLeft" state="frozen"/>
      <selection pane="bottomLeft" activeCell="E14" sqref="E14"/>
    </sheetView>
  </sheetViews>
  <sheetFormatPr defaultColWidth="9.1796875" defaultRowHeight="12.5" x14ac:dyDescent="0.25"/>
  <cols>
    <col min="1" max="4" width="2.7265625" style="8" customWidth="1"/>
    <col min="5" max="5" width="60.7265625" style="8" customWidth="1"/>
    <col min="6" max="6" width="15.7265625" style="8" customWidth="1"/>
    <col min="7" max="7" width="22.453125" style="8" bestFit="1" customWidth="1"/>
    <col min="8" max="8" width="17.26953125" style="8" bestFit="1" customWidth="1"/>
    <col min="9" max="9" width="22.1796875" style="8" bestFit="1" customWidth="1"/>
    <col min="10" max="10" width="17.1796875" style="8" bestFit="1" customWidth="1"/>
    <col min="11" max="11" width="15.81640625" style="8" bestFit="1" customWidth="1"/>
    <col min="12" max="12" width="2.7265625" style="8" customWidth="1"/>
    <col min="13" max="16384" width="9.1796875" style="8"/>
  </cols>
  <sheetData>
    <row r="1" spans="1:25" ht="32" x14ac:dyDescent="0.8">
      <c r="A1" s="44" t="str">
        <f ca="1" xml:space="preserve"> RIGHT(CELL("filename", $A$1), LEN(CELL("filename", $A$1)) - SEARCH("]", CELL("filename", $A$1)))</f>
        <v>Higher payments gates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8" t="s">
        <v>179</v>
      </c>
    </row>
    <row r="5" spans="1:25" ht="13.5" x14ac:dyDescent="0.35">
      <c r="A5" s="7" t="s">
        <v>180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7" spans="1:25" ht="15" x14ac:dyDescent="0.4">
      <c r="A7" s="1" t="s">
        <v>181</v>
      </c>
    </row>
    <row r="8" spans="1:25" ht="13" x14ac:dyDescent="0.3">
      <c r="C8" s="4" t="s">
        <v>182</v>
      </c>
      <c r="F8" s="21" t="s">
        <v>183</v>
      </c>
      <c r="G8" s="21" t="s">
        <v>184</v>
      </c>
      <c r="H8" s="21" t="s">
        <v>185</v>
      </c>
      <c r="I8" s="21" t="s">
        <v>186</v>
      </c>
    </row>
    <row r="9" spans="1:25" x14ac:dyDescent="0.25">
      <c r="C9" s="4"/>
      <c r="E9" s="27" t="str">
        <f>'Industry data'!E10</f>
        <v>Affinity Water</v>
      </c>
      <c r="F9" s="69" t="e">
        <f>IF(INDEX(CMeX_rank, MATCH(E9,Company_names, 0)) &gt; 3, "No", "Yes")</f>
        <v>#N/A</v>
      </c>
      <c r="G9" s="54" t="e">
        <f t="shared" ref="G9:G25" si="0">IF(INDEX(UKCSI_scores, MATCH(E9, Company_names, 0)) &gt; CMeX_ASUQ, "Yes", "No")</f>
        <v>#DIV/0!</v>
      </c>
      <c r="H9" s="54" t="e">
        <f t="shared" ref="H9:H25" si="1">IF(INDEX(Complaints, MATCH(E9, Company_names, 0)) &lt; Avg_complaints, "Yes", "No")</f>
        <v>#DIV/0!</v>
      </c>
      <c r="I9" s="54" t="e">
        <f t="shared" ref="I9:I25" si="2">IF(AND(F9="Yes", G9="Yes", H9="Yes"), "Yes", "No")</f>
        <v>#N/A</v>
      </c>
    </row>
    <row r="10" spans="1:25" x14ac:dyDescent="0.25">
      <c r="C10" s="4"/>
      <c r="E10" s="27" t="str">
        <f>'Industry data'!E11</f>
        <v>Anglian Water</v>
      </c>
      <c r="F10" s="54" t="e">
        <f t="shared" ref="F10:F25" si="3">IF(INDEX(CMeX_rank, MATCH(E10,Company_names, 0)) &gt; 3, "No", "Yes")</f>
        <v>#N/A</v>
      </c>
      <c r="G10" s="54" t="e">
        <f t="shared" si="0"/>
        <v>#DIV/0!</v>
      </c>
      <c r="H10" s="54" t="e">
        <f t="shared" si="1"/>
        <v>#DIV/0!</v>
      </c>
      <c r="I10" s="54" t="e">
        <f t="shared" si="2"/>
        <v>#N/A</v>
      </c>
    </row>
    <row r="11" spans="1:25" x14ac:dyDescent="0.25">
      <c r="C11" s="4"/>
      <c r="E11" s="27" t="str">
        <f>'Industry data'!E12</f>
        <v>Bristol Water</v>
      </c>
      <c r="F11" s="54" t="e">
        <f t="shared" si="3"/>
        <v>#N/A</v>
      </c>
      <c r="G11" s="54" t="e">
        <f t="shared" si="0"/>
        <v>#DIV/0!</v>
      </c>
      <c r="H11" s="54" t="e">
        <f t="shared" si="1"/>
        <v>#DIV/0!</v>
      </c>
      <c r="I11" s="54" t="e">
        <f t="shared" si="2"/>
        <v>#N/A</v>
      </c>
    </row>
    <row r="12" spans="1:25" x14ac:dyDescent="0.25">
      <c r="C12" s="4"/>
      <c r="E12" s="27" t="str">
        <f>'Industry data'!E13</f>
        <v>Dŵr Cymru</v>
      </c>
      <c r="F12" s="54" t="e">
        <f t="shared" si="3"/>
        <v>#N/A</v>
      </c>
      <c r="G12" s="54" t="e">
        <f t="shared" si="0"/>
        <v>#DIV/0!</v>
      </c>
      <c r="H12" s="54" t="e">
        <f t="shared" si="1"/>
        <v>#DIV/0!</v>
      </c>
      <c r="I12" s="54" t="e">
        <f t="shared" si="2"/>
        <v>#N/A</v>
      </c>
    </row>
    <row r="13" spans="1:25" x14ac:dyDescent="0.25">
      <c r="C13" s="4"/>
      <c r="E13" s="27" t="str">
        <f>'Industry data'!E14</f>
        <v>Hafren Dyfrdwy</v>
      </c>
      <c r="F13" s="54" t="e">
        <f t="shared" si="3"/>
        <v>#N/A</v>
      </c>
      <c r="G13" s="54" t="e">
        <f t="shared" si="0"/>
        <v>#DIV/0!</v>
      </c>
      <c r="H13" s="54" t="e">
        <f t="shared" si="1"/>
        <v>#DIV/0!</v>
      </c>
      <c r="I13" s="54" t="e">
        <f t="shared" si="2"/>
        <v>#N/A</v>
      </c>
    </row>
    <row r="14" spans="1:25" x14ac:dyDescent="0.25">
      <c r="C14" s="4"/>
      <c r="E14" s="27" t="str">
        <f>'Industry data'!E15</f>
        <v>Northumbrian Water</v>
      </c>
      <c r="F14" s="54" t="e">
        <f t="shared" si="3"/>
        <v>#N/A</v>
      </c>
      <c r="G14" s="54" t="e">
        <f t="shared" si="0"/>
        <v>#DIV/0!</v>
      </c>
      <c r="H14" s="54" t="e">
        <f t="shared" si="1"/>
        <v>#DIV/0!</v>
      </c>
      <c r="I14" s="54" t="e">
        <f t="shared" si="2"/>
        <v>#N/A</v>
      </c>
    </row>
    <row r="15" spans="1:25" x14ac:dyDescent="0.25">
      <c r="C15" s="4"/>
      <c r="E15" s="27" t="str">
        <f>'Industry data'!E16</f>
        <v>Portsmouth Water</v>
      </c>
      <c r="F15" s="54" t="e">
        <f t="shared" si="3"/>
        <v>#N/A</v>
      </c>
      <c r="G15" s="54" t="e">
        <f t="shared" si="0"/>
        <v>#DIV/0!</v>
      </c>
      <c r="H15" s="54" t="e">
        <f t="shared" si="1"/>
        <v>#DIV/0!</v>
      </c>
      <c r="I15" s="54" t="e">
        <f t="shared" si="2"/>
        <v>#N/A</v>
      </c>
    </row>
    <row r="16" spans="1:25" x14ac:dyDescent="0.25">
      <c r="C16" s="4"/>
      <c r="E16" s="27" t="str">
        <f>'Industry data'!E17</f>
        <v>SES Water</v>
      </c>
      <c r="F16" s="54" t="e">
        <f t="shared" si="3"/>
        <v>#N/A</v>
      </c>
      <c r="G16" s="54" t="e">
        <f t="shared" si="0"/>
        <v>#DIV/0!</v>
      </c>
      <c r="H16" s="54" t="e">
        <f t="shared" si="1"/>
        <v>#DIV/0!</v>
      </c>
      <c r="I16" s="54" t="e">
        <f t="shared" si="2"/>
        <v>#N/A</v>
      </c>
    </row>
    <row r="17" spans="1:25" x14ac:dyDescent="0.25">
      <c r="C17" s="4"/>
      <c r="E17" s="27" t="str">
        <f>'Industry data'!E18</f>
        <v>Severn Trent Water</v>
      </c>
      <c r="F17" s="54" t="e">
        <f t="shared" si="3"/>
        <v>#N/A</v>
      </c>
      <c r="G17" s="54" t="e">
        <f t="shared" si="0"/>
        <v>#DIV/0!</v>
      </c>
      <c r="H17" s="54" t="e">
        <f t="shared" si="1"/>
        <v>#DIV/0!</v>
      </c>
      <c r="I17" s="54" t="e">
        <f t="shared" si="2"/>
        <v>#N/A</v>
      </c>
    </row>
    <row r="18" spans="1:25" x14ac:dyDescent="0.25">
      <c r="C18" s="4"/>
      <c r="E18" s="27" t="str">
        <f>'Industry data'!E19</f>
        <v>South East Water</v>
      </c>
      <c r="F18" s="54" t="e">
        <f t="shared" si="3"/>
        <v>#N/A</v>
      </c>
      <c r="G18" s="54" t="e">
        <f t="shared" si="0"/>
        <v>#DIV/0!</v>
      </c>
      <c r="H18" s="54" t="e">
        <f t="shared" si="1"/>
        <v>#DIV/0!</v>
      </c>
      <c r="I18" s="54" t="e">
        <f t="shared" si="2"/>
        <v>#N/A</v>
      </c>
    </row>
    <row r="19" spans="1:25" x14ac:dyDescent="0.25">
      <c r="C19" s="4"/>
      <c r="E19" s="27" t="str">
        <f>'Industry data'!E20</f>
        <v>South Staffs Water</v>
      </c>
      <c r="F19" s="54" t="e">
        <f t="shared" si="3"/>
        <v>#N/A</v>
      </c>
      <c r="G19" s="54" t="e">
        <f t="shared" si="0"/>
        <v>#DIV/0!</v>
      </c>
      <c r="H19" s="54" t="e">
        <f t="shared" si="1"/>
        <v>#DIV/0!</v>
      </c>
      <c r="I19" s="54" t="e">
        <f t="shared" si="2"/>
        <v>#N/A</v>
      </c>
    </row>
    <row r="20" spans="1:25" x14ac:dyDescent="0.25">
      <c r="C20" s="4"/>
      <c r="E20" s="27" t="str">
        <f>'Industry data'!E21</f>
        <v>South West Water</v>
      </c>
      <c r="F20" s="54" t="e">
        <f t="shared" si="3"/>
        <v>#N/A</v>
      </c>
      <c r="G20" s="54" t="e">
        <f t="shared" si="0"/>
        <v>#DIV/0!</v>
      </c>
      <c r="H20" s="54" t="e">
        <f t="shared" si="1"/>
        <v>#DIV/0!</v>
      </c>
      <c r="I20" s="54" t="e">
        <f t="shared" si="2"/>
        <v>#N/A</v>
      </c>
    </row>
    <row r="21" spans="1:25" x14ac:dyDescent="0.25">
      <c r="C21" s="4"/>
      <c r="E21" s="27" t="str">
        <f>'Industry data'!E22</f>
        <v>Southern Water</v>
      </c>
      <c r="F21" s="54" t="e">
        <f t="shared" si="3"/>
        <v>#N/A</v>
      </c>
      <c r="G21" s="54" t="e">
        <f t="shared" si="0"/>
        <v>#DIV/0!</v>
      </c>
      <c r="H21" s="54" t="e">
        <f t="shared" si="1"/>
        <v>#DIV/0!</v>
      </c>
      <c r="I21" s="54" t="e">
        <f t="shared" si="2"/>
        <v>#N/A</v>
      </c>
    </row>
    <row r="22" spans="1:25" x14ac:dyDescent="0.25">
      <c r="C22" s="4"/>
      <c r="E22" s="27" t="str">
        <f>'Industry data'!E23</f>
        <v>Thames Water</v>
      </c>
      <c r="F22" s="54" t="e">
        <f t="shared" si="3"/>
        <v>#N/A</v>
      </c>
      <c r="G22" s="54" t="e">
        <f t="shared" si="0"/>
        <v>#DIV/0!</v>
      </c>
      <c r="H22" s="54" t="e">
        <f t="shared" si="1"/>
        <v>#DIV/0!</v>
      </c>
      <c r="I22" s="54" t="e">
        <f t="shared" si="2"/>
        <v>#N/A</v>
      </c>
    </row>
    <row r="23" spans="1:25" x14ac:dyDescent="0.25">
      <c r="C23" s="4"/>
      <c r="E23" s="27" t="str">
        <f>'Industry data'!E24</f>
        <v>United Utilities</v>
      </c>
      <c r="F23" s="54" t="e">
        <f t="shared" si="3"/>
        <v>#N/A</v>
      </c>
      <c r="G23" s="54" t="e">
        <f t="shared" si="0"/>
        <v>#DIV/0!</v>
      </c>
      <c r="H23" s="54" t="e">
        <f t="shared" si="1"/>
        <v>#DIV/0!</v>
      </c>
      <c r="I23" s="54" t="e">
        <f t="shared" si="2"/>
        <v>#N/A</v>
      </c>
    </row>
    <row r="24" spans="1:25" x14ac:dyDescent="0.25">
      <c r="C24" s="4"/>
      <c r="E24" s="27" t="str">
        <f>'Industry data'!E25</f>
        <v>Wessex Water</v>
      </c>
      <c r="F24" s="54" t="e">
        <f t="shared" si="3"/>
        <v>#N/A</v>
      </c>
      <c r="G24" s="54" t="e">
        <f t="shared" si="0"/>
        <v>#DIV/0!</v>
      </c>
      <c r="H24" s="54" t="e">
        <f t="shared" si="1"/>
        <v>#DIV/0!</v>
      </c>
      <c r="I24" s="54" t="e">
        <f t="shared" si="2"/>
        <v>#N/A</v>
      </c>
    </row>
    <row r="25" spans="1:25" x14ac:dyDescent="0.25">
      <c r="C25" s="4"/>
      <c r="E25" s="27" t="str">
        <f>'Industry data'!E26</f>
        <v>Yorkshire Water</v>
      </c>
      <c r="F25" s="54" t="e">
        <f t="shared" si="3"/>
        <v>#N/A</v>
      </c>
      <c r="G25" s="54" t="e">
        <f t="shared" si="0"/>
        <v>#DIV/0!</v>
      </c>
      <c r="H25" s="54" t="e">
        <f t="shared" si="1"/>
        <v>#DIV/0!</v>
      </c>
      <c r="I25" s="54" t="e">
        <f t="shared" si="2"/>
        <v>#N/A</v>
      </c>
    </row>
    <row r="26" spans="1:25" x14ac:dyDescent="0.25">
      <c r="C26" s="4"/>
      <c r="F26" s="22"/>
      <c r="G26" s="23"/>
    </row>
    <row r="27" spans="1:25" ht="13.5" x14ac:dyDescent="0.35">
      <c r="A27" s="7" t="s">
        <v>187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9" spans="1:25" ht="15" x14ac:dyDescent="0.4">
      <c r="A29" s="1" t="s">
        <v>188</v>
      </c>
    </row>
    <row r="30" spans="1:25" x14ac:dyDescent="0.25">
      <c r="C30" s="4" t="s">
        <v>189</v>
      </c>
    </row>
    <row r="31" spans="1:25" ht="13" x14ac:dyDescent="0.3">
      <c r="C31" s="4"/>
      <c r="F31" s="63" t="s">
        <v>190</v>
      </c>
      <c r="G31" s="63" t="s">
        <v>191</v>
      </c>
      <c r="H31" s="63" t="s">
        <v>192</v>
      </c>
      <c r="I31" s="63" t="s">
        <v>193</v>
      </c>
    </row>
    <row r="32" spans="1:25" x14ac:dyDescent="0.25">
      <c r="C32" s="4"/>
      <c r="E32" s="27" t="str">
        <f>'Industry data'!E10</f>
        <v>Affinity Water</v>
      </c>
      <c r="F32" s="71">
        <f t="shared" ref="F32:F48" si="4">INDEX(CMeX_scores,MATCH(E32,Company_names,0))</f>
        <v>0</v>
      </c>
      <c r="G32" s="53" t="e">
        <f t="shared" ref="G32:G48" si="5">INDEX(Gates,MATCH(E32,Company_names))</f>
        <v>#N/A</v>
      </c>
      <c r="H32" s="54" t="e">
        <f>IF(G32="Yes",F32,"")</f>
        <v>#N/A</v>
      </c>
      <c r="I32" s="55" t="str">
        <f>IFERROR(RANK(H32,H$32:H$48),"")</f>
        <v/>
      </c>
    </row>
    <row r="33" spans="3:9" x14ac:dyDescent="0.25">
      <c r="C33" s="4"/>
      <c r="E33" s="27" t="str">
        <f>'Industry data'!E11</f>
        <v>Anglian Water</v>
      </c>
      <c r="F33" s="71">
        <f t="shared" si="4"/>
        <v>0</v>
      </c>
      <c r="G33" s="53" t="e">
        <f t="shared" si="5"/>
        <v>#N/A</v>
      </c>
      <c r="H33" s="54" t="e">
        <f t="shared" ref="H33:H48" si="6">IF(G33="Yes",F33,"")</f>
        <v>#N/A</v>
      </c>
      <c r="I33" s="55" t="str">
        <f t="shared" ref="I33:I48" si="7">IFERROR(RANK(H33,H$32:H$48),"")</f>
        <v/>
      </c>
    </row>
    <row r="34" spans="3:9" x14ac:dyDescent="0.25">
      <c r="C34" s="4"/>
      <c r="E34" s="27" t="str">
        <f>'Industry data'!E12</f>
        <v>Bristol Water</v>
      </c>
      <c r="F34" s="71">
        <f t="shared" si="4"/>
        <v>0</v>
      </c>
      <c r="G34" s="53" t="e">
        <f t="shared" si="5"/>
        <v>#N/A</v>
      </c>
      <c r="H34" s="54" t="e">
        <f t="shared" si="6"/>
        <v>#N/A</v>
      </c>
      <c r="I34" s="55" t="str">
        <f t="shared" si="7"/>
        <v/>
      </c>
    </row>
    <row r="35" spans="3:9" x14ac:dyDescent="0.25">
      <c r="C35" s="4"/>
      <c r="E35" s="27" t="str">
        <f>'Industry data'!E13</f>
        <v>Dŵr Cymru</v>
      </c>
      <c r="F35" s="71">
        <f t="shared" si="4"/>
        <v>0</v>
      </c>
      <c r="G35" s="53" t="e">
        <f t="shared" si="5"/>
        <v>#N/A</v>
      </c>
      <c r="H35" s="54" t="e">
        <f t="shared" si="6"/>
        <v>#N/A</v>
      </c>
      <c r="I35" s="55" t="str">
        <f t="shared" si="7"/>
        <v/>
      </c>
    </row>
    <row r="36" spans="3:9" x14ac:dyDescent="0.25">
      <c r="C36" s="4"/>
      <c r="E36" s="27" t="str">
        <f>'Industry data'!E14</f>
        <v>Hafren Dyfrdwy</v>
      </c>
      <c r="F36" s="71">
        <f t="shared" si="4"/>
        <v>0</v>
      </c>
      <c r="G36" s="53" t="e">
        <f t="shared" si="5"/>
        <v>#N/A</v>
      </c>
      <c r="H36" s="54" t="e">
        <f t="shared" si="6"/>
        <v>#N/A</v>
      </c>
      <c r="I36" s="55" t="str">
        <f t="shared" si="7"/>
        <v/>
      </c>
    </row>
    <row r="37" spans="3:9" x14ac:dyDescent="0.25">
      <c r="C37" s="4"/>
      <c r="E37" s="27" t="str">
        <f>'Industry data'!E15</f>
        <v>Northumbrian Water</v>
      </c>
      <c r="F37" s="71">
        <f t="shared" si="4"/>
        <v>0</v>
      </c>
      <c r="G37" s="53" t="e">
        <f t="shared" si="5"/>
        <v>#N/A</v>
      </c>
      <c r="H37" s="54" t="e">
        <f t="shared" si="6"/>
        <v>#N/A</v>
      </c>
      <c r="I37" s="55" t="str">
        <f t="shared" si="7"/>
        <v/>
      </c>
    </row>
    <row r="38" spans="3:9" x14ac:dyDescent="0.25">
      <c r="C38" s="4"/>
      <c r="E38" s="27" t="str">
        <f>'Industry data'!E16</f>
        <v>Portsmouth Water</v>
      </c>
      <c r="F38" s="71">
        <f t="shared" si="4"/>
        <v>0</v>
      </c>
      <c r="G38" s="53" t="e">
        <f t="shared" si="5"/>
        <v>#N/A</v>
      </c>
      <c r="H38" s="54" t="e">
        <f t="shared" si="6"/>
        <v>#N/A</v>
      </c>
      <c r="I38" s="55" t="str">
        <f t="shared" si="7"/>
        <v/>
      </c>
    </row>
    <row r="39" spans="3:9" x14ac:dyDescent="0.25">
      <c r="C39" s="4"/>
      <c r="E39" s="27" t="str">
        <f>'Industry data'!E17</f>
        <v>SES Water</v>
      </c>
      <c r="F39" s="71">
        <f t="shared" si="4"/>
        <v>0</v>
      </c>
      <c r="G39" s="53" t="e">
        <f t="shared" si="5"/>
        <v>#N/A</v>
      </c>
      <c r="H39" s="54" t="e">
        <f t="shared" si="6"/>
        <v>#N/A</v>
      </c>
      <c r="I39" s="55" t="str">
        <f t="shared" si="7"/>
        <v/>
      </c>
    </row>
    <row r="40" spans="3:9" x14ac:dyDescent="0.25">
      <c r="C40" s="4"/>
      <c r="E40" s="27" t="str">
        <f>'Industry data'!E18</f>
        <v>Severn Trent Water</v>
      </c>
      <c r="F40" s="71">
        <f t="shared" si="4"/>
        <v>0</v>
      </c>
      <c r="G40" s="53" t="e">
        <f t="shared" si="5"/>
        <v>#N/A</v>
      </c>
      <c r="H40" s="54" t="e">
        <f t="shared" si="6"/>
        <v>#N/A</v>
      </c>
      <c r="I40" s="55" t="str">
        <f t="shared" si="7"/>
        <v/>
      </c>
    </row>
    <row r="41" spans="3:9" x14ac:dyDescent="0.25">
      <c r="C41" s="4"/>
      <c r="E41" s="27" t="str">
        <f>'Industry data'!E19</f>
        <v>South East Water</v>
      </c>
      <c r="F41" s="71">
        <f t="shared" si="4"/>
        <v>0</v>
      </c>
      <c r="G41" s="53" t="e">
        <f t="shared" si="5"/>
        <v>#N/A</v>
      </c>
      <c r="H41" s="54" t="e">
        <f t="shared" si="6"/>
        <v>#N/A</v>
      </c>
      <c r="I41" s="55" t="str">
        <f t="shared" si="7"/>
        <v/>
      </c>
    </row>
    <row r="42" spans="3:9" x14ac:dyDescent="0.25">
      <c r="C42" s="4"/>
      <c r="E42" s="27" t="str">
        <f>'Industry data'!E20</f>
        <v>South Staffs Water</v>
      </c>
      <c r="F42" s="71">
        <f t="shared" si="4"/>
        <v>0</v>
      </c>
      <c r="G42" s="53" t="e">
        <f t="shared" si="5"/>
        <v>#N/A</v>
      </c>
      <c r="H42" s="54" t="e">
        <f t="shared" si="6"/>
        <v>#N/A</v>
      </c>
      <c r="I42" s="55" t="str">
        <f t="shared" si="7"/>
        <v/>
      </c>
    </row>
    <row r="43" spans="3:9" x14ac:dyDescent="0.25">
      <c r="C43" s="4"/>
      <c r="E43" s="27" t="str">
        <f>'Industry data'!E21</f>
        <v>South West Water</v>
      </c>
      <c r="F43" s="71">
        <f t="shared" si="4"/>
        <v>0</v>
      </c>
      <c r="G43" s="53" t="e">
        <f t="shared" si="5"/>
        <v>#N/A</v>
      </c>
      <c r="H43" s="54" t="e">
        <f t="shared" si="6"/>
        <v>#N/A</v>
      </c>
      <c r="I43" s="55" t="str">
        <f t="shared" si="7"/>
        <v/>
      </c>
    </row>
    <row r="44" spans="3:9" x14ac:dyDescent="0.25">
      <c r="C44" s="4"/>
      <c r="E44" s="27" t="str">
        <f>'Industry data'!E22</f>
        <v>Southern Water</v>
      </c>
      <c r="F44" s="71">
        <f t="shared" si="4"/>
        <v>0</v>
      </c>
      <c r="G44" s="53" t="e">
        <f t="shared" si="5"/>
        <v>#N/A</v>
      </c>
      <c r="H44" s="54" t="e">
        <f t="shared" si="6"/>
        <v>#N/A</v>
      </c>
      <c r="I44" s="55" t="str">
        <f t="shared" si="7"/>
        <v/>
      </c>
    </row>
    <row r="45" spans="3:9" x14ac:dyDescent="0.25">
      <c r="C45" s="4"/>
      <c r="E45" s="27" t="str">
        <f>'Industry data'!E23</f>
        <v>Thames Water</v>
      </c>
      <c r="F45" s="71">
        <f t="shared" si="4"/>
        <v>0</v>
      </c>
      <c r="G45" s="53" t="e">
        <f t="shared" si="5"/>
        <v>#N/A</v>
      </c>
      <c r="H45" s="54" t="e">
        <f t="shared" si="6"/>
        <v>#N/A</v>
      </c>
      <c r="I45" s="55" t="str">
        <f t="shared" si="7"/>
        <v/>
      </c>
    </row>
    <row r="46" spans="3:9" x14ac:dyDescent="0.25">
      <c r="C46" s="4"/>
      <c r="E46" s="27" t="str">
        <f>'Industry data'!E24</f>
        <v>United Utilities</v>
      </c>
      <c r="F46" s="71">
        <f t="shared" si="4"/>
        <v>0</v>
      </c>
      <c r="G46" s="53" t="e">
        <f t="shared" si="5"/>
        <v>#N/A</v>
      </c>
      <c r="H46" s="54" t="e">
        <f t="shared" si="6"/>
        <v>#N/A</v>
      </c>
      <c r="I46" s="55" t="str">
        <f t="shared" si="7"/>
        <v/>
      </c>
    </row>
    <row r="47" spans="3:9" x14ac:dyDescent="0.25">
      <c r="C47" s="4"/>
      <c r="E47" s="27" t="str">
        <f>'Industry data'!E25</f>
        <v>Wessex Water</v>
      </c>
      <c r="F47" s="71">
        <f t="shared" si="4"/>
        <v>0</v>
      </c>
      <c r="G47" s="53" t="e">
        <f t="shared" si="5"/>
        <v>#N/A</v>
      </c>
      <c r="H47" s="54" t="e">
        <f t="shared" si="6"/>
        <v>#N/A</v>
      </c>
      <c r="I47" s="55" t="str">
        <f t="shared" si="7"/>
        <v/>
      </c>
    </row>
    <row r="48" spans="3:9" x14ac:dyDescent="0.25">
      <c r="C48" s="4"/>
      <c r="E48" s="27" t="str">
        <f>'Industry data'!E26</f>
        <v>Yorkshire Water</v>
      </c>
      <c r="F48" s="71">
        <f t="shared" si="4"/>
        <v>0</v>
      </c>
      <c r="G48" s="53" t="e">
        <f t="shared" si="5"/>
        <v>#N/A</v>
      </c>
      <c r="H48" s="54" t="e">
        <f t="shared" si="6"/>
        <v>#N/A</v>
      </c>
      <c r="I48" s="55" t="str">
        <f t="shared" si="7"/>
        <v/>
      </c>
    </row>
    <row r="49" spans="1:25" x14ac:dyDescent="0.25">
      <c r="C49" s="4"/>
    </row>
    <row r="50" spans="1:25" ht="13.5" x14ac:dyDescent="0.35">
      <c r="A50" s="9" t="s">
        <v>13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</sheetData>
  <conditionalFormatting sqref="F9:I25">
    <cfRule type="cellIs" dxfId="0" priority="1" operator="equal">
      <formula>"YES"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DCD8"/>
  </sheetPr>
  <dimension ref="A1:AA38"/>
  <sheetViews>
    <sheetView zoomScale="80" zoomScaleNormal="80" workbookViewId="0">
      <pane ySplit="3" topLeftCell="A4" activePane="bottomLeft" state="frozen"/>
      <selection pane="bottomLeft" activeCell="I45" sqref="I45"/>
    </sheetView>
  </sheetViews>
  <sheetFormatPr defaultColWidth="9.1796875" defaultRowHeight="12.5" x14ac:dyDescent="0.25"/>
  <cols>
    <col min="1" max="4" width="2.7265625" style="8" customWidth="1"/>
    <col min="5" max="5" width="42.1796875" style="8" bestFit="1" customWidth="1"/>
    <col min="6" max="6" width="15.7265625" style="58" customWidth="1"/>
    <col min="7" max="7" width="12.7265625" style="58" customWidth="1"/>
    <col min="8" max="8" width="25.1796875" style="58" bestFit="1" customWidth="1"/>
    <col min="9" max="9" width="19.453125" style="58" bestFit="1" customWidth="1"/>
    <col min="10" max="10" width="30.81640625" style="58" bestFit="1" customWidth="1"/>
    <col min="11" max="11" width="29.26953125" style="58" bestFit="1" customWidth="1"/>
    <col min="12" max="12" width="2.7265625" style="8" customWidth="1"/>
    <col min="13" max="16384" width="9.1796875" style="8"/>
  </cols>
  <sheetData>
    <row r="1" spans="1:27" ht="32" x14ac:dyDescent="0.8">
      <c r="A1" s="44" t="str">
        <f ca="1" xml:space="preserve"> RIGHT(CELL("filename", $A$1), LEN(CELL("filename", $A$1)) - SEARCH("]", CELL("filename", $A$1)))</f>
        <v>Payments</v>
      </c>
      <c r="B1" s="3"/>
      <c r="C1" s="3"/>
      <c r="D1" s="3"/>
      <c r="E1" s="3"/>
      <c r="F1" s="62"/>
      <c r="G1" s="62"/>
      <c r="H1" s="62"/>
      <c r="I1" s="62"/>
      <c r="J1" s="62"/>
      <c r="K1" s="6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5">
      <c r="A2" s="8" t="s">
        <v>194</v>
      </c>
    </row>
    <row r="5" spans="1:27" ht="13.5" x14ac:dyDescent="0.35">
      <c r="A5" s="7" t="s">
        <v>195</v>
      </c>
      <c r="B5" s="7"/>
      <c r="C5" s="7"/>
      <c r="D5" s="7"/>
      <c r="E5" s="7"/>
      <c r="F5" s="60"/>
      <c r="G5" s="60"/>
      <c r="H5" s="60"/>
      <c r="I5" s="60"/>
      <c r="J5" s="60"/>
      <c r="K5" s="6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7" spans="1:27" ht="15" x14ac:dyDescent="0.4">
      <c r="A7" s="1" t="s">
        <v>196</v>
      </c>
    </row>
    <row r="8" spans="1:27" x14ac:dyDescent="0.25">
      <c r="C8" s="4" t="s">
        <v>197</v>
      </c>
    </row>
    <row r="9" spans="1:27" ht="13" x14ac:dyDescent="0.3">
      <c r="C9" s="4"/>
      <c r="F9" s="63" t="s">
        <v>198</v>
      </c>
      <c r="G9" s="63" t="s">
        <v>93</v>
      </c>
      <c r="H9" s="63" t="s">
        <v>199</v>
      </c>
      <c r="I9" s="63" t="s">
        <v>200</v>
      </c>
      <c r="J9" s="63" t="s">
        <v>201</v>
      </c>
      <c r="K9" s="63" t="s">
        <v>202</v>
      </c>
    </row>
    <row r="10" spans="1:27" x14ac:dyDescent="0.25">
      <c r="C10" s="4"/>
      <c r="E10" s="27" t="str">
        <f>'Industry data'!E10</f>
        <v>Affinity Water</v>
      </c>
      <c r="F10" s="87">
        <f t="shared" ref="F10:F26" si="0">INDEX(CMeX_scores, MATCH(E10, Company_names, 0),)</f>
        <v>0</v>
      </c>
      <c r="G10" s="82">
        <f>_xlfn.RANK.AVG(F10,F$10:F$26)</f>
        <v>9</v>
      </c>
      <c r="H10" s="83" t="e">
        <f>F10-F$31</f>
        <v>#NUM!</v>
      </c>
      <c r="I10" s="84" t="e">
        <f t="shared" ref="I10:I26" si="1">IF(F10&gt;$F$31,H10*$F$35,IF(F10&lt;$F$31,H10*$F$36,0))</f>
        <v>#NUM!</v>
      </c>
      <c r="J10" s="84">
        <f>IFERROR(INDEX('Company score'!$H$84:$H$86, MATCH(E10,'Company score'!$E$84:$E$86,0)),0)</f>
        <v>0</v>
      </c>
      <c r="K10" s="84" t="e">
        <f>I10+J10</f>
        <v>#NUM!</v>
      </c>
    </row>
    <row r="11" spans="1:27" x14ac:dyDescent="0.25">
      <c r="C11" s="4"/>
      <c r="E11" s="27" t="str">
        <f>'Industry data'!E11</f>
        <v>Anglian Water</v>
      </c>
      <c r="F11" s="87">
        <f>INDEX(CMeX_scores, MATCH(E11, Company_names, 0),)</f>
        <v>0</v>
      </c>
      <c r="G11" s="82">
        <f t="shared" ref="G11:G26" si="2">_xlfn.RANK.AVG(F11,F$10:F$26)</f>
        <v>9</v>
      </c>
      <c r="H11" s="83" t="e">
        <f t="shared" ref="H11:H26" si="3">F11-F$31</f>
        <v>#NUM!</v>
      </c>
      <c r="I11" s="84" t="e">
        <f t="shared" si="1"/>
        <v>#NUM!</v>
      </c>
      <c r="J11" s="84">
        <f>IFERROR(INDEX('Company score'!$H$84:$H$86, MATCH(E11,'Company score'!$E$84:$E$86,0)),0)</f>
        <v>0</v>
      </c>
      <c r="K11" s="84" t="e">
        <f t="shared" ref="K11:K26" si="4">I11+J11</f>
        <v>#NUM!</v>
      </c>
    </row>
    <row r="12" spans="1:27" x14ac:dyDescent="0.25">
      <c r="C12" s="4"/>
      <c r="E12" s="27" t="str">
        <f>'Industry data'!E12</f>
        <v>Bristol Water</v>
      </c>
      <c r="F12" s="87">
        <f t="shared" si="0"/>
        <v>0</v>
      </c>
      <c r="G12" s="82">
        <f t="shared" si="2"/>
        <v>9</v>
      </c>
      <c r="H12" s="83" t="e">
        <f t="shared" si="3"/>
        <v>#NUM!</v>
      </c>
      <c r="I12" s="84" t="e">
        <f>IF(F12&gt;$F$31,H12*$F$35,IF(F12&lt;$F$31,H12*$F$36,0))</f>
        <v>#NUM!</v>
      </c>
      <c r="J12" s="84">
        <f>IFERROR(INDEX('Company score'!$H$84:$H$86, MATCH(E12,'Company score'!$E$84:$E$86,0)),0)</f>
        <v>0</v>
      </c>
      <c r="K12" s="84" t="e">
        <f t="shared" si="4"/>
        <v>#NUM!</v>
      </c>
    </row>
    <row r="13" spans="1:27" x14ac:dyDescent="0.25">
      <c r="C13" s="4"/>
      <c r="E13" s="27" t="str">
        <f>'Industry data'!E13</f>
        <v>Dŵr Cymru</v>
      </c>
      <c r="F13" s="87">
        <f>INDEX(CMeX_scores, MATCH(E13, Company_names, 0),)</f>
        <v>0</v>
      </c>
      <c r="G13" s="85">
        <f>_xlfn.RANK.AVG(F13,F$10:F$26)</f>
        <v>9</v>
      </c>
      <c r="H13" s="83" t="e">
        <f t="shared" si="3"/>
        <v>#NUM!</v>
      </c>
      <c r="I13" s="84" t="e">
        <f t="shared" si="1"/>
        <v>#NUM!</v>
      </c>
      <c r="J13" s="84">
        <f>IFERROR(INDEX('Company score'!$H$84:$H$86, MATCH(E13,'Company score'!$E$84:$E$86,0)),0)</f>
        <v>0</v>
      </c>
      <c r="K13" s="84" t="e">
        <f t="shared" si="4"/>
        <v>#NUM!</v>
      </c>
    </row>
    <row r="14" spans="1:27" x14ac:dyDescent="0.25">
      <c r="C14" s="4"/>
      <c r="E14" s="27" t="str">
        <f>'Industry data'!E14</f>
        <v>Hafren Dyfrdwy</v>
      </c>
      <c r="F14" s="87">
        <f t="shared" si="0"/>
        <v>0</v>
      </c>
      <c r="G14" s="82">
        <f t="shared" si="2"/>
        <v>9</v>
      </c>
      <c r="H14" s="83" t="e">
        <f t="shared" si="3"/>
        <v>#NUM!</v>
      </c>
      <c r="I14" s="84" t="e">
        <f t="shared" si="1"/>
        <v>#NUM!</v>
      </c>
      <c r="J14" s="84">
        <f>IFERROR(INDEX('Company score'!$H$84:$H$86, MATCH(E14,'Company score'!$E$84:$E$86,0)),0)</f>
        <v>0</v>
      </c>
      <c r="K14" s="84" t="e">
        <f t="shared" si="4"/>
        <v>#NUM!</v>
      </c>
    </row>
    <row r="15" spans="1:27" x14ac:dyDescent="0.25">
      <c r="C15" s="4"/>
      <c r="E15" s="27" t="str">
        <f>'Industry data'!E15</f>
        <v>Northumbrian Water</v>
      </c>
      <c r="F15" s="87">
        <f t="shared" si="0"/>
        <v>0</v>
      </c>
      <c r="G15" s="82">
        <f t="shared" si="2"/>
        <v>9</v>
      </c>
      <c r="H15" s="83" t="e">
        <f t="shared" si="3"/>
        <v>#NUM!</v>
      </c>
      <c r="I15" s="84" t="e">
        <f t="shared" si="1"/>
        <v>#NUM!</v>
      </c>
      <c r="J15" s="84">
        <f>IFERROR(INDEX('Company score'!$H$84:$H$86, MATCH(E15,'Company score'!$E$84:$E$86,0)),0)</f>
        <v>0</v>
      </c>
      <c r="K15" s="84" t="e">
        <f t="shared" si="4"/>
        <v>#NUM!</v>
      </c>
    </row>
    <row r="16" spans="1:27" x14ac:dyDescent="0.25">
      <c r="C16" s="4"/>
      <c r="E16" s="27" t="str">
        <f>'Industry data'!E16</f>
        <v>Portsmouth Water</v>
      </c>
      <c r="F16" s="87">
        <f t="shared" si="0"/>
        <v>0</v>
      </c>
      <c r="G16" s="82">
        <f t="shared" si="2"/>
        <v>9</v>
      </c>
      <c r="H16" s="83" t="e">
        <f t="shared" si="3"/>
        <v>#NUM!</v>
      </c>
      <c r="I16" s="84" t="e">
        <f t="shared" si="1"/>
        <v>#NUM!</v>
      </c>
      <c r="J16" s="84">
        <f>IFERROR(INDEX('Company score'!$H$84:$H$86, MATCH(E16,'Company score'!$E$84:$E$86,0)),0)</f>
        <v>0</v>
      </c>
      <c r="K16" s="84" t="e">
        <f t="shared" si="4"/>
        <v>#NUM!</v>
      </c>
    </row>
    <row r="17" spans="3:11" x14ac:dyDescent="0.25">
      <c r="C17" s="4"/>
      <c r="E17" s="27" t="str">
        <f>'Industry data'!E17</f>
        <v>SES Water</v>
      </c>
      <c r="F17" s="87">
        <f t="shared" si="0"/>
        <v>0</v>
      </c>
      <c r="G17" s="82">
        <f t="shared" si="2"/>
        <v>9</v>
      </c>
      <c r="H17" s="83" t="e">
        <f t="shared" si="3"/>
        <v>#NUM!</v>
      </c>
      <c r="I17" s="84" t="e">
        <f t="shared" si="1"/>
        <v>#NUM!</v>
      </c>
      <c r="J17" s="84">
        <f>IFERROR(INDEX('Company score'!$H$84:$H$86, MATCH(E17,'Company score'!$E$84:$E$86,0)),0)</f>
        <v>0</v>
      </c>
      <c r="K17" s="84" t="e">
        <f t="shared" si="4"/>
        <v>#NUM!</v>
      </c>
    </row>
    <row r="18" spans="3:11" x14ac:dyDescent="0.25">
      <c r="C18" s="4"/>
      <c r="E18" s="27" t="str">
        <f>'Industry data'!E18</f>
        <v>Severn Trent Water</v>
      </c>
      <c r="F18" s="87">
        <f t="shared" si="0"/>
        <v>0</v>
      </c>
      <c r="G18" s="82">
        <f t="shared" si="2"/>
        <v>9</v>
      </c>
      <c r="H18" s="83" t="e">
        <f t="shared" si="3"/>
        <v>#NUM!</v>
      </c>
      <c r="I18" s="84" t="e">
        <f t="shared" si="1"/>
        <v>#NUM!</v>
      </c>
      <c r="J18" s="84">
        <f>IFERROR(INDEX('Company score'!$H$84:$H$86, MATCH(E18,'Company score'!$E$84:$E$86,0)),0)</f>
        <v>0</v>
      </c>
      <c r="K18" s="84" t="e">
        <f t="shared" si="4"/>
        <v>#NUM!</v>
      </c>
    </row>
    <row r="19" spans="3:11" x14ac:dyDescent="0.25">
      <c r="C19" s="4"/>
      <c r="E19" s="27" t="str">
        <f>'Industry data'!E19</f>
        <v>South East Water</v>
      </c>
      <c r="F19" s="87">
        <f t="shared" si="0"/>
        <v>0</v>
      </c>
      <c r="G19" s="82">
        <f t="shared" si="2"/>
        <v>9</v>
      </c>
      <c r="H19" s="83" t="e">
        <f t="shared" si="3"/>
        <v>#NUM!</v>
      </c>
      <c r="I19" s="84" t="e">
        <f t="shared" si="1"/>
        <v>#NUM!</v>
      </c>
      <c r="J19" s="84">
        <f>IFERROR(INDEX('Company score'!$H$84:$H$86, MATCH(E19,'Company score'!$E$84:$E$86,0)),0)</f>
        <v>0</v>
      </c>
      <c r="K19" s="84" t="e">
        <f t="shared" si="4"/>
        <v>#NUM!</v>
      </c>
    </row>
    <row r="20" spans="3:11" x14ac:dyDescent="0.25">
      <c r="C20" s="4"/>
      <c r="E20" s="27" t="str">
        <f>'Industry data'!E20</f>
        <v>South Staffs Water</v>
      </c>
      <c r="F20" s="87">
        <f t="shared" si="0"/>
        <v>0</v>
      </c>
      <c r="G20" s="82">
        <f t="shared" si="2"/>
        <v>9</v>
      </c>
      <c r="H20" s="83" t="e">
        <f t="shared" si="3"/>
        <v>#NUM!</v>
      </c>
      <c r="I20" s="84" t="e">
        <f t="shared" si="1"/>
        <v>#NUM!</v>
      </c>
      <c r="J20" s="84">
        <f>IFERROR(INDEX('Company score'!$H$84:$H$86, MATCH(E20,'Company score'!$E$84:$E$86,0)),0)</f>
        <v>0</v>
      </c>
      <c r="K20" s="84" t="e">
        <f t="shared" si="4"/>
        <v>#NUM!</v>
      </c>
    </row>
    <row r="21" spans="3:11" x14ac:dyDescent="0.25">
      <c r="C21" s="4"/>
      <c r="E21" s="27" t="str">
        <f>'Industry data'!E21</f>
        <v>South West Water</v>
      </c>
      <c r="F21" s="87">
        <f t="shared" si="0"/>
        <v>0</v>
      </c>
      <c r="G21" s="82">
        <f t="shared" si="2"/>
        <v>9</v>
      </c>
      <c r="H21" s="83" t="e">
        <f t="shared" si="3"/>
        <v>#NUM!</v>
      </c>
      <c r="I21" s="84" t="e">
        <f t="shared" si="1"/>
        <v>#NUM!</v>
      </c>
      <c r="J21" s="84">
        <f>IFERROR(INDEX('Company score'!$H$84:$H$86, MATCH(E21,'Company score'!$E$84:$E$86,0)),0)</f>
        <v>0</v>
      </c>
      <c r="K21" s="84" t="e">
        <f t="shared" si="4"/>
        <v>#NUM!</v>
      </c>
    </row>
    <row r="22" spans="3:11" x14ac:dyDescent="0.25">
      <c r="C22" s="4"/>
      <c r="E22" s="27" t="str">
        <f>'Industry data'!E22</f>
        <v>Southern Water</v>
      </c>
      <c r="F22" s="87">
        <f t="shared" si="0"/>
        <v>0</v>
      </c>
      <c r="G22" s="82">
        <f t="shared" si="2"/>
        <v>9</v>
      </c>
      <c r="H22" s="83" t="e">
        <f t="shared" si="3"/>
        <v>#NUM!</v>
      </c>
      <c r="I22" s="84" t="e">
        <f t="shared" si="1"/>
        <v>#NUM!</v>
      </c>
      <c r="J22" s="84">
        <f>IFERROR(INDEX('Company score'!$H$84:$H$86, MATCH(E22,'Company score'!$E$84:$E$86,0)),0)</f>
        <v>0</v>
      </c>
      <c r="K22" s="84" t="e">
        <f t="shared" si="4"/>
        <v>#NUM!</v>
      </c>
    </row>
    <row r="23" spans="3:11" x14ac:dyDescent="0.25">
      <c r="C23" s="4"/>
      <c r="E23" s="27" t="str">
        <f>'Industry data'!E23</f>
        <v>Thames Water</v>
      </c>
      <c r="F23" s="87">
        <f t="shared" si="0"/>
        <v>0</v>
      </c>
      <c r="G23" s="82">
        <f t="shared" si="2"/>
        <v>9</v>
      </c>
      <c r="H23" s="83" t="e">
        <f t="shared" si="3"/>
        <v>#NUM!</v>
      </c>
      <c r="I23" s="84" t="e">
        <f t="shared" si="1"/>
        <v>#NUM!</v>
      </c>
      <c r="J23" s="84">
        <f>IFERROR(INDEX('Company score'!$H$84:$H$86, MATCH(E23,'Company score'!$E$84:$E$86,0)),0)</f>
        <v>0</v>
      </c>
      <c r="K23" s="84" t="e">
        <f t="shared" si="4"/>
        <v>#NUM!</v>
      </c>
    </row>
    <row r="24" spans="3:11" x14ac:dyDescent="0.25">
      <c r="C24" s="4"/>
      <c r="E24" s="27" t="str">
        <f>'Industry data'!E24</f>
        <v>United Utilities</v>
      </c>
      <c r="F24" s="87">
        <f t="shared" si="0"/>
        <v>0</v>
      </c>
      <c r="G24" s="82">
        <f t="shared" si="2"/>
        <v>9</v>
      </c>
      <c r="H24" s="83" t="e">
        <f t="shared" si="3"/>
        <v>#NUM!</v>
      </c>
      <c r="I24" s="84" t="e">
        <f t="shared" si="1"/>
        <v>#NUM!</v>
      </c>
      <c r="J24" s="84">
        <f>IFERROR(INDEX('Company score'!$H$84:$H$86, MATCH(E24,'Company score'!$E$84:$E$86,0)),0)</f>
        <v>0</v>
      </c>
      <c r="K24" s="84" t="e">
        <f t="shared" si="4"/>
        <v>#NUM!</v>
      </c>
    </row>
    <row r="25" spans="3:11" x14ac:dyDescent="0.25">
      <c r="C25" s="4"/>
      <c r="E25" s="27" t="str">
        <f>'Industry data'!E25</f>
        <v>Wessex Water</v>
      </c>
      <c r="F25" s="87">
        <f t="shared" si="0"/>
        <v>0</v>
      </c>
      <c r="G25" s="82">
        <f t="shared" si="2"/>
        <v>9</v>
      </c>
      <c r="H25" s="83" t="e">
        <f t="shared" si="3"/>
        <v>#NUM!</v>
      </c>
      <c r="I25" s="84" t="e">
        <f t="shared" si="1"/>
        <v>#NUM!</v>
      </c>
      <c r="J25" s="84">
        <f>IFERROR(INDEX('Company score'!$H$84:$H$86, MATCH(E25,'Company score'!$E$84:$E$86,0)),0)</f>
        <v>0</v>
      </c>
      <c r="K25" s="84" t="e">
        <f t="shared" si="4"/>
        <v>#NUM!</v>
      </c>
    </row>
    <row r="26" spans="3:11" x14ac:dyDescent="0.25">
      <c r="C26" s="4"/>
      <c r="E26" s="27" t="str">
        <f>'Industry data'!E26</f>
        <v>Yorkshire Water</v>
      </c>
      <c r="F26" s="87">
        <f t="shared" si="0"/>
        <v>0</v>
      </c>
      <c r="G26" s="82">
        <f t="shared" si="2"/>
        <v>9</v>
      </c>
      <c r="H26" s="83" t="e">
        <f t="shared" si="3"/>
        <v>#NUM!</v>
      </c>
      <c r="I26" s="84" t="e">
        <f t="shared" si="1"/>
        <v>#NUM!</v>
      </c>
      <c r="J26" s="84">
        <f>IFERROR(INDEX('Company score'!$H$84:$H$86, MATCH(E26,'Company score'!$E$84:$E$86,0)),0)</f>
        <v>0</v>
      </c>
      <c r="K26" s="84" t="e">
        <f t="shared" si="4"/>
        <v>#NUM!</v>
      </c>
    </row>
    <row r="27" spans="3:11" x14ac:dyDescent="0.25">
      <c r="C27" s="4"/>
      <c r="F27" s="86"/>
      <c r="G27" s="86"/>
      <c r="H27" s="86"/>
      <c r="I27" s="86"/>
      <c r="J27" s="86"/>
      <c r="K27" s="86"/>
    </row>
    <row r="28" spans="3:11" x14ac:dyDescent="0.25">
      <c r="C28" s="4"/>
      <c r="E28" s="8" t="s">
        <v>203</v>
      </c>
      <c r="F28" s="88">
        <f>'Policy decisions'!H35</f>
        <v>0.06</v>
      </c>
      <c r="G28" s="86"/>
      <c r="H28" s="86"/>
      <c r="I28" s="86"/>
      <c r="J28" s="86"/>
      <c r="K28" s="86"/>
    </row>
    <row r="29" spans="3:11" x14ac:dyDescent="0.25">
      <c r="C29" s="4"/>
      <c r="E29" s="8" t="s">
        <v>204</v>
      </c>
      <c r="F29" s="88">
        <f>'Policy decisions'!H36</f>
        <v>-0.12</v>
      </c>
      <c r="G29" s="86"/>
      <c r="H29" s="86"/>
      <c r="I29" s="86"/>
      <c r="J29" s="86"/>
      <c r="K29" s="86"/>
    </row>
    <row r="30" spans="3:11" x14ac:dyDescent="0.25">
      <c r="C30" s="4"/>
      <c r="E30" s="8" t="s">
        <v>100</v>
      </c>
      <c r="F30" s="87" t="e">
        <f>'Industry data'!H30</f>
        <v>#DIV/0!</v>
      </c>
      <c r="G30" s="86"/>
      <c r="H30" s="86"/>
      <c r="I30" s="86"/>
      <c r="J30" s="86"/>
      <c r="K30" s="86"/>
    </row>
    <row r="31" spans="3:11" x14ac:dyDescent="0.25">
      <c r="C31" s="4"/>
      <c r="E31" s="8" t="s">
        <v>101</v>
      </c>
      <c r="F31" s="87" t="e">
        <f>'Industry data'!H31</f>
        <v>#NUM!</v>
      </c>
      <c r="G31" s="86"/>
      <c r="H31" s="86"/>
      <c r="I31" s="86"/>
      <c r="J31" s="86"/>
      <c r="K31" s="86"/>
    </row>
    <row r="32" spans="3:11" x14ac:dyDescent="0.25">
      <c r="C32" s="4"/>
      <c r="E32" s="8" t="s">
        <v>102</v>
      </c>
      <c r="F32" s="87">
        <f>'Industry data'!H32</f>
        <v>0</v>
      </c>
      <c r="G32" s="86"/>
      <c r="H32" s="86"/>
      <c r="I32" s="86"/>
      <c r="J32" s="86"/>
      <c r="K32" s="86"/>
    </row>
    <row r="33" spans="1:27" x14ac:dyDescent="0.25">
      <c r="C33" s="4"/>
      <c r="E33" s="8" t="s">
        <v>103</v>
      </c>
      <c r="F33" s="87">
        <f>'Industry data'!H33</f>
        <v>0</v>
      </c>
      <c r="G33" s="86"/>
      <c r="H33" s="86"/>
      <c r="I33" s="86"/>
      <c r="J33" s="86"/>
      <c r="K33" s="86"/>
    </row>
    <row r="34" spans="1:27" x14ac:dyDescent="0.25">
      <c r="C34" s="4"/>
      <c r="E34" s="8" t="s">
        <v>104</v>
      </c>
      <c r="F34" s="87" t="e">
        <f>'Industry data'!H34</f>
        <v>#DIV/0!</v>
      </c>
      <c r="G34" s="86"/>
      <c r="H34" s="86"/>
      <c r="I34" s="86"/>
      <c r="J34" s="86"/>
      <c r="K34" s="86"/>
    </row>
    <row r="35" spans="1:27" x14ac:dyDescent="0.25">
      <c r="C35" s="4"/>
      <c r="E35" s="8" t="s">
        <v>205</v>
      </c>
      <c r="F35" s="84" t="e">
        <f>F28/(F32-F31)</f>
        <v>#NUM!</v>
      </c>
      <c r="G35" s="86"/>
      <c r="H35" s="86"/>
      <c r="I35" s="86"/>
      <c r="J35" s="86"/>
      <c r="K35" s="86"/>
    </row>
    <row r="36" spans="1:27" x14ac:dyDescent="0.25">
      <c r="C36" s="4"/>
      <c r="E36" s="8" t="s">
        <v>206</v>
      </c>
      <c r="F36" s="84" t="e">
        <f>F29/(F33-F31)</f>
        <v>#NUM!</v>
      </c>
      <c r="G36" s="86"/>
      <c r="H36" s="86"/>
      <c r="I36" s="86"/>
      <c r="J36" s="86"/>
      <c r="K36" s="86"/>
    </row>
    <row r="37" spans="1:27" x14ac:dyDescent="0.25">
      <c r="C37" s="4"/>
    </row>
    <row r="38" spans="1:27" ht="13.5" x14ac:dyDescent="0.35">
      <c r="A38" s="9" t="s">
        <v>13</v>
      </c>
      <c r="B38" s="9"/>
      <c r="C38" s="9"/>
      <c r="D38" s="9"/>
      <c r="E38" s="9"/>
      <c r="F38" s="61"/>
      <c r="G38" s="61"/>
      <c r="H38" s="61"/>
      <c r="I38" s="61"/>
      <c r="J38" s="61"/>
      <c r="K38" s="6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B040"/>
  </sheetPr>
  <dimension ref="A1:Z29"/>
  <sheetViews>
    <sheetView zoomScale="80" zoomScaleNormal="80" workbookViewId="0">
      <pane ySplit="3" topLeftCell="A4" activePane="bottomLeft" state="frozen"/>
      <selection pane="bottomLeft" activeCell="H38" sqref="H38"/>
    </sheetView>
  </sheetViews>
  <sheetFormatPr defaultRowHeight="12.5" x14ac:dyDescent="0.25"/>
  <cols>
    <col min="1" max="4" width="2.7265625" customWidth="1"/>
    <col min="5" max="5" width="60.7265625" customWidth="1"/>
    <col min="6" max="6" width="19.54296875" style="66" customWidth="1"/>
    <col min="7" max="7" width="2.7265625" style="66" customWidth="1"/>
    <col min="8" max="8" width="19.26953125" style="66" bestFit="1" customWidth="1"/>
    <col min="9" max="9" width="15.26953125" style="66" customWidth="1"/>
    <col min="10" max="10" width="16.7265625" style="66" bestFit="1" customWidth="1"/>
    <col min="11" max="11" width="2.7265625" customWidth="1"/>
  </cols>
  <sheetData>
    <row r="1" spans="1:26" ht="32" x14ac:dyDescent="0.8">
      <c r="A1" s="44" t="str">
        <f ca="1" xml:space="preserve"> RIGHT(CELL("filename", $A$1), LEN(CELL("filename", $A$1)) - SEARCH("]", CELL("filename", $A$1)))</f>
        <v>Outputs</v>
      </c>
      <c r="B1" s="3"/>
      <c r="C1" s="3"/>
      <c r="D1" s="3"/>
      <c r="E1" s="3"/>
      <c r="F1" s="64"/>
      <c r="G1" s="64"/>
      <c r="H1" s="64"/>
      <c r="I1" s="64"/>
      <c r="J1" s="6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8" t="s">
        <v>207</v>
      </c>
      <c r="B2" s="8"/>
      <c r="C2" s="8"/>
      <c r="D2" s="8"/>
      <c r="E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8" customFormat="1" x14ac:dyDescent="0.25">
      <c r="F3" s="66"/>
      <c r="G3" s="66"/>
      <c r="H3" s="66"/>
      <c r="I3" s="66"/>
      <c r="J3" s="66"/>
    </row>
    <row r="4" spans="1:26" s="8" customFormat="1" x14ac:dyDescent="0.25">
      <c r="F4" s="66"/>
      <c r="G4" s="66"/>
      <c r="H4" s="66"/>
      <c r="I4" s="66"/>
      <c r="J4" s="66"/>
    </row>
    <row r="5" spans="1:26" ht="13.5" x14ac:dyDescent="0.35">
      <c r="A5" s="7" t="s">
        <v>208</v>
      </c>
      <c r="B5" s="7"/>
      <c r="C5" s="7"/>
      <c r="D5" s="7"/>
      <c r="E5" s="7"/>
      <c r="F5" s="65"/>
      <c r="G5" s="65"/>
      <c r="H5" s="65"/>
      <c r="I5" s="65"/>
      <c r="J5" s="6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7" spans="1:26" ht="15" x14ac:dyDescent="0.4">
      <c r="A7" s="1" t="s">
        <v>209</v>
      </c>
      <c r="B7" s="8"/>
      <c r="C7" s="8"/>
      <c r="D7" s="8"/>
      <c r="E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8" customFormat="1" ht="15" x14ac:dyDescent="0.4">
      <c r="A8" s="1"/>
      <c r="F8" s="66"/>
      <c r="G8" s="66"/>
      <c r="H8" s="72" t="s">
        <v>210</v>
      </c>
      <c r="I8" s="73"/>
      <c r="J8" s="73"/>
    </row>
    <row r="9" spans="1:26" ht="13.5" x14ac:dyDescent="0.35">
      <c r="A9" s="8"/>
      <c r="B9" s="2"/>
      <c r="C9" s="8"/>
      <c r="D9" s="8"/>
      <c r="E9" s="21" t="s">
        <v>64</v>
      </c>
      <c r="F9" s="67" t="s">
        <v>211</v>
      </c>
      <c r="G9" s="67"/>
      <c r="H9" s="67" t="s">
        <v>212</v>
      </c>
      <c r="I9" s="67" t="s">
        <v>213</v>
      </c>
      <c r="J9" s="67" t="s">
        <v>214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x14ac:dyDescent="0.25">
      <c r="A10" s="8"/>
      <c r="B10" s="8"/>
      <c r="C10" s="4"/>
      <c r="D10" s="8"/>
      <c r="E10" s="8" t="str">
        <f>'Industry data'!E10</f>
        <v>Affinity Water</v>
      </c>
      <c r="F10" s="87">
        <f>INDEX(CMeX_scores, MATCH(E10, Payments!$E$10:$E$26, 0))</f>
        <v>0</v>
      </c>
      <c r="G10" s="87"/>
      <c r="H10" s="88" t="e">
        <f>INDEX(Payments, MATCH(E10, Payments!$E$10:$E$26, 0))</f>
        <v>#NUM!</v>
      </c>
      <c r="I10" s="88" t="e">
        <f>INDEX(Total_payments, MATCH(E10, Payments!$E$10:$E$26, 0))</f>
        <v>#NUM!</v>
      </c>
      <c r="J10" s="89" t="e">
        <f>I10*'Industry data'!H118</f>
        <v>#NUM!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8"/>
      <c r="B11" s="8"/>
      <c r="C11" s="8"/>
      <c r="D11" s="8"/>
      <c r="E11" s="8" t="str">
        <f>'Industry data'!E11</f>
        <v>Anglian Water</v>
      </c>
      <c r="F11" s="87">
        <f>INDEX(CMeX_scores, MATCH(E11, Payments!$E$10:$E$26, 0))</f>
        <v>0</v>
      </c>
      <c r="G11" s="87"/>
      <c r="H11" s="88" t="e">
        <f>INDEX(Payments, MATCH(E11, Payments!$E$10:$E$26, 0))</f>
        <v>#NUM!</v>
      </c>
      <c r="I11" s="88" t="e">
        <f>INDEX(Total_payments, MATCH(E11, Payments!$E$10:$E$26, 0))</f>
        <v>#NUM!</v>
      </c>
      <c r="J11" s="89" t="e">
        <f>I11*'Industry data'!H132</f>
        <v>#NUM!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8"/>
      <c r="B12" s="8"/>
      <c r="C12" s="8"/>
      <c r="D12" s="8"/>
      <c r="E12" s="8" t="str">
        <f>'Industry data'!E12</f>
        <v>Bristol Water</v>
      </c>
      <c r="F12" s="87">
        <f>INDEX(CMeX_scores, MATCH(E12, Payments!$E$10:$E$26, 0))</f>
        <v>0</v>
      </c>
      <c r="G12" s="87"/>
      <c r="H12" s="88" t="e">
        <f>INDEX(Payments, MATCH(E12, Payments!$E$10:$E$26, 0))</f>
        <v>#NUM!</v>
      </c>
      <c r="I12" s="88" t="e">
        <f>INDEX(Total_payments, MATCH(E12, Payments!$E$10:$E$26, 0))</f>
        <v>#NUM!</v>
      </c>
      <c r="J12" s="89" t="e">
        <f>I12*'Industry data'!H124</f>
        <v>#NUM!</v>
      </c>
      <c r="K12" s="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8"/>
      <c r="B13" s="8"/>
      <c r="C13" s="8"/>
      <c r="D13" s="8"/>
      <c r="E13" s="8" t="str">
        <f>'Industry data'!E13</f>
        <v>Dŵr Cymru</v>
      </c>
      <c r="F13" s="87">
        <f>INDEX(CMeX_scores, MATCH(E13, Payments!$E$10:$E$26, 0))</f>
        <v>0</v>
      </c>
      <c r="G13" s="87"/>
      <c r="H13" s="88" t="e">
        <f>INDEX(Payments, MATCH(E13, Payments!$E$10:$E$26, 0))</f>
        <v>#NUM!</v>
      </c>
      <c r="I13" s="88" t="e">
        <f>INDEX(Total_payments, MATCH(E13, Payments!$E$10:$E$26, 0))</f>
        <v>#NUM!</v>
      </c>
      <c r="J13" s="89" t="e">
        <f>I13*'Industry data'!H126</f>
        <v>#NUM!</v>
      </c>
      <c r="K13" s="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8"/>
      <c r="B14" s="8"/>
      <c r="C14" s="8"/>
      <c r="D14" s="8"/>
      <c r="E14" s="8" t="str">
        <f>'Industry data'!E14</f>
        <v>Hafren Dyfrdwy</v>
      </c>
      <c r="F14" s="87">
        <f>INDEX(CMeX_scores, MATCH(E14, Payments!$E$10:$E$26, 0))</f>
        <v>0</v>
      </c>
      <c r="G14" s="87"/>
      <c r="H14" s="88" t="e">
        <f>INDEX(Payments, MATCH(E14, Payments!$E$10:$E$26, 0))</f>
        <v>#NUM!</v>
      </c>
      <c r="I14" s="88" t="e">
        <f>INDEX(Total_payments, MATCH(E14, Payments!$E$10:$E$26, 0))</f>
        <v>#NUM!</v>
      </c>
      <c r="J14" s="89" t="e">
        <f>I14*'Industry data'!H123</f>
        <v>#NUM!</v>
      </c>
      <c r="K14" s="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8" customFormat="1" x14ac:dyDescent="0.25">
      <c r="E15" s="8" t="str">
        <f>'Industry data'!E15</f>
        <v>Northumbrian Water</v>
      </c>
      <c r="F15" s="87">
        <f>INDEX(CMeX_scores, MATCH(E15, Payments!$E$10:$E$26, 0))</f>
        <v>0</v>
      </c>
      <c r="G15" s="87"/>
      <c r="H15" s="88" t="e">
        <f>INDEX(Payments, MATCH(E15, Payments!$E$10:$E$26, 0))</f>
        <v>#NUM!</v>
      </c>
      <c r="I15" s="88" t="e">
        <f>INDEX(Total_payments, MATCH(E15, Payments!$E$10:$E$26, 0))</f>
        <v>#NUM!</v>
      </c>
      <c r="J15" s="89" t="e">
        <f>I15*'Industry data'!H134</f>
        <v>#NUM!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8" customFormat="1" x14ac:dyDescent="0.25">
      <c r="E16" s="8" t="str">
        <f>'Industry data'!E16</f>
        <v>Portsmouth Water</v>
      </c>
      <c r="F16" s="87">
        <f>INDEX(CMeX_scores, MATCH(E16, Payments!$E$10:$E$26, 0))</f>
        <v>0</v>
      </c>
      <c r="G16" s="87"/>
      <c r="H16" s="88" t="e">
        <f>INDEX(Payments, MATCH(E16, Payments!$E$10:$E$26, 0))</f>
        <v>#NUM!</v>
      </c>
      <c r="I16" s="88" t="e">
        <f>INDEX(Total_payments, MATCH(E16, Payments!$E$10:$E$26, 0))</f>
        <v>#NUM!</v>
      </c>
      <c r="J16" s="89" t="e">
        <f>I16*'Industry data'!H120</f>
        <v>#NUM!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8" customFormat="1" x14ac:dyDescent="0.25">
      <c r="E17" s="8" t="str">
        <f>'Industry data'!E17</f>
        <v>SES Water</v>
      </c>
      <c r="F17" s="87">
        <f>INDEX(CMeX_scores, MATCH(E17, Payments!$E$10:$E$26, 0))</f>
        <v>0</v>
      </c>
      <c r="G17" s="87"/>
      <c r="H17" s="88" t="e">
        <f>INDEX(Payments, MATCH(E17, Payments!$E$10:$E$26, 0))</f>
        <v>#NUM!</v>
      </c>
      <c r="I17" s="88" t="e">
        <f>INDEX(Total_payments, MATCH(E17, Payments!$E$10:$E$26, 0))</f>
        <v>#NUM!</v>
      </c>
      <c r="J17" s="89" t="e">
        <f>I17*'Industry data'!H119</f>
        <v>#NUM!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8" customFormat="1" x14ac:dyDescent="0.25">
      <c r="E18" s="8" t="str">
        <f>'Industry data'!E18</f>
        <v>Severn Trent Water</v>
      </c>
      <c r="F18" s="87">
        <f>INDEX(CMeX_scores, MATCH(E18, Payments!$E$10:$E$26, 0))</f>
        <v>0</v>
      </c>
      <c r="G18" s="87"/>
      <c r="H18" s="88" t="e">
        <f>INDEX(Payments, MATCH(E18, Payments!$E$10:$E$26, 0))</f>
        <v>#NUM!</v>
      </c>
      <c r="I18" s="88" t="e">
        <f>INDEX(Total_payments, MATCH(E18, Payments!$E$10:$E$26, 0))</f>
        <v>#NUM!</v>
      </c>
      <c r="J18" s="89" t="e">
        <f>I18*'Industry data'!H131</f>
        <v>#NUM!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8" customFormat="1" x14ac:dyDescent="0.25">
      <c r="E19" s="8" t="str">
        <f>'Industry data'!E19</f>
        <v>South East Water</v>
      </c>
      <c r="F19" s="87">
        <f>INDEX(CMeX_scores, MATCH(E19, Payments!$E$10:$E$26, 0))</f>
        <v>0</v>
      </c>
      <c r="G19" s="87"/>
      <c r="H19" s="88" t="e">
        <f>INDEX(Payments, MATCH(E19, Payments!$E$10:$E$26, 0))</f>
        <v>#NUM!</v>
      </c>
      <c r="I19" s="88" t="e">
        <f>INDEX(Total_payments, MATCH(E19, Payments!$E$10:$E$26, 0))</f>
        <v>#NUM!</v>
      </c>
      <c r="J19" s="89" t="e">
        <f>I19*'Industry data'!H130</f>
        <v>#NUM!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8" customFormat="1" x14ac:dyDescent="0.25">
      <c r="E20" s="8" t="str">
        <f>'Industry data'!E20</f>
        <v>South Staffs Water</v>
      </c>
      <c r="F20" s="87">
        <f>INDEX(CMeX_scores, MATCH(E20, Payments!$E$10:$E$26, 0))</f>
        <v>0</v>
      </c>
      <c r="G20" s="87"/>
      <c r="H20" s="88" t="e">
        <f>INDEX(Payments, MATCH(E20, Payments!$E$10:$E$26, 0))</f>
        <v>#NUM!</v>
      </c>
      <c r="I20" s="88" t="e">
        <f>INDEX(Total_payments, MATCH(E20, Payments!$E$10:$E$26, 0))</f>
        <v>#NUM!</v>
      </c>
      <c r="J20" s="89" t="e">
        <f>I20*'Industry data'!H128</f>
        <v>#NUM!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8" customFormat="1" x14ac:dyDescent="0.25">
      <c r="E21" s="8" t="str">
        <f>'Industry data'!E21</f>
        <v>South West Water</v>
      </c>
      <c r="F21" s="87">
        <f>INDEX(CMeX_scores, MATCH(E21, Payments!$E$10:$E$26, 0))</f>
        <v>0</v>
      </c>
      <c r="G21" s="87"/>
      <c r="H21" s="88" t="e">
        <f>INDEX(Payments, MATCH(E21, Payments!$E$10:$E$26, 0))</f>
        <v>#NUM!</v>
      </c>
      <c r="I21" s="88" t="e">
        <f>INDEX(Total_payments, MATCH(E21, Payments!$E$10:$E$26, 0))</f>
        <v>#NUM!</v>
      </c>
      <c r="J21" s="89" t="e">
        <f>I21*'Industry data'!H121</f>
        <v>#NUM!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8" customFormat="1" x14ac:dyDescent="0.25">
      <c r="E22" s="8" t="str">
        <f>'Industry data'!E22</f>
        <v>Southern Water</v>
      </c>
      <c r="F22" s="87">
        <f>INDEX(CMeX_scores, MATCH(E22, Payments!$E$10:$E$26, 0))</f>
        <v>0</v>
      </c>
      <c r="G22" s="87"/>
      <c r="H22" s="88" t="e">
        <f>INDEX(Payments, MATCH(E22, Payments!$E$10:$E$26, 0))</f>
        <v>#NUM!</v>
      </c>
      <c r="I22" s="88" t="e">
        <f>INDEX(Total_payments, MATCH(E22, Payments!$E$10:$E$26, 0))</f>
        <v>#NUM!</v>
      </c>
      <c r="J22" s="89" t="e">
        <f>I22*'Industry data'!H127</f>
        <v>#NUM!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8" customFormat="1" x14ac:dyDescent="0.25">
      <c r="E23" s="8" t="str">
        <f>'Industry data'!E23</f>
        <v>Thames Water</v>
      </c>
      <c r="F23" s="87">
        <f>INDEX(CMeX_scores, MATCH(E23, Payments!$E$10:$E$26, 0))</f>
        <v>0</v>
      </c>
      <c r="G23" s="87"/>
      <c r="H23" s="88" t="e">
        <f>INDEX(Payments, MATCH(E23, Payments!$E$10:$E$26, 0))</f>
        <v>#NUM!</v>
      </c>
      <c r="I23" s="88" t="e">
        <f>INDEX(Total_payments, MATCH(E23, Payments!$E$10:$E$26, 0))</f>
        <v>#NUM!</v>
      </c>
      <c r="J23" s="89" t="e">
        <f>I23*'Industry data'!H125</f>
        <v>#NUM!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8" customFormat="1" x14ac:dyDescent="0.25">
      <c r="E24" s="8" t="str">
        <f>'Industry data'!E24</f>
        <v>United Utilities</v>
      </c>
      <c r="F24" s="87">
        <f>INDEX(CMeX_scores, MATCH(E24, Payments!$E$10:$E$26, 0))</f>
        <v>0</v>
      </c>
      <c r="G24" s="87"/>
      <c r="H24" s="88" t="e">
        <f>INDEX(Payments, MATCH(E24, Payments!$E$10:$E$26, 0))</f>
        <v>#NUM!</v>
      </c>
      <c r="I24" s="88" t="e">
        <f>INDEX(Total_payments, MATCH(E24, Payments!$E$10:$E$26, 0))</f>
        <v>#NUM!</v>
      </c>
      <c r="J24" s="89" t="e">
        <f>I24*'Industry data'!H129</f>
        <v>#NUM!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8" customFormat="1" x14ac:dyDescent="0.25">
      <c r="E25" s="8" t="str">
        <f>'Industry data'!E25</f>
        <v>Wessex Water</v>
      </c>
      <c r="F25" s="87">
        <f>INDEX(CMeX_scores, MATCH(E25, Payments!$E$10:$E$26, 0))</f>
        <v>0</v>
      </c>
      <c r="G25" s="87"/>
      <c r="H25" s="88" t="e">
        <f>INDEX(Payments, MATCH(E25, Payments!$E$10:$E$26, 0))</f>
        <v>#NUM!</v>
      </c>
      <c r="I25" s="88" t="e">
        <f>INDEX(Total_payments, MATCH(E25, Payments!$E$10:$E$26, 0))</f>
        <v>#NUM!</v>
      </c>
      <c r="J25" s="89" t="e">
        <f>I25*'Industry data'!H122</f>
        <v>#NUM!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8" customFormat="1" x14ac:dyDescent="0.25">
      <c r="E26" s="8" t="str">
        <f>'Industry data'!E26</f>
        <v>Yorkshire Water</v>
      </c>
      <c r="F26" s="87">
        <f>INDEX(CMeX_scores, MATCH(E26, Payments!$E$10:$E$26, 0))</f>
        <v>0</v>
      </c>
      <c r="G26" s="87"/>
      <c r="H26" s="88" t="e">
        <f>INDEX(Payments, MATCH(E26, Payments!$E$10:$E$26, 0))</f>
        <v>#NUM!</v>
      </c>
      <c r="I26" s="88" t="e">
        <f>INDEX(Total_payments, MATCH(E26, Payments!$E$10:$E$26, 0))</f>
        <v>#NUM!</v>
      </c>
      <c r="J26" s="89" t="e">
        <f>I26*'Industry data'!H133</f>
        <v>#NUM!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8" customFormat="1" x14ac:dyDescent="0.25">
      <c r="F27" s="66"/>
      <c r="G27" s="66"/>
      <c r="H27" s="66"/>
      <c r="I27" s="66"/>
      <c r="J27" s="6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5">
      <c r="A28" s="8"/>
      <c r="B28" s="8"/>
      <c r="C28" s="8"/>
      <c r="D28" s="8"/>
      <c r="E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3.5" x14ac:dyDescent="0.35">
      <c r="A29" s="9" t="s">
        <v>13</v>
      </c>
      <c r="B29" s="9"/>
      <c r="C29" s="9"/>
      <c r="D29" s="9"/>
      <c r="E29" s="9"/>
      <c r="F29" s="68"/>
      <c r="G29" s="68"/>
      <c r="H29" s="68"/>
      <c r="I29" s="68"/>
      <c r="J29" s="68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</sheetData>
  <autoFilter ref="E9:J9">
    <sortState ref="E10:J26">
      <sortCondition descending="1" ref="F9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6E15FDC79062B44383236439AA4FD991" ma:contentTypeVersion="86" ma:contentTypeDescription="Create a new document" ma:contentTypeScope="" ma:versionID="57e38a5b641e0925eb21ab845668f07b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9f66bf01619781120e3194a02ce22a24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1788</Value>
    </TaxCatchAll>
    <m279c8e365374608a4eb2bb657f838c2 xmlns="7041854e-4853-44f9-9e63-23b7acad5461">
      <Terms xmlns="http://schemas.microsoft.com/office/infopath/2007/PartnerControls"/>
    </m279c8e365374608a4eb2bb657f838c2>
    <b20f10deb29d4945907115b7b62c5b70 xmlns="7041854e-4853-44f9-9e63-23b7acad5461">
      <Terms xmlns="http://schemas.microsoft.com/office/infopath/2007/PartnerControls"/>
    </b20f10deb29d4945907115b7b62c5b70>
    <j7c77f2a1a924badb0d621542422dc19 xmlns="7041854e-4853-44f9-9e63-23b7acad5461">
      <Terms xmlns="http://schemas.microsoft.com/office/infopath/2007/PartnerControls"/>
    </j7c77f2a1a924badb0d621542422dc19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Outcomes and Customer Engagement</TermName>
          <TermId xmlns="http://schemas.microsoft.com/office/infopath/2007/PartnerControls">b01232e5-b09e-41f2-ba45-30ed0119ae0f</TermId>
        </TermInfo>
      </Terms>
    </oe9d4f963f4c420b8d2b35d038476850>
    <b128efbe498d4e38a73555a2e7be12ea xmlns="7041854e-4853-44f9-9e63-23b7acad5461">
      <Terms xmlns="http://schemas.microsoft.com/office/infopath/2007/PartnerControls"/>
    </b128efbe498d4e38a73555a2e7be12ea>
    <Follow-up xmlns="7041854e-4853-44f9-9e63-23b7acad5461">false</Follow-up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7205EC-3EF1-46C5-98BD-40BA8ACCAAD8}"/>
</file>

<file path=customXml/itemProps2.xml><?xml version="1.0" encoding="utf-8"?>
<ds:datastoreItem xmlns:ds="http://schemas.openxmlformats.org/officeDocument/2006/customXml" ds:itemID="{2E4879F6-D1C3-4C49-917B-C75ABB7749F1}"/>
</file>

<file path=customXml/itemProps3.xml><?xml version="1.0" encoding="utf-8"?>
<ds:datastoreItem xmlns:ds="http://schemas.openxmlformats.org/officeDocument/2006/customXml" ds:itemID="{46CF12A4-BF2C-4A7B-979F-DDF9E6A2C4B6}"/>
</file>

<file path=customXml/itemProps4.xml><?xml version="1.0" encoding="utf-8"?>
<ds:datastoreItem xmlns:ds="http://schemas.openxmlformats.org/officeDocument/2006/customXml" ds:itemID="{A871DB29-BF0A-4BBB-BE9C-BBEBDF6D8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26</vt:i4>
      </vt:variant>
    </vt:vector>
  </HeadingPairs>
  <TitlesOfParts>
    <vt:vector size="34" baseType="lpstr">
      <vt:lpstr>Cover</vt:lpstr>
      <vt:lpstr>Policy decisions</vt:lpstr>
      <vt:lpstr>Company data</vt:lpstr>
      <vt:lpstr>Industry data</vt:lpstr>
      <vt:lpstr>Company score</vt:lpstr>
      <vt:lpstr>Higher payments gates</vt:lpstr>
      <vt:lpstr>Payments</vt:lpstr>
      <vt:lpstr>Outputs</vt:lpstr>
      <vt:lpstr>Avg_complaints</vt:lpstr>
      <vt:lpstr>Billing_propn</vt:lpstr>
      <vt:lpstr>CES_weighting</vt:lpstr>
      <vt:lpstr>CMeX_ASUQ</vt:lpstr>
      <vt:lpstr>CMeX_dummy_rank</vt:lpstr>
      <vt:lpstr>CMeX_rank</vt:lpstr>
      <vt:lpstr>CMeX_scores</vt:lpstr>
      <vt:lpstr>Company_name</vt:lpstr>
      <vt:lpstr>Company_names</vt:lpstr>
      <vt:lpstr>Company_type</vt:lpstr>
      <vt:lpstr>Complaints</vt:lpstr>
      <vt:lpstr>CSS_weighting</vt:lpstr>
      <vt:lpstr>Gate_ranking</vt:lpstr>
      <vt:lpstr>Gates</vt:lpstr>
      <vt:lpstr>OCF</vt:lpstr>
      <vt:lpstr>Ops_waste_propn</vt:lpstr>
      <vt:lpstr>Ops_water_propn</vt:lpstr>
      <vt:lpstr>Payments</vt:lpstr>
      <vt:lpstr>Top_x_CMeX</vt:lpstr>
      <vt:lpstr>Total_payments</vt:lpstr>
      <vt:lpstr>UKCSI_scores</vt:lpstr>
      <vt:lpstr>WASC_billing_weighting</vt:lpstr>
      <vt:lpstr>WASC_ops_waste_weighting</vt:lpstr>
      <vt:lpstr>WASC_ops_water_weighting</vt:lpstr>
      <vt:lpstr>WOC_billing_weighting</vt:lpstr>
      <vt:lpstr>WOC_ops_weighting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2019-12-19T14:48:59Z</dcterms:created>
  <dcterms:modified xsi:type="dcterms:W3CDTF">2019-12-19T14:49:03Z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">
    <vt:lpwstr/>
  </property>
  <property fmtid="{D5CDD505-2E9C-101B-9397-08002B2CF9AE}" pid="3" name="Stakeholder 2">
    <vt:lpwstr/>
  </property>
  <property fmtid="{D5CDD505-2E9C-101B-9397-08002B2CF9AE}" pid="4" name="ContentTypeId">
    <vt:lpwstr>0x010100573134B1BDBFC74F8C2DBF70E4CDEAD4006E15FDC79062B44383236439AA4FD991</vt:lpwstr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Project Code">
    <vt:lpwstr>1788;#Outcomes and Customer Engagement|b01232e5-b09e-41f2-ba45-30ed0119ae0f</vt:lpwstr>
  </property>
  <property fmtid="{D5CDD505-2E9C-101B-9397-08002B2CF9AE}" pid="9" name="Stakeholder 3">
    <vt:lpwstr/>
  </property>
  <property fmtid="{D5CDD505-2E9C-101B-9397-08002B2CF9AE}" pid="10" name="Stakeholder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 4">
    <vt:lpwstr/>
  </property>
  <property fmtid="{D5CDD505-2E9C-101B-9397-08002B2CF9AE}" pid="13" name="Asset">
    <vt:lpwstr>Standard</vt:lpwstr>
  </property>
</Properties>
</file>